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28" windowWidth="19416" windowHeight="8820" tabRatio="809" firstSheet="8" activeTab="8"/>
  </bookViews>
  <sheets>
    <sheet name="CAF" sheetId="7" state="hidden" r:id="rId1"/>
    <sheet name="Model Budget (CSSE)" sheetId="8" state="hidden" r:id="rId2"/>
    <sheet name="Model Budget old (CSSI)" sheetId="9" state="hidden" r:id="rId3"/>
    <sheet name="Model Budget (ALP) " sheetId="16" state="hidden" r:id="rId4"/>
    <sheet name="ALP Contract Data" sheetId="11" state="hidden" r:id="rId5"/>
    <sheet name="Model Budget (MDAT)" sheetId="13" state="hidden" r:id="rId6"/>
    <sheet name="FBCS Contract Data " sheetId="14" state="hidden" r:id="rId7"/>
    <sheet name="Combined Fiscal Impact" sheetId="18" state="hidden" r:id="rId8"/>
    <sheet name="Conflict Model 1 &amp; 5 Family" sheetId="20" r:id="rId9"/>
    <sheet name="CAF Sp 2016" sheetId="17" state="hidden" r:id="rId10"/>
    <sheet name="CSSI Contract Data" sheetId="12" state="hidden" r:id="rId11"/>
    <sheet name="CAF Spring 2018" sheetId="21" r:id="rId12"/>
  </sheets>
  <externalReferences>
    <externalReference r:id="rId13"/>
    <externalReference r:id="rId14"/>
  </externalReferences>
  <definedNames>
    <definedName name="gk">#REF!</definedName>
    <definedName name="ListProviders">'[1]List of Programs'!$A$24:$A$29</definedName>
    <definedName name="MT">#REF!</definedName>
    <definedName name="_xlnm.Print_Area" localSheetId="4">'ALP Contract Data'!$A$1:$S$27</definedName>
    <definedName name="_xlnm.Print_Area" localSheetId="11">'CAF Spring 2018'!$BF$13:$BQ$30</definedName>
    <definedName name="_xlnm.Print_Area" localSheetId="7">'Combined Fiscal Impact'!$A$1:$N$31</definedName>
    <definedName name="_xlnm.Print_Area" localSheetId="8">'Conflict Model 1 &amp; 5 Family'!$A$2:$N$24</definedName>
    <definedName name="_xlnm.Print_Area" localSheetId="10">'CSSI Contract Data'!$A$1:$P$22</definedName>
    <definedName name="_xlnm.Print_Area" localSheetId="6">'FBCS Contract Data '!$A$1:$V$22</definedName>
    <definedName name="_xlnm.Print_Area" localSheetId="3">'Model Budget (ALP) '!$B$1:$S$52</definedName>
    <definedName name="_xlnm.Print_Area" localSheetId="1">'Model Budget (CSSE)'!$B$1:$L$28</definedName>
    <definedName name="_xlnm.Print_Area" localSheetId="5">'Model Budget (MDAT)'!$B$3:$X$34</definedName>
    <definedName name="_xlnm.Print_Area" localSheetId="2">'Model Budget old (CSSI)'!$B$3:$K$34</definedName>
    <definedName name="_xlnm.Print_Titles" localSheetId="0">CAF!$A:$A</definedName>
    <definedName name="_xlnm.Print_Titles" localSheetId="9">'CAF Sp 2016'!$A:$A</definedName>
    <definedName name="_xlnm.Print_Titles" localSheetId="11">'CAF Spring 2018'!$A:$A</definedName>
    <definedName name="Programs">'[1]List of Programs'!$B$3:$B$19</definedName>
    <definedName name="Total_UFR">#REF!</definedName>
    <definedName name="UFR">'[2]Complete UFR List'!#REF!</definedName>
    <definedName name="UFRS">'[2]Complete UFR List'!#REF!</definedName>
  </definedNames>
  <calcPr calcId="145621"/>
</workbook>
</file>

<file path=xl/calcChain.xml><?xml version="1.0" encoding="utf-8"?>
<calcChain xmlns="http://schemas.openxmlformats.org/spreadsheetml/2006/main">
  <c r="L18" i="20" l="1"/>
  <c r="K18" i="20"/>
  <c r="F18" i="20"/>
  <c r="B17" i="20"/>
  <c r="G18" i="20" s="1"/>
  <c r="BO25" i="21" l="1"/>
  <c r="BN25" i="21"/>
  <c r="BM25" i="21"/>
  <c r="BL25" i="21"/>
  <c r="BK25" i="21"/>
  <c r="BJ25" i="21"/>
  <c r="BI25" i="21"/>
  <c r="BH25" i="21"/>
  <c r="BQ25" i="21" s="1"/>
  <c r="BQ27" i="21" s="1"/>
  <c r="BO24" i="21"/>
  <c r="BN24" i="21"/>
  <c r="BM24" i="21"/>
  <c r="BL24" i="21"/>
  <c r="BK24" i="21"/>
  <c r="BJ24" i="21"/>
  <c r="BI24" i="21"/>
  <c r="BH24" i="21"/>
  <c r="BQ21" i="21"/>
  <c r="BH21" i="21"/>
  <c r="B8" i="20" l="1"/>
  <c r="L10" i="20" s="1"/>
  <c r="L12" i="20"/>
  <c r="G12" i="20"/>
  <c r="I12" i="20" s="1"/>
  <c r="N12" i="20"/>
  <c r="S25" i="20"/>
  <c r="Q26" i="20"/>
  <c r="S26" i="20" s="1"/>
  <c r="S27" i="20" s="1"/>
  <c r="S28" i="20" s="1"/>
  <c r="S30" i="20" s="1"/>
  <c r="Q28" i="20"/>
  <c r="B4" i="20"/>
  <c r="G6" i="20" s="1"/>
  <c r="I6" i="20" s="1"/>
  <c r="I9" i="20" s="1"/>
  <c r="B5" i="20"/>
  <c r="G7" i="20" s="1"/>
  <c r="I7" i="20" s="1"/>
  <c r="B6" i="20"/>
  <c r="G8" i="20" s="1"/>
  <c r="I8" i="20" s="1"/>
  <c r="B16" i="20"/>
  <c r="G17" i="20" s="1"/>
  <c r="Q6" i="20"/>
  <c r="S6" i="20" s="1"/>
  <c r="S9" i="20" s="1"/>
  <c r="S7" i="20"/>
  <c r="S8" i="20"/>
  <c r="S12" i="20"/>
  <c r="S13" i="20"/>
  <c r="S14" i="20"/>
  <c r="S15" i="20"/>
  <c r="Q20" i="20"/>
  <c r="L8" i="20"/>
  <c r="N8" i="20" s="1"/>
  <c r="L15" i="20"/>
  <c r="L17" i="20"/>
  <c r="M9" i="20"/>
  <c r="H9" i="20"/>
  <c r="K7" i="20"/>
  <c r="F7" i="20"/>
  <c r="K6" i="20"/>
  <c r="F6" i="20"/>
  <c r="J15" i="12"/>
  <c r="E15" i="12"/>
  <c r="M12" i="12"/>
  <c r="D15" i="12"/>
  <c r="I15" i="12"/>
  <c r="M11" i="12"/>
  <c r="K11" i="12"/>
  <c r="M3" i="12"/>
  <c r="L3" i="12"/>
  <c r="N3" i="12"/>
  <c r="M5" i="12"/>
  <c r="L5" i="12"/>
  <c r="N5" i="12"/>
  <c r="M4" i="12"/>
  <c r="L4" i="12"/>
  <c r="N4" i="12"/>
  <c r="B12" i="12"/>
  <c r="H9" i="12"/>
  <c r="H7" i="12"/>
  <c r="H10" i="12"/>
  <c r="H16" i="12"/>
  <c r="H18" i="12"/>
  <c r="C9" i="12"/>
  <c r="N8" i="12"/>
  <c r="C7" i="12"/>
  <c r="M8" i="12"/>
  <c r="AV38" i="17"/>
  <c r="AW38" i="17"/>
  <c r="AX38" i="17"/>
  <c r="AY38" i="17"/>
  <c r="AZ38" i="17"/>
  <c r="BA38" i="17"/>
  <c r="BB38" i="17"/>
  <c r="AU38" i="17"/>
  <c r="BD38" i="17"/>
  <c r="BD40" i="17"/>
  <c r="C21" i="9"/>
  <c r="L6" i="12"/>
  <c r="M13" i="12"/>
  <c r="E15" i="9"/>
  <c r="M14" i="12"/>
  <c r="E16" i="9"/>
  <c r="E17" i="9"/>
  <c r="C20" i="13"/>
  <c r="G21" i="13"/>
  <c r="I21" i="13"/>
  <c r="I23" i="13"/>
  <c r="I30" i="13"/>
  <c r="F21" i="18"/>
  <c r="L21" i="13"/>
  <c r="N21" i="13"/>
  <c r="N23" i="13"/>
  <c r="I31" i="13"/>
  <c r="F22" i="18"/>
  <c r="Q21" i="13"/>
  <c r="S21" i="13"/>
  <c r="S23" i="13"/>
  <c r="I32" i="13"/>
  <c r="F23" i="18"/>
  <c r="V21" i="13"/>
  <c r="X21" i="13"/>
  <c r="X23" i="13"/>
  <c r="I33" i="13"/>
  <c r="F24" i="18"/>
  <c r="F25" i="18"/>
  <c r="C24" i="16"/>
  <c r="G27" i="16"/>
  <c r="I27" i="16"/>
  <c r="I29" i="16"/>
  <c r="I35" i="16"/>
  <c r="L27" i="16"/>
  <c r="N27" i="16"/>
  <c r="N29" i="16"/>
  <c r="I36" i="16"/>
  <c r="Q27" i="16"/>
  <c r="S27" i="16"/>
  <c r="S29" i="16"/>
  <c r="I37" i="16"/>
  <c r="I38" i="16"/>
  <c r="F31" i="18"/>
  <c r="L49" i="16"/>
  <c r="K38" i="16"/>
  <c r="H31" i="18"/>
  <c r="C15" i="18"/>
  <c r="I31" i="18"/>
  <c r="K31" i="18"/>
  <c r="L31" i="18"/>
  <c r="L38" i="16"/>
  <c r="N38" i="16"/>
  <c r="P38" i="16"/>
  <c r="C6" i="16"/>
  <c r="Q7" i="16"/>
  <c r="S7" i="16"/>
  <c r="C7" i="16"/>
  <c r="Q8" i="16"/>
  <c r="S8" i="16"/>
  <c r="C8" i="16"/>
  <c r="Q9" i="16"/>
  <c r="S9" i="16"/>
  <c r="S10" i="16"/>
  <c r="C13" i="16"/>
  <c r="Q12" i="16"/>
  <c r="S12" i="16"/>
  <c r="S13" i="16"/>
  <c r="R10" i="16"/>
  <c r="C15" i="16"/>
  <c r="H15" i="16"/>
  <c r="M15" i="16"/>
  <c r="R15" i="16"/>
  <c r="S15" i="16"/>
  <c r="R16" i="16"/>
  <c r="S16" i="16"/>
  <c r="C17" i="16"/>
  <c r="H17" i="16"/>
  <c r="M17" i="16"/>
  <c r="R17" i="16"/>
  <c r="S17" i="16"/>
  <c r="C18" i="16"/>
  <c r="H18" i="16"/>
  <c r="M18" i="16"/>
  <c r="R18" i="16"/>
  <c r="S18" i="16"/>
  <c r="C19" i="16"/>
  <c r="H19" i="16"/>
  <c r="M19" i="16"/>
  <c r="R19" i="16"/>
  <c r="S19" i="16"/>
  <c r="C20" i="16"/>
  <c r="H20" i="16"/>
  <c r="M20" i="16"/>
  <c r="R20" i="16"/>
  <c r="S20" i="16"/>
  <c r="C21" i="16"/>
  <c r="H21" i="16"/>
  <c r="M21" i="16"/>
  <c r="R21" i="16"/>
  <c r="S21" i="16"/>
  <c r="S22" i="16"/>
  <c r="S23" i="16"/>
  <c r="L7" i="16"/>
  <c r="N7" i="16"/>
  <c r="L8" i="16"/>
  <c r="N8" i="16"/>
  <c r="L9" i="16"/>
  <c r="N9" i="16"/>
  <c r="N10" i="16"/>
  <c r="L12" i="16"/>
  <c r="N12" i="16"/>
  <c r="N13" i="16"/>
  <c r="M10" i="16"/>
  <c r="N15" i="16"/>
  <c r="M16" i="16"/>
  <c r="N16" i="16"/>
  <c r="N17" i="16"/>
  <c r="N18" i="16"/>
  <c r="N19" i="16"/>
  <c r="N20" i="16"/>
  <c r="N21" i="16"/>
  <c r="N22" i="16"/>
  <c r="N23" i="16"/>
  <c r="G7" i="16"/>
  <c r="I7" i="16"/>
  <c r="G8" i="16"/>
  <c r="I8" i="16"/>
  <c r="G9" i="16"/>
  <c r="I9" i="16"/>
  <c r="I10" i="16"/>
  <c r="G12" i="16"/>
  <c r="I12" i="16"/>
  <c r="I13" i="16"/>
  <c r="H10" i="16"/>
  <c r="I15" i="16"/>
  <c r="H16" i="16"/>
  <c r="I16" i="16"/>
  <c r="I17" i="16"/>
  <c r="I18" i="16"/>
  <c r="I19" i="16"/>
  <c r="I20" i="16"/>
  <c r="I21" i="16"/>
  <c r="I22" i="16"/>
  <c r="I23" i="16"/>
  <c r="I44" i="16"/>
  <c r="I43" i="16"/>
  <c r="I45" i="16"/>
  <c r="I46" i="16"/>
  <c r="N43" i="16"/>
  <c r="N44" i="16"/>
  <c r="N45" i="16"/>
  <c r="N46" i="16"/>
  <c r="S45" i="16"/>
  <c r="S43" i="16"/>
  <c r="S44" i="16"/>
  <c r="S46" i="16"/>
  <c r="J11" i="8"/>
  <c r="D28" i="8"/>
  <c r="C18" i="8"/>
  <c r="BD20" i="17"/>
  <c r="BD24" i="17"/>
  <c r="BD26" i="17"/>
  <c r="F18" i="8"/>
  <c r="J20" i="8"/>
  <c r="L11" i="8"/>
  <c r="L12" i="8"/>
  <c r="L16" i="8"/>
  <c r="L17" i="8"/>
  <c r="L19" i="8"/>
  <c r="L20" i="8"/>
  <c r="L22" i="8"/>
  <c r="E28" i="8"/>
  <c r="D15" i="18"/>
  <c r="C23" i="16"/>
  <c r="G24" i="16"/>
  <c r="I24" i="16"/>
  <c r="I26" i="16"/>
  <c r="L24" i="16"/>
  <c r="N24" i="16"/>
  <c r="N26" i="16"/>
  <c r="Q24" i="16"/>
  <c r="S24" i="16"/>
  <c r="S26" i="16"/>
  <c r="F35" i="16"/>
  <c r="F36" i="16"/>
  <c r="F37" i="16"/>
  <c r="F38" i="16"/>
  <c r="C31" i="18"/>
  <c r="K8" i="18"/>
  <c r="H22" i="18"/>
  <c r="I22" i="18"/>
  <c r="H24" i="18"/>
  <c r="I24" i="18"/>
  <c r="C25" i="18"/>
  <c r="H23" i="18"/>
  <c r="I23" i="18"/>
  <c r="G15" i="18"/>
  <c r="E15" i="18"/>
  <c r="F15" i="18"/>
  <c r="C9" i="18"/>
  <c r="M31" i="18"/>
  <c r="J25" i="18"/>
  <c r="H21" i="18"/>
  <c r="AV34" i="17"/>
  <c r="AW34" i="17"/>
  <c r="AX34" i="17"/>
  <c r="AU34" i="17"/>
  <c r="AV24" i="17"/>
  <c r="AW24" i="17"/>
  <c r="AX24" i="17"/>
  <c r="AY24" i="17"/>
  <c r="AZ24" i="17"/>
  <c r="BA24" i="17"/>
  <c r="BB24" i="17"/>
  <c r="AU24" i="17"/>
  <c r="P16" i="16"/>
  <c r="K16" i="16"/>
  <c r="F16" i="16"/>
  <c r="H25" i="18"/>
  <c r="I25" i="18"/>
  <c r="I21" i="18"/>
  <c r="BD34" i="17"/>
  <c r="D37" i="16"/>
  <c r="D36" i="16"/>
  <c r="D35" i="16"/>
  <c r="B8" i="16"/>
  <c r="B12" i="16"/>
  <c r="F9" i="16"/>
  <c r="B7" i="16"/>
  <c r="P8" i="16"/>
  <c r="B6" i="16"/>
  <c r="B10" i="16"/>
  <c r="F7" i="16"/>
  <c r="P7" i="16"/>
  <c r="K8" i="16"/>
  <c r="P9" i="16"/>
  <c r="B11" i="16"/>
  <c r="F8" i="16"/>
  <c r="K7" i="16"/>
  <c r="K9" i="16"/>
  <c r="Q37" i="16"/>
  <c r="N37" i="16"/>
  <c r="O37" i="16"/>
  <c r="N36" i="16"/>
  <c r="O36" i="16"/>
  <c r="Q36" i="16"/>
  <c r="Q35" i="16"/>
  <c r="N35" i="16"/>
  <c r="Q38" i="16"/>
  <c r="O35" i="16"/>
  <c r="D14" i="11"/>
  <c r="E10" i="9"/>
  <c r="E8" i="9"/>
  <c r="E9" i="9"/>
  <c r="E7" i="9"/>
  <c r="F6" i="8"/>
  <c r="BE51" i="7"/>
  <c r="BE47" i="7"/>
  <c r="BE53" i="7"/>
  <c r="F15" i="8"/>
  <c r="F16" i="8"/>
  <c r="F13" i="8"/>
  <c r="F5" i="8"/>
  <c r="C7" i="8"/>
  <c r="E11" i="9"/>
  <c r="E12" i="9"/>
  <c r="E13" i="9"/>
  <c r="C17" i="13"/>
  <c r="S16" i="14"/>
  <c r="C7" i="13"/>
  <c r="V8" i="13"/>
  <c r="X8" i="13"/>
  <c r="C6" i="13"/>
  <c r="Q8" i="13"/>
  <c r="S8" i="13"/>
  <c r="V7" i="13"/>
  <c r="X7" i="13"/>
  <c r="U4" i="14"/>
  <c r="H14" i="13"/>
  <c r="U8" i="13"/>
  <c r="U7" i="13"/>
  <c r="W15" i="13"/>
  <c r="W14" i="13"/>
  <c r="W9" i="13"/>
  <c r="H16" i="13"/>
  <c r="M16" i="13"/>
  <c r="R16" i="13"/>
  <c r="W16" i="13"/>
  <c r="H15" i="13"/>
  <c r="C16" i="13"/>
  <c r="C15" i="13"/>
  <c r="M14" i="13"/>
  <c r="R14" i="13"/>
  <c r="B7" i="13"/>
  <c r="B11" i="13"/>
  <c r="F8" i="13"/>
  <c r="B6" i="13"/>
  <c r="S20" i="14"/>
  <c r="S15" i="14"/>
  <c r="S14" i="14"/>
  <c r="S8" i="14"/>
  <c r="S4" i="14"/>
  <c r="R4" i="14"/>
  <c r="S3" i="14"/>
  <c r="R3" i="14"/>
  <c r="O11" i="14"/>
  <c r="K11" i="14"/>
  <c r="C11" i="14"/>
  <c r="O17" i="14"/>
  <c r="O9" i="14"/>
  <c r="T8" i="14"/>
  <c r="C13" i="13"/>
  <c r="N9" i="14"/>
  <c r="K17" i="14"/>
  <c r="G17" i="14"/>
  <c r="C17" i="14"/>
  <c r="K9" i="14"/>
  <c r="J9" i="14"/>
  <c r="G9" i="14"/>
  <c r="G12" i="14"/>
  <c r="F9" i="14"/>
  <c r="C9" i="14"/>
  <c r="B9" i="14"/>
  <c r="F34" i="13"/>
  <c r="M15" i="13"/>
  <c r="R15" i="13"/>
  <c r="R9" i="13"/>
  <c r="S15" i="13"/>
  <c r="M9" i="13"/>
  <c r="H9" i="13"/>
  <c r="I14" i="13"/>
  <c r="B10" i="13"/>
  <c r="F7" i="13"/>
  <c r="D33" i="9"/>
  <c r="N16" i="13"/>
  <c r="X16" i="13"/>
  <c r="I16" i="13"/>
  <c r="I15" i="13"/>
  <c r="X15" i="13"/>
  <c r="X14" i="13"/>
  <c r="S16" i="13"/>
  <c r="S14" i="13"/>
  <c r="N15" i="13"/>
  <c r="N14" i="13"/>
  <c r="V11" i="13"/>
  <c r="Q11" i="13"/>
  <c r="G7" i="13"/>
  <c r="I7" i="13"/>
  <c r="X9" i="13"/>
  <c r="L11" i="13"/>
  <c r="O12" i="14"/>
  <c r="O19" i="14"/>
  <c r="N20" i="14"/>
  <c r="T3" i="14"/>
  <c r="C12" i="14"/>
  <c r="G19" i="14"/>
  <c r="G21" i="14"/>
  <c r="K12" i="14"/>
  <c r="K19" i="14"/>
  <c r="J20" i="14"/>
  <c r="N11" i="14"/>
  <c r="J11" i="14"/>
  <c r="F11" i="14"/>
  <c r="B11" i="14"/>
  <c r="T4" i="14"/>
  <c r="F20" i="14"/>
  <c r="K21" i="14"/>
  <c r="R6" i="14"/>
  <c r="P8" i="13"/>
  <c r="G11" i="13"/>
  <c r="K7" i="13"/>
  <c r="Q7" i="13"/>
  <c r="S7" i="13"/>
  <c r="L8" i="13"/>
  <c r="N8" i="13"/>
  <c r="L7" i="13"/>
  <c r="N7" i="13"/>
  <c r="P7" i="13"/>
  <c r="G8" i="13"/>
  <c r="I8" i="13"/>
  <c r="K8" i="13"/>
  <c r="F5" i="12"/>
  <c r="R8" i="11"/>
  <c r="K5" i="12"/>
  <c r="K3" i="12"/>
  <c r="B13" i="12"/>
  <c r="B14" i="12"/>
  <c r="B7" i="12"/>
  <c r="G7" i="12"/>
  <c r="G14" i="12"/>
  <c r="G9" i="12"/>
  <c r="B9" i="12"/>
  <c r="R26" i="11"/>
  <c r="G26" i="11"/>
  <c r="Q26" i="11"/>
  <c r="Q8" i="11"/>
  <c r="Q23" i="11"/>
  <c r="Q22" i="11"/>
  <c r="Q21" i="11"/>
  <c r="Q20" i="11"/>
  <c r="Q19" i="11"/>
  <c r="Q18" i="11"/>
  <c r="Q3" i="11"/>
  <c r="P3" i="11"/>
  <c r="Q5" i="11"/>
  <c r="P5" i="11"/>
  <c r="Q4" i="11"/>
  <c r="P4" i="11"/>
  <c r="G9" i="11"/>
  <c r="L9" i="11"/>
  <c r="B9" i="11"/>
  <c r="H11" i="11"/>
  <c r="H23" i="11"/>
  <c r="H9" i="11"/>
  <c r="M23" i="11"/>
  <c r="M11" i="11"/>
  <c r="M9" i="11"/>
  <c r="C23" i="11"/>
  <c r="C11" i="11"/>
  <c r="C9" i="11"/>
  <c r="X11" i="13"/>
  <c r="X12" i="13"/>
  <c r="X17" i="13"/>
  <c r="T20" i="14"/>
  <c r="C19" i="13"/>
  <c r="O21" i="14"/>
  <c r="C21" i="14"/>
  <c r="C19" i="14"/>
  <c r="B20" i="14"/>
  <c r="I9" i="13"/>
  <c r="I11" i="13"/>
  <c r="N9" i="13"/>
  <c r="N11" i="13"/>
  <c r="N12" i="13"/>
  <c r="N17" i="13"/>
  <c r="S9" i="13"/>
  <c r="S11" i="13"/>
  <c r="S12" i="13"/>
  <c r="G13" i="12"/>
  <c r="G12" i="12"/>
  <c r="C10" i="12"/>
  <c r="P6" i="11"/>
  <c r="Q15" i="11"/>
  <c r="Q17" i="11"/>
  <c r="Q14" i="11"/>
  <c r="R4" i="11"/>
  <c r="R5" i="11"/>
  <c r="R3" i="11"/>
  <c r="B11" i="11"/>
  <c r="C12" i="11"/>
  <c r="C25" i="11"/>
  <c r="M12" i="11"/>
  <c r="M25" i="11"/>
  <c r="L26" i="11"/>
  <c r="H12" i="11"/>
  <c r="H25" i="11"/>
  <c r="H27" i="11"/>
  <c r="G11" i="11"/>
  <c r="L11" i="11"/>
  <c r="M27" i="11"/>
  <c r="Q18" i="13"/>
  <c r="V18" i="13"/>
  <c r="X18" i="13"/>
  <c r="X20" i="13"/>
  <c r="G18" i="13"/>
  <c r="L18" i="13"/>
  <c r="S17" i="13"/>
  <c r="I12" i="13"/>
  <c r="I17" i="13"/>
  <c r="N18" i="13"/>
  <c r="N20" i="13"/>
  <c r="Q16" i="11"/>
  <c r="C27" i="11"/>
  <c r="B26" i="11"/>
  <c r="L15" i="8"/>
  <c r="L14" i="8"/>
  <c r="L13" i="8"/>
  <c r="I15" i="8"/>
  <c r="I14" i="8"/>
  <c r="I13" i="8"/>
  <c r="K7" i="8"/>
  <c r="K6" i="8"/>
  <c r="J7" i="8"/>
  <c r="J6" i="8"/>
  <c r="E5" i="8"/>
  <c r="E9" i="8"/>
  <c r="I6" i="8"/>
  <c r="E10" i="8"/>
  <c r="I7" i="8"/>
  <c r="S18" i="13"/>
  <c r="S20" i="13"/>
  <c r="I18" i="13"/>
  <c r="I20" i="13"/>
  <c r="L7" i="8"/>
  <c r="K9" i="8"/>
  <c r="L6" i="8"/>
  <c r="C5" i="8"/>
  <c r="L9" i="8"/>
  <c r="C8" i="8"/>
  <c r="C15" i="8"/>
  <c r="BE36" i="7"/>
  <c r="BE32" i="7"/>
  <c r="BE22" i="7"/>
  <c r="BE18" i="7"/>
  <c r="AV18" i="7"/>
  <c r="F17" i="8"/>
  <c r="J17" i="8"/>
  <c r="BE24" i="7"/>
  <c r="BE38" i="7"/>
  <c r="F28" i="8"/>
  <c r="G28" i="8"/>
  <c r="K32" i="13"/>
  <c r="L32" i="13"/>
  <c r="K33" i="13"/>
  <c r="L33" i="13"/>
  <c r="K31" i="13"/>
  <c r="L31" i="13"/>
  <c r="H28" i="8"/>
  <c r="K30" i="13"/>
  <c r="I34" i="13"/>
  <c r="M34" i="13"/>
  <c r="L30" i="13"/>
  <c r="K34" i="13"/>
  <c r="L34" i="13"/>
  <c r="H19" i="12"/>
  <c r="C16" i="12"/>
  <c r="C18" i="12"/>
  <c r="N17" i="12"/>
  <c r="M18" i="12"/>
  <c r="E14" i="9"/>
  <c r="E18" i="9"/>
  <c r="E19" i="9"/>
  <c r="E20" i="9"/>
  <c r="E21" i="9"/>
  <c r="E23" i="9"/>
  <c r="E31" i="9"/>
  <c r="F31" i="9"/>
  <c r="G31" i="9"/>
  <c r="E32" i="9"/>
  <c r="F32" i="9"/>
  <c r="G32" i="9"/>
  <c r="G33" i="9"/>
  <c r="F33" i="9"/>
  <c r="H31" i="9"/>
  <c r="E33" i="9"/>
  <c r="H33" i="9"/>
  <c r="H32" i="9"/>
  <c r="C19" i="12"/>
  <c r="D7" i="18"/>
  <c r="E7" i="18"/>
  <c r="F7" i="18"/>
  <c r="D8" i="18"/>
  <c r="E8" i="18"/>
  <c r="F8" i="18"/>
  <c r="F9" i="18"/>
  <c r="E9" i="18"/>
  <c r="G7" i="18"/>
  <c r="D9" i="18"/>
  <c r="G9" i="18"/>
  <c r="G8" i="18"/>
  <c r="L8" i="18"/>
  <c r="M8" i="18"/>
  <c r="N8" i="18"/>
  <c r="L6" i="20" l="1"/>
  <c r="N6" i="20" s="1"/>
  <c r="N9" i="20" s="1"/>
  <c r="S10" i="20"/>
  <c r="S11" i="20" s="1"/>
  <c r="S16" i="20" s="1"/>
  <c r="S17" i="20" s="1"/>
  <c r="S19" i="20" s="1"/>
  <c r="S20" i="20" s="1"/>
  <c r="S22" i="20" s="1"/>
  <c r="L7" i="20"/>
  <c r="N7" i="20" s="1"/>
  <c r="G10" i="20"/>
  <c r="I10" i="20" s="1"/>
  <c r="I11" i="20" s="1"/>
  <c r="I14" i="20" s="1"/>
  <c r="I15" i="20" s="1"/>
  <c r="I16" i="20" s="1"/>
  <c r="I17" i="20" s="1"/>
  <c r="I18" i="20" s="1"/>
  <c r="I20" i="20" s="1"/>
  <c r="N10" i="20" l="1"/>
  <c r="N11" i="20" s="1"/>
  <c r="N14" i="20" s="1"/>
  <c r="N15" i="20" s="1"/>
  <c r="N16" i="20" s="1"/>
  <c r="N17" i="20" s="1"/>
  <c r="N18" i="20" s="1"/>
  <c r="N20" i="20" s="1"/>
</calcChain>
</file>

<file path=xl/comments1.xml><?xml version="1.0" encoding="utf-8"?>
<comments xmlns="http://schemas.openxmlformats.org/spreadsheetml/2006/main">
  <authors>
    <author>kara</author>
  </authors>
  <commentList>
    <comment ref="C31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Sol for Liv units provided and backed into approx 2.5 times less for CHD based off spend
</t>
        </r>
      </text>
    </comment>
  </commentList>
</comments>
</file>

<file path=xl/comments2.xml><?xml version="1.0" encoding="utf-8"?>
<comments xmlns="http://schemas.openxmlformats.org/spreadsheetml/2006/main">
  <authors>
    <author>kara</author>
  </authors>
  <commentList>
    <comment ref="B18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Staff Travel and Vehicle Expenses combined</t>
        </r>
      </text>
    </comment>
    <comment ref="L49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I think this figure should be CAF'd - so I incorporated a CAF at 4% into this figure</t>
        </r>
      </text>
    </comment>
  </commentList>
</comments>
</file>

<file path=xl/comments3.xml><?xml version="1.0" encoding="utf-8"?>
<comments xmlns="http://schemas.openxmlformats.org/spreadsheetml/2006/main">
  <authors>
    <author>kara</author>
  </authors>
  <commentList>
    <comment ref="O5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was reported at 22,164 which is below min wage eff 1/1/17 - brought up to  min wage</t>
        </r>
      </text>
    </comment>
  </commentList>
</comments>
</file>

<file path=xl/comments4.xml><?xml version="1.0" encoding="utf-8"?>
<comments xmlns="http://schemas.openxmlformats.org/spreadsheetml/2006/main">
  <authors>
    <author>kara</author>
  </authors>
  <commentList>
    <comment ref="B7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Sol for Liv units provided and backed into approx 2.5 times less for CHD based off spend
</t>
        </r>
      </text>
    </comment>
  </commentList>
</comments>
</file>

<file path=xl/sharedStrings.xml><?xml version="1.0" encoding="utf-8"?>
<sst xmlns="http://schemas.openxmlformats.org/spreadsheetml/2006/main" count="1093" uniqueCount="282">
  <si>
    <t>Program Support</t>
  </si>
  <si>
    <t>FTE</t>
  </si>
  <si>
    <t>T&amp;F</t>
  </si>
  <si>
    <t>Total Program Staff</t>
  </si>
  <si>
    <t>Occupancy</t>
  </si>
  <si>
    <t>Admin Allocation</t>
  </si>
  <si>
    <t>Master Look-Up Data</t>
  </si>
  <si>
    <t>Benchmark Salary</t>
  </si>
  <si>
    <t>Source</t>
  </si>
  <si>
    <t>Position</t>
  </si>
  <si>
    <t>Salary</t>
  </si>
  <si>
    <t>Expense</t>
  </si>
  <si>
    <t>FTEs</t>
  </si>
  <si>
    <t>Tax and Fringe</t>
  </si>
  <si>
    <t>Total Compensation</t>
  </si>
  <si>
    <t>Taxes &amp; Fringe</t>
  </si>
  <si>
    <t>Admin. Allocation</t>
  </si>
  <si>
    <t>Total Reimb excl M&amp;G</t>
  </si>
  <si>
    <t>CAF Rate</t>
  </si>
  <si>
    <t>TOTAL</t>
  </si>
  <si>
    <t>CAF:</t>
  </si>
  <si>
    <t>Rate with CAF</t>
  </si>
  <si>
    <t>Massachusetts Economic Indicators</t>
  </si>
  <si>
    <t xml:space="preserve">IHS Economics - Fall 2015 Forecast </t>
  </si>
  <si>
    <t>Prepared by Michael Lynch, 781-301-9129</t>
  </si>
  <si>
    <t>FY12</t>
  </si>
  <si>
    <t>FY13</t>
  </si>
  <si>
    <t>FY14</t>
  </si>
  <si>
    <t>FY15</t>
  </si>
  <si>
    <t>FY16</t>
  </si>
  <si>
    <t>FY17</t>
  </si>
  <si>
    <t>FY18</t>
  </si>
  <si>
    <t>FY19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</si>
  <si>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</si>
  <si>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</si>
  <si>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</si>
  <si>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</si>
  <si>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</si>
  <si>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</si>
  <si>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</si>
  <si>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</si>
  <si>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</si>
  <si>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</si>
  <si>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</si>
  <si>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</si>
  <si>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</si>
  <si>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</si>
  <si>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</si>
  <si>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</si>
  <si>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</si>
  <si>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</si>
  <si>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</si>
  <si>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</si>
  <si>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</si>
  <si>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</si>
  <si>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</si>
  <si>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</si>
  <si>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</si>
  <si>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</si>
  <si>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</si>
  <si>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</si>
  <si>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</si>
  <si>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</si>
  <si>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</si>
  <si>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</si>
  <si>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</si>
  <si>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</si>
  <si>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</si>
  <si>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</si>
  <si>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</si>
  <si>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</si>
  <si>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</si>
  <si>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</si>
  <si>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</si>
  <si>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</si>
  <si>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</si>
  <si>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</si>
  <si>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</si>
  <si>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</si>
  <si>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</si>
  <si>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</si>
  <si>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</si>
  <si>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</si>
  <si>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</si>
  <si>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</si>
  <si>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</si>
  <si>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</si>
  <si>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</si>
  <si>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</si>
  <si>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</si>
  <si>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</si>
  <si>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</si>
  <si>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</si>
  <si>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</si>
  <si>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</si>
  <si>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</si>
  <si>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</si>
  <si>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</si>
  <si>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</si>
  <si>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</si>
  <si>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</si>
  <si>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</si>
  <si>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</si>
  <si>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</si>
  <si>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</si>
  <si>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</si>
  <si>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</si>
  <si>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</si>
  <si>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</si>
  <si>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</si>
  <si>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</si>
  <si>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</si>
  <si>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</si>
  <si>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</si>
  <si>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TEMPLATE ONLY -- CHANGE ME WITH YOUR RATE-SPECIFIC DATA! (and delete this message)</t>
  </si>
  <si>
    <t xml:space="preserve">Base period: </t>
  </si>
  <si>
    <t>FY16Q2</t>
  </si>
  <si>
    <t>Average</t>
  </si>
  <si>
    <t xml:space="preserve">Prospective rate period: </t>
  </si>
  <si>
    <t>03/01/2016 - 2/28/2018</t>
  </si>
  <si>
    <t>CAF using base year of data</t>
  </si>
  <si>
    <t>Social Worker</t>
  </si>
  <si>
    <t>DC II</t>
  </si>
  <si>
    <t>Clerical</t>
  </si>
  <si>
    <t>Total Occupancy</t>
  </si>
  <si>
    <t>Staff Travel</t>
  </si>
  <si>
    <t>Prog Supplies and Materials</t>
  </si>
  <si>
    <t xml:space="preserve">Other Program Expenses </t>
  </si>
  <si>
    <t>FY16 Contract Data</t>
  </si>
  <si>
    <t>01/01/2017 - 12/31/2018</t>
  </si>
  <si>
    <t>Monthly Accommodation Rate</t>
  </si>
  <si>
    <t>Monthly Rate</t>
  </si>
  <si>
    <t>FY16 Contract</t>
  </si>
  <si>
    <t>Projected Spend</t>
  </si>
  <si>
    <t>HelpNet</t>
  </si>
  <si>
    <t>Provider</t>
  </si>
  <si>
    <t>% of Change</t>
  </si>
  <si>
    <t>Social Worker (LCSW)</t>
  </si>
  <si>
    <t>Consultants</t>
  </si>
  <si>
    <t>Solutions for Living</t>
  </si>
  <si>
    <t>Anticipated Promulgation/effective period beginning January 1, 2017 - Fiscal Impact</t>
  </si>
  <si>
    <t>Annualized Variance</t>
  </si>
  <si>
    <t>Program Director</t>
  </si>
  <si>
    <t>Function Manager</t>
  </si>
  <si>
    <t xml:space="preserve">DC I </t>
  </si>
  <si>
    <t>DC Supervisor</t>
  </si>
  <si>
    <t>JRI</t>
  </si>
  <si>
    <t>Spend</t>
  </si>
  <si>
    <t>Staff training</t>
  </si>
  <si>
    <t>Subcontract DC</t>
  </si>
  <si>
    <t>Meals</t>
  </si>
  <si>
    <t>Vehicle Exp</t>
  </si>
  <si>
    <t>Client Pers Allow</t>
  </si>
  <si>
    <t>Prog Support</t>
  </si>
  <si>
    <t>Supplies &amp; Materials</t>
  </si>
  <si>
    <t>Northeast Behavioral Health</t>
  </si>
  <si>
    <t>DC Consultants</t>
  </si>
  <si>
    <t>Youth Opportunities Upheld</t>
  </si>
  <si>
    <t>Counselor</t>
  </si>
  <si>
    <t>-</t>
  </si>
  <si>
    <t>TOTAL FTE</t>
  </si>
  <si>
    <t>TOTAL Spend</t>
  </si>
  <si>
    <t>Per FTE</t>
  </si>
  <si>
    <t>Program Management</t>
  </si>
  <si>
    <t>Avg per FTE</t>
  </si>
  <si>
    <t>CAF</t>
  </si>
  <si>
    <t>Admin allocation</t>
  </si>
  <si>
    <t>FY16 Contract Amt</t>
  </si>
  <si>
    <t>Projected  Spend</t>
  </si>
  <si>
    <t>CHD (FY16) Contract Data</t>
  </si>
  <si>
    <t>Solutions for Living (FY16) Contract Data</t>
  </si>
  <si>
    <t>Manager</t>
  </si>
  <si>
    <t>Amount</t>
  </si>
  <si>
    <t>Total FTE</t>
  </si>
  <si>
    <t>Total Spend</t>
  </si>
  <si>
    <t>Avg Per FTE</t>
  </si>
  <si>
    <t>CHD</t>
  </si>
  <si>
    <t>Jan 1 2017 Implementation Variance</t>
  </si>
  <si>
    <t>Total</t>
  </si>
  <si>
    <t>Specialized Staff</t>
  </si>
  <si>
    <t>Wayside</t>
  </si>
  <si>
    <t>Bay State Community Services</t>
  </si>
  <si>
    <t>CHL</t>
  </si>
  <si>
    <t xml:space="preserve">DC FTE </t>
  </si>
  <si>
    <t>Bay State Community</t>
  </si>
  <si>
    <t>Wayside #2</t>
  </si>
  <si>
    <t>DC Staff</t>
  </si>
  <si>
    <t>Supervising Prof.</t>
  </si>
  <si>
    <t xml:space="preserve">DC Staff </t>
  </si>
  <si>
    <t>Management</t>
  </si>
  <si>
    <t>CESS Benchmark</t>
  </si>
  <si>
    <t>Monthly Staffing Rate (.5 DC FTE)</t>
  </si>
  <si>
    <t>Monthly Staffing Rate (.25 DC FTE)</t>
  </si>
  <si>
    <t>Monthly Staffing Rate (.75 DC FTE)</t>
  </si>
  <si>
    <t>AVG Per Program</t>
  </si>
  <si>
    <t>Monthly Staffing Rate ( 1 DC FTE)</t>
  </si>
  <si>
    <t>Comprehensive Emergency Services (CSSE)</t>
  </si>
  <si>
    <t>Protective Investigation (CSSI)</t>
  </si>
  <si>
    <t>Staff Training</t>
  </si>
  <si>
    <t>FY17 Contract Data</t>
  </si>
  <si>
    <t>Direct Care Staff II</t>
  </si>
  <si>
    <t>Comprehensive Emergency Services Program</t>
  </si>
  <si>
    <t>Program Component (FY17) Contract Data</t>
  </si>
  <si>
    <t>Units</t>
  </si>
  <si>
    <t>DC Specialized Staff</t>
  </si>
  <si>
    <t>FY16 Units</t>
  </si>
  <si>
    <t>ALPS- Alternative Lock-up Program (RESS)</t>
  </si>
  <si>
    <t>Specialized DC Staff / Counselor</t>
  </si>
  <si>
    <t>MDAT (FBSC)</t>
  </si>
  <si>
    <t>YOU</t>
  </si>
  <si>
    <t>NBH</t>
  </si>
  <si>
    <t>6/15/16 Thoughts:  We could make an add-on rate at individual consideration for the Shelter Placement  (Subcontracted &amp; DC consultants and meals)</t>
  </si>
  <si>
    <t>Monthly Accommodation Rate - Model A</t>
  </si>
  <si>
    <t>Monthly Accommodation Rate - Model B</t>
  </si>
  <si>
    <t>Monthly Accommodation Rate - Model C</t>
  </si>
  <si>
    <t>Travel Expenses</t>
  </si>
  <si>
    <t>Admin of Placement</t>
  </si>
  <si>
    <t>Purchaser recommendation</t>
  </si>
  <si>
    <t>Model A</t>
  </si>
  <si>
    <t>Model B</t>
  </si>
  <si>
    <t>Model C</t>
  </si>
  <si>
    <t xml:space="preserve">Total </t>
  </si>
  <si>
    <t xml:space="preserve">              This would be the "pot" of money for placements</t>
  </si>
  <si>
    <t>Total Spend across all Contracts</t>
  </si>
  <si>
    <t>Projected Add on fund pool</t>
  </si>
  <si>
    <t>Total Projected Proposed spend</t>
  </si>
  <si>
    <t>IHS Economics Spring 2016 Forecast</t>
  </si>
  <si>
    <t>Hourly Rate</t>
  </si>
  <si>
    <t>Unit rate (Hourly)</t>
  </si>
  <si>
    <t>Combine Fiscal Impacts</t>
  </si>
  <si>
    <t>FY16 Contracts total</t>
  </si>
  <si>
    <t>Base FY16: Prospective 1/1/17-12/31/18</t>
  </si>
  <si>
    <t>C.257 Benchmark</t>
  </si>
  <si>
    <t>offsets</t>
  </si>
  <si>
    <t>Placement M&amp;G</t>
  </si>
  <si>
    <t>Jan 1, 2017 Implementation</t>
  </si>
  <si>
    <t>CSSE</t>
  </si>
  <si>
    <t>CSSI</t>
  </si>
  <si>
    <t>MDAT</t>
  </si>
  <si>
    <t>ALP</t>
  </si>
  <si>
    <t>West &amp; Central</t>
  </si>
  <si>
    <t>5 families</t>
  </si>
  <si>
    <t xml:space="preserve">10 Families </t>
  </si>
  <si>
    <t>Accommodation Rate</t>
  </si>
  <si>
    <t>Metro, North &amp; South</t>
  </si>
  <si>
    <t>Families</t>
  </si>
  <si>
    <t>Metro North &amp; South Regions</t>
  </si>
  <si>
    <t>Conflict</t>
  </si>
  <si>
    <t>07/01/2017 - 6/30/2019</t>
  </si>
  <si>
    <t>Monthly Accomodation Rate</t>
  </si>
  <si>
    <t>Description</t>
  </si>
  <si>
    <t>Master Data Source Table</t>
  </si>
  <si>
    <t>Base Period FY16 Prospective Period FY18 &amp; FY19</t>
  </si>
  <si>
    <t>C.257 benchmark</t>
  </si>
  <si>
    <t xml:space="preserve">Blended </t>
  </si>
  <si>
    <t>LCSW/ Specialized Staff</t>
  </si>
  <si>
    <t>Monthly Accommodation Rate per Family</t>
  </si>
  <si>
    <t>Monthly Accommodation Rate for 5 Families</t>
  </si>
  <si>
    <t xml:space="preserve">LCSW / Specialized Staff </t>
  </si>
  <si>
    <t>17 families</t>
  </si>
  <si>
    <t>West  = 8</t>
  </si>
  <si>
    <t>Central = 2</t>
  </si>
  <si>
    <t>10 Families</t>
  </si>
  <si>
    <t>Boston = 5</t>
  </si>
  <si>
    <t>South = 6</t>
  </si>
  <si>
    <t>North &amp; Metro  = 6</t>
  </si>
  <si>
    <t>per family</t>
  </si>
  <si>
    <t>Purchaser reccomendation Per family</t>
  </si>
  <si>
    <r>
      <t xml:space="preserve">Program Expenses: </t>
    </r>
    <r>
      <rPr>
        <sz val="10"/>
        <color theme="1"/>
        <rFont val="Calibri"/>
        <family val="2"/>
        <scheme val="minor"/>
      </rPr>
      <t>(Occupancy, Prog Supplies, Materials, Consultants &amp; Travel)</t>
    </r>
  </si>
  <si>
    <t>Program Expenses (per Family)</t>
  </si>
  <si>
    <t>Weigthed Average FY16 Contract Data</t>
  </si>
  <si>
    <t>IHS Markit Economics Spring 2018 Forecast</t>
  </si>
  <si>
    <t>FY20</t>
  </si>
  <si>
    <t>FY21</t>
  </si>
  <si>
    <t>Spring  MA Economics 2018</t>
  </si>
  <si>
    <t>Assumption for Rate Reviews that are to be promulgated July 1, 2019</t>
  </si>
  <si>
    <t>FY19Q4</t>
  </si>
  <si>
    <t>CY19Q2</t>
  </si>
  <si>
    <t>FY20 and FY21</t>
  </si>
  <si>
    <t>CAF (Rate Review for FY20 &amp; FY21)</t>
  </si>
  <si>
    <t>CAF (initial rate)</t>
  </si>
  <si>
    <t>Base Period FY19Q4 Prospective Period FY20 &amp; FY21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</si>
</sst>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\$#,##0"/>
    <numFmt numFmtId="166" formatCode="0.000"/>
    <numFmt numFmtId="167" formatCode="0.0"/>
    <numFmt numFmtId="168" formatCode="&quot;$&quot;#,##0"/>
    <numFmt numFmtId="169" formatCode="&quot;$&quot;#,##0.0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17"/>
      <name val="Calibri"/>
      <family val="2"/>
      <scheme val="minor"/>
    </font>
    <font>
      <sz val="9"/>
      <color indexed="3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00B050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7"/>
      <name val="Calibri"/>
      <family val="2"/>
      <scheme val="minor"/>
    </font>
    <font>
      <sz val="12"/>
      <color indexed="30"/>
      <name val="Calibri"/>
      <family val="2"/>
      <scheme val="minor"/>
    </font>
    <font>
      <sz val="12"/>
      <name val="Calibri"/>
      <family val="2"/>
      <scheme val="minor"/>
    </font>
    <font>
      <u/>
      <sz val="12"/>
      <color indexed="8"/>
      <name val="Calibri"/>
      <family val="2"/>
      <scheme val="minor"/>
    </font>
    <font>
      <sz val="10"/>
      <name val="Arial"/>
    </font>
    <font>
      <sz val="11"/>
      <color theme="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2">
    <xf numFmtId="0" fontId="0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45" fillId="0" borderId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6" fillId="0" borderId="0" applyFont="0" applyFill="0" applyBorder="0" applyAlignment="0" applyProtection="0"/>
  </cellStyleXfs>
  <cellXfs count="558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center"/>
    </xf>
    <xf numFmtId="0" fontId="9" fillId="4" borderId="5" xfId="10" applyFont="1" applyFill="1" applyBorder="1" applyAlignment="1">
      <alignment horizontal="center"/>
    </xf>
    <xf numFmtId="0" fontId="10" fillId="0" borderId="14" xfId="6" applyFont="1" applyBorder="1"/>
    <xf numFmtId="3" fontId="10" fillId="0" borderId="10" xfId="6" applyNumberFormat="1" applyFont="1" applyBorder="1" applyAlignment="1">
      <alignment horizontal="center"/>
    </xf>
    <xf numFmtId="0" fontId="7" fillId="0" borderId="6" xfId="10" applyFont="1" applyBorder="1" applyAlignment="1">
      <alignment horizontal="left"/>
    </xf>
    <xf numFmtId="0" fontId="10" fillId="0" borderId="16" xfId="6" applyFont="1" applyBorder="1"/>
    <xf numFmtId="0" fontId="10" fillId="0" borderId="17" xfId="6" applyFont="1" applyBorder="1" applyAlignment="1">
      <alignment horizontal="center"/>
    </xf>
    <xf numFmtId="0" fontId="10" fillId="0" borderId="18" xfId="6" applyFont="1" applyBorder="1" applyAlignment="1">
      <alignment horizontal="center"/>
    </xf>
    <xf numFmtId="0" fontId="7" fillId="0" borderId="6" xfId="10" applyFont="1" applyFill="1" applyBorder="1" applyAlignment="1">
      <alignment horizontal="left"/>
    </xf>
    <xf numFmtId="42" fontId="11" fillId="0" borderId="7" xfId="10" applyNumberFormat="1" applyFont="1" applyFill="1" applyBorder="1"/>
    <xf numFmtId="0" fontId="7" fillId="0" borderId="6" xfId="10" applyFont="1" applyBorder="1" applyAlignment="1"/>
    <xf numFmtId="42" fontId="11" fillId="0" borderId="0" xfId="6" applyNumberFormat="1" applyFont="1" applyBorder="1"/>
    <xf numFmtId="4" fontId="12" fillId="0" borderId="0" xfId="6" applyNumberFormat="1" applyFont="1" applyBorder="1"/>
    <xf numFmtId="42" fontId="13" fillId="0" borderId="7" xfId="6" applyNumberFormat="1" applyFont="1" applyBorder="1"/>
    <xf numFmtId="0" fontId="7" fillId="0" borderId="16" xfId="10" applyFont="1" applyBorder="1" applyAlignment="1">
      <alignment horizontal="left"/>
    </xf>
    <xf numFmtId="42" fontId="11" fillId="0" borderId="18" xfId="10" applyNumberFormat="1" applyFont="1" applyBorder="1"/>
    <xf numFmtId="0" fontId="7" fillId="0" borderId="6" xfId="10" applyFont="1" applyFill="1" applyBorder="1" applyAlignment="1"/>
    <xf numFmtId="0" fontId="7" fillId="0" borderId="6" xfId="0" applyFont="1" applyBorder="1" applyAlignment="1">
      <alignment horizontal="left"/>
    </xf>
    <xf numFmtId="0" fontId="14" fillId="0" borderId="7" xfId="10" quotePrefix="1" applyNumberFormat="1" applyFont="1" applyBorder="1" applyAlignment="1">
      <alignment horizontal="center"/>
    </xf>
    <xf numFmtId="0" fontId="2" fillId="4" borderId="8" xfId="10" applyFont="1" applyFill="1" applyBorder="1" applyAlignment="1">
      <alignment horizontal="left"/>
    </xf>
    <xf numFmtId="2" fontId="15" fillId="0" borderId="7" xfId="10" applyNumberFormat="1" applyFont="1" applyFill="1" applyBorder="1"/>
    <xf numFmtId="0" fontId="10" fillId="0" borderId="19" xfId="6" applyFont="1" applyBorder="1"/>
    <xf numFmtId="0" fontId="10" fillId="0" borderId="20" xfId="6" applyFont="1" applyBorder="1"/>
    <xf numFmtId="4" fontId="10" fillId="0" borderId="20" xfId="6" applyNumberFormat="1" applyFont="1" applyFill="1" applyBorder="1"/>
    <xf numFmtId="42" fontId="10" fillId="0" borderId="9" xfId="6" applyNumberFormat="1" applyFont="1" applyBorder="1"/>
    <xf numFmtId="0" fontId="10" fillId="0" borderId="6" xfId="6" applyFont="1" applyBorder="1"/>
    <xf numFmtId="0" fontId="13" fillId="0" borderId="0" xfId="6" applyFont="1" applyBorder="1"/>
    <xf numFmtId="0" fontId="10" fillId="0" borderId="0" xfId="6" applyFont="1" applyBorder="1"/>
    <xf numFmtId="0" fontId="13" fillId="0" borderId="7" xfId="6" applyFont="1" applyBorder="1"/>
    <xf numFmtId="2" fontId="15" fillId="0" borderId="18" xfId="10" applyNumberFormat="1" applyFont="1" applyBorder="1"/>
    <xf numFmtId="0" fontId="13" fillId="0" borderId="6" xfId="6" applyFont="1" applyBorder="1"/>
    <xf numFmtId="10" fontId="11" fillId="0" borderId="0" xfId="6" applyNumberFormat="1" applyFont="1" applyBorder="1"/>
    <xf numFmtId="44" fontId="10" fillId="0" borderId="20" xfId="6" applyNumberFormat="1" applyFont="1" applyBorder="1"/>
    <xf numFmtId="164" fontId="16" fillId="0" borderId="7" xfId="15" applyNumberFormat="1" applyFont="1" applyBorder="1" applyAlignment="1">
      <alignment horizontal="right"/>
    </xf>
    <xf numFmtId="44" fontId="10" fillId="0" borderId="0" xfId="6" applyNumberFormat="1" applyFont="1" applyBorder="1"/>
    <xf numFmtId="42" fontId="10" fillId="0" borderId="7" xfId="6" applyNumberFormat="1" applyFont="1" applyBorder="1"/>
    <xf numFmtId="10" fontId="11" fillId="0" borderId="7" xfId="14" applyNumberFormat="1" applyFont="1" applyBorder="1"/>
    <xf numFmtId="0" fontId="13" fillId="0" borderId="6" xfId="6" applyFont="1" applyFill="1" applyBorder="1" applyAlignment="1">
      <alignment horizontal="left"/>
    </xf>
    <xf numFmtId="0" fontId="7" fillId="0" borderId="21" xfId="10" applyFont="1" applyBorder="1" applyAlignment="1">
      <alignment horizontal="left"/>
    </xf>
    <xf numFmtId="10" fontId="15" fillId="0" borderId="22" xfId="13" applyNumberFormat="1" applyFont="1" applyFill="1" applyBorder="1"/>
    <xf numFmtId="0" fontId="10" fillId="0" borderId="24" xfId="6" applyFont="1" applyBorder="1"/>
    <xf numFmtId="0" fontId="13" fillId="0" borderId="25" xfId="6" applyFont="1" applyBorder="1"/>
    <xf numFmtId="42" fontId="10" fillId="0" borderId="26" xfId="6" applyNumberFormat="1" applyFont="1" applyBorder="1"/>
    <xf numFmtId="10" fontId="12" fillId="0" borderId="0" xfId="6" applyNumberFormat="1" applyFont="1" applyFill="1" applyBorder="1"/>
    <xf numFmtId="164" fontId="13" fillId="0" borderId="7" xfId="2" applyNumberFormat="1" applyFont="1" applyBorder="1"/>
    <xf numFmtId="0" fontId="17" fillId="0" borderId="7" xfId="6" applyFont="1" applyBorder="1" applyAlignment="1">
      <alignment horizontal="right"/>
    </xf>
    <xf numFmtId="0" fontId="10" fillId="0" borderId="21" xfId="6" applyFont="1" applyFill="1" applyBorder="1"/>
    <xf numFmtId="44" fontId="10" fillId="0" borderId="27" xfId="6" applyNumberFormat="1" applyFont="1" applyFill="1" applyBorder="1"/>
    <xf numFmtId="44" fontId="10" fillId="0" borderId="27" xfId="2" applyFont="1" applyFill="1" applyBorder="1"/>
    <xf numFmtId="0" fontId="18" fillId="0" borderId="0" xfId="16"/>
    <xf numFmtId="0" fontId="20" fillId="9" borderId="0" xfId="16" applyFont="1" applyFill="1" applyBorder="1"/>
    <xf numFmtId="0" fontId="21" fillId="9" borderId="7" xfId="16" applyFont="1" applyFill="1" applyBorder="1"/>
    <xf numFmtId="0" fontId="22" fillId="9" borderId="27" xfId="16" applyFont="1" applyFill="1" applyBorder="1"/>
    <xf numFmtId="0" fontId="21" fillId="9" borderId="22" xfId="16" applyFont="1" applyFill="1" applyBorder="1"/>
    <xf numFmtId="0" fontId="21" fillId="0" borderId="0" xfId="16" applyFont="1"/>
    <xf numFmtId="0" fontId="5" fillId="10" borderId="0" xfId="16" applyFont="1" applyFill="1"/>
    <xf numFmtId="0" fontId="5" fillId="11" borderId="0" xfId="16" applyFont="1" applyFill="1"/>
    <xf numFmtId="0" fontId="5" fillId="12" borderId="0" xfId="16" applyFont="1" applyFill="1"/>
    <xf numFmtId="0" fontId="5" fillId="5" borderId="0" xfId="16" applyFont="1" applyFill="1"/>
    <xf numFmtId="0" fontId="23" fillId="5" borderId="0" xfId="16" applyFont="1" applyFill="1"/>
    <xf numFmtId="0" fontId="5" fillId="13" borderId="0" xfId="16" applyFont="1" applyFill="1"/>
    <xf numFmtId="0" fontId="24" fillId="13" borderId="0" xfId="16" applyFont="1" applyFill="1"/>
    <xf numFmtId="0" fontId="24" fillId="6" borderId="0" xfId="16" applyFont="1" applyFill="1"/>
    <xf numFmtId="0" fontId="24" fillId="8" borderId="0" xfId="16" applyFont="1" applyFill="1"/>
    <xf numFmtId="0" fontId="24" fillId="7" borderId="0" xfId="16" applyFont="1" applyFill="1"/>
    <xf numFmtId="14" fontId="21" fillId="0" borderId="0" xfId="16" applyNumberFormat="1" applyFont="1"/>
    <xf numFmtId="166" fontId="18" fillId="0" borderId="0" xfId="16" applyNumberFormat="1"/>
    <xf numFmtId="2" fontId="18" fillId="0" borderId="0" xfId="16" applyNumberFormat="1"/>
    <xf numFmtId="0" fontId="21" fillId="0" borderId="0" xfId="7" applyFont="1"/>
    <xf numFmtId="0" fontId="5" fillId="0" borderId="0" xfId="7"/>
    <xf numFmtId="0" fontId="25" fillId="0" borderId="0" xfId="7" applyFont="1"/>
    <xf numFmtId="0" fontId="26" fillId="0" borderId="0" xfId="7" applyFont="1"/>
    <xf numFmtId="0" fontId="5" fillId="0" borderId="28" xfId="7" applyBorder="1"/>
    <xf numFmtId="0" fontId="5" fillId="0" borderId="29" xfId="7" applyBorder="1"/>
    <xf numFmtId="0" fontId="5" fillId="0" borderId="30" xfId="7" applyBorder="1"/>
    <xf numFmtId="0" fontId="5" fillId="0" borderId="31" xfId="7" applyBorder="1"/>
    <xf numFmtId="0" fontId="5" fillId="0" borderId="0" xfId="7" applyBorder="1" applyAlignment="1">
      <alignment horizontal="right"/>
    </xf>
    <xf numFmtId="0" fontId="5" fillId="0" borderId="0" xfId="7" applyBorder="1"/>
    <xf numFmtId="0" fontId="5" fillId="0" borderId="32" xfId="7" applyBorder="1"/>
    <xf numFmtId="167" fontId="18" fillId="0" borderId="0" xfId="16" applyNumberFormat="1"/>
    <xf numFmtId="0" fontId="27" fillId="0" borderId="32" xfId="7" applyFont="1" applyBorder="1" applyAlignment="1">
      <alignment horizontal="center"/>
    </xf>
    <xf numFmtId="0" fontId="5" fillId="0" borderId="32" xfId="7" applyBorder="1" applyAlignment="1">
      <alignment horizontal="center"/>
    </xf>
    <xf numFmtId="166" fontId="5" fillId="0" borderId="32" xfId="7" applyNumberFormat="1" applyBorder="1" applyAlignment="1">
      <alignment horizontal="center"/>
    </xf>
    <xf numFmtId="0" fontId="21" fillId="3" borderId="0" xfId="7" applyFont="1" applyFill="1" applyBorder="1" applyAlignment="1">
      <alignment horizontal="right"/>
    </xf>
    <xf numFmtId="10" fontId="21" fillId="3" borderId="32" xfId="12" applyNumberFormat="1" applyFont="1" applyFill="1" applyBorder="1" applyAlignment="1">
      <alignment horizontal="center"/>
    </xf>
    <xf numFmtId="0" fontId="5" fillId="0" borderId="33" xfId="7" applyBorder="1"/>
    <xf numFmtId="0" fontId="5" fillId="0" borderId="17" xfId="7" applyBorder="1"/>
    <xf numFmtId="0" fontId="5" fillId="0" borderId="34" xfId="7" applyBorder="1"/>
    <xf numFmtId="168" fontId="0" fillId="0" borderId="0" xfId="0" applyNumberFormat="1"/>
    <xf numFmtId="168" fontId="0" fillId="0" borderId="0" xfId="0" applyNumberFormat="1" applyBorder="1"/>
    <xf numFmtId="42" fontId="10" fillId="0" borderId="22" xfId="2" applyNumberFormat="1" applyFont="1" applyFill="1" applyBorder="1"/>
    <xf numFmtId="0" fontId="2" fillId="4" borderId="23" xfId="10" applyFont="1" applyFill="1" applyBorder="1" applyAlignment="1">
      <alignment horizontal="left"/>
    </xf>
    <xf numFmtId="0" fontId="0" fillId="0" borderId="2" xfId="0" applyBorder="1"/>
    <xf numFmtId="168" fontId="0" fillId="0" borderId="4" xfId="0" applyNumberFormat="1" applyBorder="1"/>
    <xf numFmtId="0" fontId="0" fillId="0" borderId="6" xfId="0" applyBorder="1"/>
    <xf numFmtId="168" fontId="0" fillId="0" borderId="7" xfId="0" applyNumberFormat="1" applyBorder="1"/>
    <xf numFmtId="168" fontId="0" fillId="0" borderId="26" xfId="0" applyNumberFormat="1" applyBorder="1"/>
    <xf numFmtId="0" fontId="0" fillId="0" borderId="21" xfId="0" applyBorder="1"/>
    <xf numFmtId="168" fontId="0" fillId="0" borderId="22" xfId="0" applyNumberFormat="1" applyBorder="1"/>
    <xf numFmtId="168" fontId="2" fillId="0" borderId="0" xfId="0" applyNumberFormat="1" applyFont="1"/>
    <xf numFmtId="0" fontId="0" fillId="0" borderId="0" xfId="0" applyAlignment="1">
      <alignment horizontal="center"/>
    </xf>
    <xf numFmtId="168" fontId="0" fillId="0" borderId="6" xfId="0" applyNumberFormat="1" applyBorder="1"/>
    <xf numFmtId="0" fontId="0" fillId="0" borderId="0" xfId="0" applyBorder="1"/>
    <xf numFmtId="0" fontId="2" fillId="0" borderId="0" xfId="0" applyFont="1" applyBorder="1"/>
    <xf numFmtId="10" fontId="2" fillId="0" borderId="0" xfId="17" applyNumberFormat="1" applyFont="1" applyBorder="1"/>
    <xf numFmtId="0" fontId="2" fillId="0" borderId="7" xfId="0" applyFont="1" applyBorder="1"/>
    <xf numFmtId="168" fontId="2" fillId="0" borderId="21" xfId="0" applyNumberFormat="1" applyFont="1" applyBorder="1"/>
    <xf numFmtId="0" fontId="2" fillId="0" borderId="27" xfId="0" applyFont="1" applyBorder="1"/>
    <xf numFmtId="168" fontId="2" fillId="0" borderId="27" xfId="15" applyNumberFormat="1" applyFont="1" applyBorder="1" applyAlignment="1">
      <alignment horizontal="left"/>
    </xf>
    <xf numFmtId="10" fontId="2" fillId="0" borderId="22" xfId="17" applyNumberFormat="1" applyFont="1" applyBorder="1" applyAlignment="1">
      <alignment horizontal="center"/>
    </xf>
    <xf numFmtId="168" fontId="2" fillId="0" borderId="27" xfId="0" applyNumberFormat="1" applyFont="1" applyBorder="1" applyAlignment="1">
      <alignment horizontal="center"/>
    </xf>
    <xf numFmtId="168" fontId="2" fillId="0" borderId="27" xfId="15" applyNumberFormat="1" applyFont="1" applyBorder="1" applyAlignment="1">
      <alignment horizontal="center"/>
    </xf>
    <xf numFmtId="168" fontId="0" fillId="0" borderId="25" xfId="0" applyNumberFormat="1" applyBorder="1"/>
    <xf numFmtId="10" fontId="0" fillId="0" borderId="0" xfId="17" applyNumberFormat="1" applyFont="1"/>
    <xf numFmtId="0" fontId="0" fillId="0" borderId="25" xfId="0" applyBorder="1" applyAlignment="1">
      <alignment horizontal="center"/>
    </xf>
    <xf numFmtId="0" fontId="0" fillId="0" borderId="25" xfId="0" applyBorder="1"/>
    <xf numFmtId="0" fontId="0" fillId="0" borderId="0" xfId="0" applyFill="1" applyAlignment="1">
      <alignment horizontal="center"/>
    </xf>
    <xf numFmtId="0" fontId="29" fillId="0" borderId="0" xfId="0" applyFont="1"/>
    <xf numFmtId="168" fontId="29" fillId="0" borderId="0" xfId="0" applyNumberFormat="1" applyFont="1" applyFill="1"/>
    <xf numFmtId="0" fontId="0" fillId="0" borderId="17" xfId="0" applyBorder="1"/>
    <xf numFmtId="0" fontId="0" fillId="0" borderId="0" xfId="0" applyFill="1" applyBorder="1"/>
    <xf numFmtId="168" fontId="11" fillId="0" borderId="0" xfId="10" applyNumberFormat="1" applyFont="1" applyBorder="1"/>
    <xf numFmtId="168" fontId="11" fillId="0" borderId="0" xfId="10" applyNumberFormat="1" applyFont="1" applyFill="1" applyBorder="1"/>
    <xf numFmtId="2" fontId="15" fillId="0" borderId="0" xfId="10" applyNumberFormat="1" applyFont="1" applyFill="1" applyBorder="1"/>
    <xf numFmtId="164" fontId="16" fillId="0" borderId="0" xfId="15" applyNumberFormat="1" applyFont="1" applyBorder="1" applyAlignment="1">
      <alignment horizontal="right"/>
    </xf>
    <xf numFmtId="0" fontId="31" fillId="0" borderId="0" xfId="0" applyFont="1" applyBorder="1"/>
    <xf numFmtId="0" fontId="9" fillId="4" borderId="4" xfId="10" applyFont="1" applyFill="1" applyBorder="1" applyAlignment="1">
      <alignment horizontal="center"/>
    </xf>
    <xf numFmtId="0" fontId="2" fillId="4" borderId="7" xfId="10" applyFont="1" applyFill="1" applyBorder="1" applyAlignment="1">
      <alignment horizontal="left"/>
    </xf>
    <xf numFmtId="0" fontId="2" fillId="0" borderId="6" xfId="0" applyFont="1" applyBorder="1"/>
    <xf numFmtId="0" fontId="2" fillId="0" borderId="21" xfId="0" applyFont="1" applyBorder="1"/>
    <xf numFmtId="0" fontId="2" fillId="0" borderId="22" xfId="0" applyFont="1" applyBorder="1"/>
    <xf numFmtId="0" fontId="2" fillId="4" borderId="22" xfId="1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4" fillId="0" borderId="3" xfId="10" quotePrefix="1" applyNumberFormat="1" applyFont="1" applyBorder="1" applyAlignment="1">
      <alignment horizontal="center"/>
    </xf>
    <xf numFmtId="0" fontId="2" fillId="4" borderId="4" xfId="10" applyFont="1" applyFill="1" applyBorder="1" applyAlignment="1">
      <alignment horizontal="left"/>
    </xf>
    <xf numFmtId="2" fontId="15" fillId="0" borderId="27" xfId="10" applyNumberFormat="1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10" fontId="2" fillId="0" borderId="12" xfId="0" applyNumberFormat="1" applyFont="1" applyBorder="1"/>
    <xf numFmtId="0" fontId="14" fillId="0" borderId="6" xfId="0" applyFont="1" applyBorder="1" applyAlignment="1"/>
    <xf numFmtId="0" fontId="14" fillId="0" borderId="11" xfId="0" applyFont="1" applyBorder="1" applyAlignment="1"/>
    <xf numFmtId="10" fontId="14" fillId="0" borderId="12" xfId="0" applyNumberFormat="1" applyFont="1" applyBorder="1" applyAlignment="1"/>
    <xf numFmtId="0" fontId="2" fillId="4" borderId="13" xfId="10" applyFont="1" applyFill="1" applyBorder="1" applyAlignment="1">
      <alignment horizontal="left"/>
    </xf>
    <xf numFmtId="164" fontId="13" fillId="0" borderId="0" xfId="6" applyNumberFormat="1" applyFont="1" applyBorder="1"/>
    <xf numFmtId="0" fontId="0" fillId="0" borderId="0" xfId="0" applyFill="1"/>
    <xf numFmtId="168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  <xf numFmtId="10" fontId="2" fillId="0" borderId="0" xfId="17" applyNumberFormat="1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168" fontId="2" fillId="0" borderId="0" xfId="15" applyNumberFormat="1" applyFont="1" applyFill="1" applyBorder="1" applyAlignment="1">
      <alignment horizontal="center"/>
    </xf>
    <xf numFmtId="168" fontId="2" fillId="0" borderId="0" xfId="0" applyNumberFormat="1" applyFont="1" applyFill="1" applyBorder="1" applyAlignment="1">
      <alignment horizontal="center"/>
    </xf>
    <xf numFmtId="10" fontId="2" fillId="0" borderId="0" xfId="17" applyNumberFormat="1" applyFont="1" applyFill="1" applyBorder="1" applyAlignment="1">
      <alignment horizontal="center"/>
    </xf>
    <xf numFmtId="0" fontId="2" fillId="0" borderId="0" xfId="0" applyFont="1" applyFill="1"/>
    <xf numFmtId="168" fontId="2" fillId="0" borderId="0" xfId="15" applyNumberFormat="1" applyFont="1" applyFill="1" applyBorder="1" applyAlignment="1">
      <alignment horizontal="left"/>
    </xf>
    <xf numFmtId="168" fontId="11" fillId="0" borderId="0" xfId="6" applyNumberFormat="1" applyFont="1" applyBorder="1"/>
    <xf numFmtId="44" fontId="0" fillId="0" borderId="0" xfId="0" applyNumberFormat="1"/>
    <xf numFmtId="168" fontId="31" fillId="0" borderId="25" xfId="0" applyNumberFormat="1" applyFont="1" applyBorder="1"/>
    <xf numFmtId="0" fontId="30" fillId="0" borderId="6" xfId="0" applyFont="1" applyBorder="1"/>
    <xf numFmtId="0" fontId="30" fillId="0" borderId="0" xfId="0" applyFont="1" applyBorder="1"/>
    <xf numFmtId="0" fontId="28" fillId="0" borderId="0" xfId="0" applyFont="1" applyBorder="1"/>
    <xf numFmtId="0" fontId="30" fillId="0" borderId="7" xfId="0" applyFont="1" applyBorder="1"/>
    <xf numFmtId="0" fontId="31" fillId="0" borderId="6" xfId="0" applyFont="1" applyBorder="1"/>
    <xf numFmtId="168" fontId="31" fillId="0" borderId="0" xfId="0" applyNumberFormat="1" applyFont="1" applyBorder="1"/>
    <xf numFmtId="10" fontId="31" fillId="0" borderId="7" xfId="17" applyNumberFormat="1" applyFont="1" applyBorder="1"/>
    <xf numFmtId="10" fontId="31" fillId="0" borderId="26" xfId="17" applyNumberFormat="1" applyFont="1" applyBorder="1"/>
    <xf numFmtId="168" fontId="2" fillId="0" borderId="27" xfId="0" applyNumberFormat="1" applyFont="1" applyBorder="1"/>
    <xf numFmtId="0" fontId="0" fillId="0" borderId="27" xfId="0" applyBorder="1"/>
    <xf numFmtId="10" fontId="31" fillId="0" borderId="22" xfId="17" applyNumberFormat="1" applyFont="1" applyBorder="1"/>
    <xf numFmtId="42" fontId="10" fillId="3" borderId="22" xfId="2" applyNumberFormat="1" applyFont="1" applyFill="1" applyBorder="1"/>
    <xf numFmtId="164" fontId="31" fillId="0" borderId="0" xfId="0" applyNumberFormat="1" applyFont="1" applyBorder="1"/>
    <xf numFmtId="164" fontId="0" fillId="0" borderId="0" xfId="0" applyNumberFormat="1" applyBorder="1"/>
    <xf numFmtId="164" fontId="2" fillId="0" borderId="0" xfId="0" applyNumberFormat="1" applyFont="1" applyBorder="1"/>
    <xf numFmtId="164" fontId="31" fillId="0" borderId="25" xfId="0" applyNumberFormat="1" applyFont="1" applyBorder="1"/>
    <xf numFmtId="164" fontId="2" fillId="0" borderId="25" xfId="0" applyNumberFormat="1" applyFont="1" applyBorder="1"/>
    <xf numFmtId="164" fontId="31" fillId="0" borderId="27" xfId="0" applyNumberFormat="1" applyFont="1" applyBorder="1"/>
    <xf numFmtId="0" fontId="0" fillId="0" borderId="0" xfId="0" applyBorder="1" applyAlignment="1">
      <alignment horizontal="left"/>
    </xf>
    <xf numFmtId="44" fontId="0" fillId="0" borderId="0" xfId="15" applyFont="1" applyBorder="1" applyAlignment="1">
      <alignment horizontal="center"/>
    </xf>
    <xf numFmtId="168" fontId="0" fillId="0" borderId="0" xfId="0" applyNumberFormat="1" applyBorder="1" applyAlignment="1">
      <alignment horizontal="right"/>
    </xf>
    <xf numFmtId="10" fontId="0" fillId="0" borderId="0" xfId="17" applyNumberFormat="1" applyFont="1" applyBorder="1"/>
    <xf numFmtId="0" fontId="0" fillId="0" borderId="0" xfId="0" applyBorder="1" applyAlignment="1">
      <alignment horizontal="right"/>
    </xf>
    <xf numFmtId="168" fontId="29" fillId="0" borderId="0" xfId="0" applyNumberFormat="1" applyFont="1"/>
    <xf numFmtId="3" fontId="10" fillId="0" borderId="0" xfId="6" applyNumberFormat="1" applyFont="1" applyBorder="1" applyAlignment="1">
      <alignment horizontal="center"/>
    </xf>
    <xf numFmtId="0" fontId="10" fillId="0" borderId="0" xfId="6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42" fontId="13" fillId="0" borderId="0" xfId="6" applyNumberFormat="1" applyFont="1" applyBorder="1"/>
    <xf numFmtId="42" fontId="10" fillId="0" borderId="0" xfId="6" applyNumberFormat="1" applyFont="1" applyBorder="1"/>
    <xf numFmtId="164" fontId="13" fillId="0" borderId="0" xfId="2" applyNumberFormat="1" applyFont="1" applyBorder="1"/>
    <xf numFmtId="0" fontId="17" fillId="0" borderId="0" xfId="6" applyFont="1" applyBorder="1" applyAlignment="1">
      <alignment horizontal="right"/>
    </xf>
    <xf numFmtId="42" fontId="10" fillId="0" borderId="0" xfId="2" applyNumberFormat="1" applyFont="1" applyFill="1" applyBorder="1"/>
    <xf numFmtId="0" fontId="2" fillId="0" borderId="0" xfId="0" applyFont="1" applyAlignment="1">
      <alignment wrapText="1"/>
    </xf>
    <xf numFmtId="168" fontId="9" fillId="0" borderId="6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4" fillId="0" borderId="0" xfId="6" applyFont="1" applyFill="1" applyBorder="1" applyAlignment="1">
      <alignment horizontal="center"/>
    </xf>
    <xf numFmtId="168" fontId="0" fillId="17" borderId="0" xfId="0" applyNumberFormat="1" applyFill="1" applyBorder="1"/>
    <xf numFmtId="168" fontId="2" fillId="0" borderId="21" xfId="0" applyNumberFormat="1" applyFont="1" applyBorder="1" applyAlignment="1">
      <alignment horizontal="right"/>
    </xf>
    <xf numFmtId="168" fontId="9" fillId="0" borderId="16" xfId="0" applyNumberFormat="1" applyFont="1" applyBorder="1" applyAlignment="1">
      <alignment horizontal="right" wrapText="1"/>
    </xf>
    <xf numFmtId="0" fontId="9" fillId="0" borderId="17" xfId="0" applyFont="1" applyBorder="1" applyAlignment="1">
      <alignment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5" fontId="0" fillId="0" borderId="0" xfId="0" applyNumberFormat="1"/>
    <xf numFmtId="168" fontId="0" fillId="18" borderId="0" xfId="0" applyNumberFormat="1" applyFill="1" applyAlignment="1">
      <alignment horizontal="right"/>
    </xf>
    <xf numFmtId="168" fontId="11" fillId="0" borderId="7" xfId="10" applyNumberFormat="1" applyFont="1" applyBorder="1"/>
    <xf numFmtId="168" fontId="11" fillId="4" borderId="7" xfId="10" applyNumberFormat="1" applyFont="1" applyFill="1" applyBorder="1"/>
    <xf numFmtId="0" fontId="10" fillId="0" borderId="7" xfId="6" applyFont="1" applyBorder="1" applyAlignment="1">
      <alignment horizontal="center"/>
    </xf>
    <xf numFmtId="10" fontId="13" fillId="0" borderId="0" xfId="6" applyNumberFormat="1" applyFont="1" applyBorder="1"/>
    <xf numFmtId="6" fontId="11" fillId="0" borderId="0" xfId="6" applyNumberFormat="1" applyFont="1" applyBorder="1"/>
    <xf numFmtId="0" fontId="0" fillId="0" borderId="0" xfId="0"/>
    <xf numFmtId="0" fontId="2" fillId="0" borderId="0" xfId="0" applyFont="1"/>
    <xf numFmtId="0" fontId="10" fillId="0" borderId="14" xfId="6" applyFont="1" applyBorder="1"/>
    <xf numFmtId="3" fontId="10" fillId="0" borderId="10" xfId="6" applyNumberFormat="1" applyFont="1" applyBorder="1" applyAlignment="1">
      <alignment horizontal="center"/>
    </xf>
    <xf numFmtId="0" fontId="7" fillId="0" borderId="6" xfId="10" applyFont="1" applyBorder="1" applyAlignment="1">
      <alignment horizontal="left"/>
    </xf>
    <xf numFmtId="0" fontId="10" fillId="0" borderId="16" xfId="6" applyFont="1" applyBorder="1"/>
    <xf numFmtId="0" fontId="10" fillId="0" borderId="17" xfId="6" applyFont="1" applyBorder="1" applyAlignment="1">
      <alignment horizontal="center"/>
    </xf>
    <xf numFmtId="0" fontId="10" fillId="0" borderId="18" xfId="6" applyFont="1" applyBorder="1" applyAlignment="1">
      <alignment horizontal="center"/>
    </xf>
    <xf numFmtId="0" fontId="7" fillId="0" borderId="6" xfId="10" applyFont="1" applyFill="1" applyBorder="1" applyAlignment="1">
      <alignment horizontal="left"/>
    </xf>
    <xf numFmtId="0" fontId="7" fillId="0" borderId="6" xfId="10" applyFont="1" applyBorder="1" applyAlignment="1"/>
    <xf numFmtId="42" fontId="11" fillId="0" borderId="0" xfId="6" applyNumberFormat="1" applyFont="1" applyBorder="1"/>
    <xf numFmtId="4" fontId="12" fillId="0" borderId="0" xfId="6" applyNumberFormat="1" applyFont="1" applyBorder="1"/>
    <xf numFmtId="42" fontId="13" fillId="0" borderId="7" xfId="6" applyNumberFormat="1" applyFont="1" applyBorder="1"/>
    <xf numFmtId="0" fontId="7" fillId="0" borderId="6" xfId="10" applyFont="1" applyFill="1" applyBorder="1" applyAlignment="1"/>
    <xf numFmtId="0" fontId="10" fillId="0" borderId="19" xfId="6" applyFont="1" applyBorder="1"/>
    <xf numFmtId="0" fontId="10" fillId="0" borderId="20" xfId="6" applyFont="1" applyBorder="1"/>
    <xf numFmtId="4" fontId="10" fillId="0" borderId="20" xfId="6" applyNumberFormat="1" applyFont="1" applyFill="1" applyBorder="1"/>
    <xf numFmtId="42" fontId="10" fillId="0" borderId="9" xfId="6" applyNumberFormat="1" applyFont="1" applyBorder="1"/>
    <xf numFmtId="0" fontId="10" fillId="0" borderId="6" xfId="6" applyFont="1" applyBorder="1"/>
    <xf numFmtId="0" fontId="13" fillId="0" borderId="0" xfId="6" applyFont="1" applyBorder="1"/>
    <xf numFmtId="0" fontId="10" fillId="0" borderId="0" xfId="6" applyFont="1" applyBorder="1"/>
    <xf numFmtId="0" fontId="13" fillId="0" borderId="7" xfId="6" applyFont="1" applyBorder="1"/>
    <xf numFmtId="0" fontId="13" fillId="0" borderId="6" xfId="6" applyFont="1" applyBorder="1"/>
    <xf numFmtId="10" fontId="11" fillId="0" borderId="0" xfId="6" applyNumberFormat="1" applyFont="1" applyBorder="1"/>
    <xf numFmtId="44" fontId="10" fillId="0" borderId="20" xfId="6" applyNumberFormat="1" applyFont="1" applyBorder="1"/>
    <xf numFmtId="44" fontId="10" fillId="0" borderId="0" xfId="6" applyNumberFormat="1" applyFont="1" applyBorder="1"/>
    <xf numFmtId="42" fontId="10" fillId="0" borderId="7" xfId="6" applyNumberFormat="1" applyFont="1" applyBorder="1"/>
    <xf numFmtId="0" fontId="7" fillId="0" borderId="21" xfId="10" applyFont="1" applyBorder="1" applyAlignment="1">
      <alignment horizontal="left"/>
    </xf>
    <xf numFmtId="0" fontId="10" fillId="0" borderId="24" xfId="6" applyFont="1" applyBorder="1"/>
    <xf numFmtId="0" fontId="13" fillId="0" borderId="25" xfId="6" applyFont="1" applyBorder="1"/>
    <xf numFmtId="42" fontId="10" fillId="0" borderId="26" xfId="6" applyNumberFormat="1" applyFont="1" applyBorder="1"/>
    <xf numFmtId="10" fontId="12" fillId="0" borderId="0" xfId="6" applyNumberFormat="1" applyFont="1" applyFill="1" applyBorder="1"/>
    <xf numFmtId="164" fontId="13" fillId="0" borderId="7" xfId="2" applyNumberFormat="1" applyFont="1" applyBorder="1"/>
    <xf numFmtId="0" fontId="17" fillId="0" borderId="7" xfId="6" applyFont="1" applyBorder="1" applyAlignment="1">
      <alignment horizontal="right"/>
    </xf>
    <xf numFmtId="0" fontId="10" fillId="0" borderId="21" xfId="6" applyFont="1" applyFill="1" applyBorder="1"/>
    <xf numFmtId="44" fontId="10" fillId="0" borderId="27" xfId="6" applyNumberFormat="1" applyFont="1" applyFill="1" applyBorder="1"/>
    <xf numFmtId="44" fontId="10" fillId="0" borderId="27" xfId="2" applyFont="1" applyFill="1" applyBorder="1"/>
    <xf numFmtId="0" fontId="9" fillId="0" borderId="0" xfId="0" applyFont="1" applyBorder="1"/>
    <xf numFmtId="0" fontId="2" fillId="0" borderId="27" xfId="0" applyFont="1" applyBorder="1"/>
    <xf numFmtId="0" fontId="0" fillId="0" borderId="0" xfId="0" applyFill="1" applyBorder="1"/>
    <xf numFmtId="168" fontId="11" fillId="0" borderId="0" xfId="10" applyNumberFormat="1" applyFont="1" applyBorder="1"/>
    <xf numFmtId="168" fontId="11" fillId="0" borderId="0" xfId="10" applyNumberFormat="1" applyFont="1" applyFill="1" applyBorder="1"/>
    <xf numFmtId="2" fontId="15" fillId="0" borderId="0" xfId="10" applyNumberFormat="1" applyFont="1" applyFill="1" applyBorder="1"/>
    <xf numFmtId="164" fontId="16" fillId="0" borderId="0" xfId="15" applyNumberFormat="1" applyFont="1" applyBorder="1" applyAlignment="1">
      <alignment horizontal="right"/>
    </xf>
    <xf numFmtId="0" fontId="31" fillId="0" borderId="0" xfId="0" applyFont="1" applyBorder="1"/>
    <xf numFmtId="0" fontId="9" fillId="4" borderId="4" xfId="10" applyFont="1" applyFill="1" applyBorder="1" applyAlignment="1">
      <alignment horizontal="center"/>
    </xf>
    <xf numFmtId="0" fontId="2" fillId="4" borderId="7" xfId="10" applyFont="1" applyFill="1" applyBorder="1" applyAlignment="1">
      <alignment horizontal="left"/>
    </xf>
    <xf numFmtId="0" fontId="2" fillId="0" borderId="6" xfId="0" applyFont="1" applyBorder="1"/>
    <xf numFmtId="0" fontId="2" fillId="0" borderId="21" xfId="0" applyFont="1" applyBorder="1"/>
    <xf numFmtId="168" fontId="11" fillId="0" borderId="27" xfId="10" applyNumberFormat="1" applyFont="1" applyBorder="1"/>
    <xf numFmtId="0" fontId="2" fillId="4" borderId="22" xfId="1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4" fillId="0" borderId="3" xfId="10" quotePrefix="1" applyNumberFormat="1" applyFont="1" applyBorder="1" applyAlignment="1">
      <alignment horizontal="center"/>
    </xf>
    <xf numFmtId="0" fontId="2" fillId="4" borderId="4" xfId="10" applyFont="1" applyFill="1" applyBorder="1" applyAlignment="1">
      <alignment horizontal="left"/>
    </xf>
    <xf numFmtId="2" fontId="15" fillId="0" borderId="27" xfId="10" applyNumberFormat="1" applyFont="1" applyBorder="1"/>
    <xf numFmtId="0" fontId="2" fillId="0" borderId="11" xfId="0" applyFont="1" applyBorder="1"/>
    <xf numFmtId="0" fontId="2" fillId="0" borderId="13" xfId="0" applyFont="1" applyBorder="1"/>
    <xf numFmtId="10" fontId="2" fillId="0" borderId="12" xfId="0" applyNumberFormat="1" applyFont="1" applyBorder="1"/>
    <xf numFmtId="0" fontId="14" fillId="0" borderId="6" xfId="0" applyFont="1" applyBorder="1" applyAlignment="1"/>
    <xf numFmtId="0" fontId="14" fillId="0" borderId="0" xfId="0" applyFont="1" applyBorder="1" applyAlignment="1"/>
    <xf numFmtId="0" fontId="14" fillId="0" borderId="11" xfId="0" applyFont="1" applyBorder="1" applyAlignment="1"/>
    <xf numFmtId="10" fontId="14" fillId="0" borderId="12" xfId="0" applyNumberFormat="1" applyFont="1" applyBorder="1" applyAlignment="1"/>
    <xf numFmtId="0" fontId="2" fillId="4" borderId="13" xfId="10" applyFont="1" applyFill="1" applyBorder="1" applyAlignment="1">
      <alignment horizontal="left"/>
    </xf>
    <xf numFmtId="164" fontId="10" fillId="0" borderId="0" xfId="6" applyNumberFormat="1" applyFont="1" applyBorder="1"/>
    <xf numFmtId="164" fontId="13" fillId="0" borderId="0" xfId="6" applyNumberFormat="1" applyFont="1" applyBorder="1"/>
    <xf numFmtId="0" fontId="0" fillId="0" borderId="0" xfId="0" applyFill="1"/>
    <xf numFmtId="168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  <xf numFmtId="10" fontId="2" fillId="0" borderId="0" xfId="17" applyNumberFormat="1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168" fontId="2" fillId="0" borderId="0" xfId="15" applyNumberFormat="1" applyFont="1" applyFill="1" applyBorder="1" applyAlignment="1">
      <alignment horizontal="center"/>
    </xf>
    <xf numFmtId="168" fontId="2" fillId="0" borderId="0" xfId="0" applyNumberFormat="1" applyFont="1" applyFill="1" applyBorder="1" applyAlignment="1">
      <alignment horizontal="center"/>
    </xf>
    <xf numFmtId="10" fontId="2" fillId="0" borderId="0" xfId="17" applyNumberFormat="1" applyFont="1" applyFill="1" applyBorder="1" applyAlignment="1">
      <alignment horizontal="center"/>
    </xf>
    <xf numFmtId="0" fontId="2" fillId="0" borderId="0" xfId="0" applyFont="1" applyFill="1"/>
    <xf numFmtId="168" fontId="2" fillId="0" borderId="0" xfId="15" applyNumberFormat="1" applyFont="1" applyFill="1" applyBorder="1" applyAlignment="1">
      <alignment horizontal="left"/>
    </xf>
    <xf numFmtId="168" fontId="11" fillId="0" borderId="0" xfId="6" applyNumberFormat="1" applyFont="1" applyBorder="1"/>
    <xf numFmtId="44" fontId="0" fillId="0" borderId="0" xfId="0" applyNumberFormat="1"/>
    <xf numFmtId="168" fontId="31" fillId="0" borderId="25" xfId="0" applyNumberFormat="1" applyFont="1" applyBorder="1"/>
    <xf numFmtId="0" fontId="30" fillId="0" borderId="6" xfId="0" applyFont="1" applyBorder="1"/>
    <xf numFmtId="0" fontId="30" fillId="0" borderId="0" xfId="0" applyFont="1" applyBorder="1"/>
    <xf numFmtId="0" fontId="28" fillId="0" borderId="0" xfId="0" applyFont="1" applyBorder="1"/>
    <xf numFmtId="0" fontId="30" fillId="0" borderId="7" xfId="0" applyFont="1" applyBorder="1"/>
    <xf numFmtId="0" fontId="31" fillId="0" borderId="6" xfId="0" applyFont="1" applyBorder="1"/>
    <xf numFmtId="168" fontId="31" fillId="0" borderId="0" xfId="0" applyNumberFormat="1" applyFont="1" applyBorder="1"/>
    <xf numFmtId="10" fontId="31" fillId="0" borderId="7" xfId="17" applyNumberFormat="1" applyFont="1" applyBorder="1"/>
    <xf numFmtId="10" fontId="31" fillId="0" borderId="26" xfId="17" applyNumberFormat="1" applyFont="1" applyBorder="1"/>
    <xf numFmtId="168" fontId="2" fillId="0" borderId="27" xfId="0" applyNumberFormat="1" applyFont="1" applyBorder="1"/>
    <xf numFmtId="0" fontId="0" fillId="0" borderId="27" xfId="0" applyBorder="1"/>
    <xf numFmtId="10" fontId="31" fillId="0" borderId="22" xfId="17" applyNumberFormat="1" applyFont="1" applyBorder="1"/>
    <xf numFmtId="42" fontId="10" fillId="3" borderId="22" xfId="2" applyNumberFormat="1" applyFont="1" applyFill="1" applyBorder="1"/>
    <xf numFmtId="164" fontId="31" fillId="0" borderId="0" xfId="0" applyNumberFormat="1" applyFont="1" applyBorder="1"/>
    <xf numFmtId="164" fontId="0" fillId="0" borderId="0" xfId="0" applyNumberFormat="1" applyBorder="1"/>
    <xf numFmtId="164" fontId="2" fillId="0" borderId="0" xfId="0" applyNumberFormat="1" applyFont="1" applyBorder="1"/>
    <xf numFmtId="164" fontId="31" fillId="0" borderId="25" xfId="0" applyNumberFormat="1" applyFont="1" applyBorder="1"/>
    <xf numFmtId="164" fontId="2" fillId="0" borderId="25" xfId="0" applyNumberFormat="1" applyFont="1" applyBorder="1"/>
    <xf numFmtId="164" fontId="31" fillId="0" borderId="27" xfId="0" applyNumberFormat="1" applyFont="1" applyBorder="1"/>
    <xf numFmtId="0" fontId="2" fillId="0" borderId="27" xfId="0" applyFont="1" applyBorder="1" applyAlignment="1">
      <alignment horizontal="center"/>
    </xf>
    <xf numFmtId="6" fontId="13" fillId="0" borderId="0" xfId="6" applyNumberFormat="1" applyFont="1" applyBorder="1"/>
    <xf numFmtId="4" fontId="13" fillId="0" borderId="0" xfId="6" applyNumberFormat="1" applyFont="1" applyFill="1" applyBorder="1"/>
    <xf numFmtId="6" fontId="11" fillId="0" borderId="29" xfId="6" applyNumberFormat="1" applyFont="1" applyBorder="1"/>
    <xf numFmtId="4" fontId="12" fillId="0" borderId="29" xfId="6" applyNumberFormat="1" applyFont="1" applyBorder="1"/>
    <xf numFmtId="0" fontId="10" fillId="0" borderId="6" xfId="6" applyFont="1" applyFill="1" applyBorder="1"/>
    <xf numFmtId="44" fontId="10" fillId="0" borderId="0" xfId="6" applyNumberFormat="1" applyFont="1" applyFill="1" applyBorder="1"/>
    <xf numFmtId="44" fontId="10" fillId="0" borderId="0" xfId="2" applyFont="1" applyFill="1" applyBorder="1"/>
    <xf numFmtId="42" fontId="10" fillId="0" borderId="7" xfId="2" applyNumberFormat="1" applyFont="1" applyFill="1" applyBorder="1" applyAlignment="1">
      <alignment horizontal="right"/>
    </xf>
    <xf numFmtId="168" fontId="13" fillId="0" borderId="7" xfId="6" applyNumberFormat="1" applyFont="1" applyBorder="1"/>
    <xf numFmtId="168" fontId="10" fillId="0" borderId="7" xfId="6" applyNumberFormat="1" applyFont="1" applyBorder="1"/>
    <xf numFmtId="168" fontId="13" fillId="0" borderId="7" xfId="2" applyNumberFormat="1" applyFont="1" applyBorder="1"/>
    <xf numFmtId="168" fontId="34" fillId="0" borderId="7" xfId="6" applyNumberFormat="1" applyFont="1" applyBorder="1" applyAlignment="1">
      <alignment horizontal="right"/>
    </xf>
    <xf numFmtId="0" fontId="10" fillId="0" borderId="11" xfId="6" applyFont="1" applyBorder="1"/>
    <xf numFmtId="0" fontId="13" fillId="0" borderId="12" xfId="6" applyFont="1" applyBorder="1"/>
    <xf numFmtId="0" fontId="10" fillId="0" borderId="12" xfId="6" applyFont="1" applyBorder="1"/>
    <xf numFmtId="168" fontId="13" fillId="0" borderId="13" xfId="6" applyNumberFormat="1" applyFont="1" applyBorder="1"/>
    <xf numFmtId="44" fontId="13" fillId="0" borderId="0" xfId="6" applyNumberFormat="1" applyFont="1" applyBorder="1"/>
    <xf numFmtId="0" fontId="10" fillId="0" borderId="2" xfId="6" applyFont="1" applyBorder="1"/>
    <xf numFmtId="0" fontId="10" fillId="0" borderId="3" xfId="6" applyFont="1" applyBorder="1"/>
    <xf numFmtId="164" fontId="10" fillId="0" borderId="3" xfId="6" applyNumberFormat="1" applyFont="1" applyBorder="1"/>
    <xf numFmtId="168" fontId="10" fillId="0" borderId="4" xfId="6" applyNumberFormat="1" applyFont="1" applyBorder="1"/>
    <xf numFmtId="0" fontId="10" fillId="0" borderId="29" xfId="6" applyFont="1" applyBorder="1"/>
    <xf numFmtId="164" fontId="10" fillId="0" borderId="29" xfId="6" applyNumberFormat="1" applyFont="1" applyBorder="1"/>
    <xf numFmtId="10" fontId="11" fillId="0" borderId="17" xfId="6" applyNumberFormat="1" applyFont="1" applyBorder="1"/>
    <xf numFmtId="0" fontId="13" fillId="0" borderId="17" xfId="6" applyFont="1" applyBorder="1"/>
    <xf numFmtId="0" fontId="13" fillId="0" borderId="11" xfId="6" applyFont="1" applyBorder="1"/>
    <xf numFmtId="10" fontId="11" fillId="0" borderId="12" xfId="6" applyNumberFormat="1" applyFont="1" applyBorder="1"/>
    <xf numFmtId="0" fontId="13" fillId="0" borderId="35" xfId="6" applyFont="1" applyBorder="1"/>
    <xf numFmtId="168" fontId="13" fillId="0" borderId="36" xfId="6" applyNumberFormat="1" applyFont="1" applyBorder="1" applyAlignment="1">
      <alignment horizontal="center"/>
    </xf>
    <xf numFmtId="168" fontId="13" fillId="0" borderId="7" xfId="6" applyNumberFormat="1" applyFont="1" applyBorder="1" applyAlignment="1">
      <alignment horizontal="center"/>
    </xf>
    <xf numFmtId="168" fontId="10" fillId="0" borderId="36" xfId="6" applyNumberFormat="1" applyFont="1" applyBorder="1"/>
    <xf numFmtId="0" fontId="13" fillId="0" borderId="16" xfId="6" applyFont="1" applyBorder="1"/>
    <xf numFmtId="168" fontId="13" fillId="0" borderId="18" xfId="6" applyNumberFormat="1" applyFont="1" applyBorder="1"/>
    <xf numFmtId="0" fontId="2" fillId="0" borderId="37" xfId="0" applyFont="1" applyBorder="1"/>
    <xf numFmtId="0" fontId="2" fillId="0" borderId="38" xfId="0" applyFont="1" applyBorder="1"/>
    <xf numFmtId="8" fontId="9" fillId="0" borderId="39" xfId="0" applyNumberFormat="1" applyFont="1" applyBorder="1"/>
    <xf numFmtId="0" fontId="9" fillId="0" borderId="0" xfId="0" applyFont="1"/>
    <xf numFmtId="168" fontId="9" fillId="0" borderId="0" xfId="0" applyNumberFormat="1" applyFont="1" applyAlignment="1">
      <alignment horizontal="center"/>
    </xf>
    <xf numFmtId="10" fontId="9" fillId="0" borderId="0" xfId="17" applyNumberFormat="1" applyFont="1" applyAlignment="1">
      <alignment horizontal="center"/>
    </xf>
    <xf numFmtId="0" fontId="28" fillId="0" borderId="0" xfId="0" applyFont="1"/>
    <xf numFmtId="0" fontId="2" fillId="19" borderId="6" xfId="0" applyFont="1" applyFill="1" applyBorder="1"/>
    <xf numFmtId="0" fontId="28" fillId="0" borderId="0" xfId="0" applyFont="1" applyBorder="1" applyAlignment="1">
      <alignment wrapText="1"/>
    </xf>
    <xf numFmtId="44" fontId="0" fillId="0" borderId="0" xfId="15" applyFont="1"/>
    <xf numFmtId="42" fontId="0" fillId="0" borderId="0" xfId="0" applyNumberFormat="1"/>
    <xf numFmtId="0" fontId="0" fillId="0" borderId="0" xfId="0" applyFont="1"/>
    <xf numFmtId="0" fontId="30" fillId="0" borderId="0" xfId="0" applyFont="1" applyBorder="1" applyAlignment="1">
      <alignment wrapText="1"/>
    </xf>
    <xf numFmtId="164" fontId="16" fillId="0" borderId="0" xfId="15" applyNumberFormat="1" applyFont="1" applyFill="1" applyBorder="1" applyAlignment="1">
      <alignment horizontal="right"/>
    </xf>
    <xf numFmtId="0" fontId="2" fillId="0" borderId="0" xfId="10" applyFont="1" applyFill="1" applyBorder="1" applyAlignment="1">
      <alignment horizontal="left"/>
    </xf>
    <xf numFmtId="42" fontId="28" fillId="0" borderId="0" xfId="0" applyNumberFormat="1" applyFont="1" applyAlignment="1">
      <alignment horizontal="left"/>
    </xf>
    <xf numFmtId="0" fontId="9" fillId="0" borderId="21" xfId="0" applyFont="1" applyBorder="1"/>
    <xf numFmtId="0" fontId="5" fillId="0" borderId="0" xfId="5"/>
    <xf numFmtId="0" fontId="21" fillId="0" borderId="0" xfId="5" applyFont="1"/>
    <xf numFmtId="0" fontId="5" fillId="12" borderId="0" xfId="27" applyFont="1" applyFill="1"/>
    <xf numFmtId="0" fontId="5" fillId="5" borderId="0" xfId="27" applyFont="1" applyFill="1"/>
    <xf numFmtId="0" fontId="23" fillId="5" borderId="0" xfId="27" applyFont="1" applyFill="1"/>
    <xf numFmtId="0" fontId="5" fillId="13" borderId="0" xfId="27" applyFont="1" applyFill="1"/>
    <xf numFmtId="0" fontId="24" fillId="13" borderId="0" xfId="27" applyFont="1" applyFill="1"/>
    <xf numFmtId="0" fontId="24" fillId="6" borderId="0" xfId="27" applyFont="1" applyFill="1"/>
    <xf numFmtId="0" fontId="24" fillId="8" borderId="0" xfId="27" applyFont="1" applyFill="1"/>
    <xf numFmtId="0" fontId="24" fillId="7" borderId="0" xfId="27" applyFont="1" applyFill="1"/>
    <xf numFmtId="14" fontId="21" fillId="0" borderId="0" xfId="5" applyNumberFormat="1" applyFont="1"/>
    <xf numFmtId="166" fontId="5" fillId="0" borderId="0" xfId="5" applyNumberFormat="1"/>
    <xf numFmtId="2" fontId="5" fillId="0" borderId="0" xfId="5" applyNumberFormat="1"/>
    <xf numFmtId="167" fontId="5" fillId="0" borderId="0" xfId="5" applyNumberFormat="1"/>
    <xf numFmtId="10" fontId="21" fillId="3" borderId="32" xfId="25" applyNumberFormat="1" applyFont="1" applyFill="1" applyBorder="1" applyAlignment="1">
      <alignment horizontal="center"/>
    </xf>
    <xf numFmtId="166" fontId="5" fillId="0" borderId="0" xfId="7" applyNumberFormat="1" applyBorder="1"/>
    <xf numFmtId="168" fontId="0" fillId="0" borderId="0" xfId="17" applyNumberFormat="1" applyFont="1"/>
    <xf numFmtId="0" fontId="30" fillId="0" borderId="2" xfId="0" applyFont="1" applyBorder="1"/>
    <xf numFmtId="0" fontId="30" fillId="0" borderId="3" xfId="0" applyFont="1" applyBorder="1"/>
    <xf numFmtId="0" fontId="28" fillId="0" borderId="3" xfId="0" applyFont="1" applyBorder="1"/>
    <xf numFmtId="0" fontId="28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30" fillId="0" borderId="4" xfId="0" applyFont="1" applyBorder="1"/>
    <xf numFmtId="1" fontId="0" fillId="0" borderId="0" xfId="0" applyNumberFormat="1"/>
    <xf numFmtId="164" fontId="0" fillId="0" borderId="0" xfId="15" applyNumberFormat="1" applyFont="1"/>
    <xf numFmtId="169" fontId="0" fillId="0" borderId="0" xfId="0" applyNumberFormat="1"/>
    <xf numFmtId="164" fontId="0" fillId="0" borderId="0" xfId="0" applyNumberFormat="1"/>
    <xf numFmtId="0" fontId="10" fillId="0" borderId="0" xfId="6" applyFont="1" applyFill="1" applyBorder="1" applyAlignment="1">
      <alignment horizontal="center"/>
    </xf>
    <xf numFmtId="164" fontId="0" fillId="0" borderId="0" xfId="15" applyNumberFormat="1" applyFont="1" applyBorder="1"/>
    <xf numFmtId="8" fontId="0" fillId="0" borderId="0" xfId="0" applyNumberFormat="1"/>
    <xf numFmtId="168" fontId="13" fillId="0" borderId="17" xfId="6" applyNumberFormat="1" applyFont="1" applyBorder="1"/>
    <xf numFmtId="168" fontId="13" fillId="0" borderId="0" xfId="2" applyNumberFormat="1" applyFont="1" applyBorder="1"/>
    <xf numFmtId="168" fontId="34" fillId="0" borderId="0" xfId="6" applyNumberFormat="1" applyFont="1" applyBorder="1" applyAlignment="1">
      <alignment horizontal="right"/>
    </xf>
    <xf numFmtId="42" fontId="10" fillId="0" borderId="0" xfId="2" applyNumberFormat="1" applyFont="1" applyFill="1" applyBorder="1" applyAlignment="1">
      <alignment horizontal="right"/>
    </xf>
    <xf numFmtId="6" fontId="9" fillId="0" borderId="38" xfId="0" applyNumberFormat="1" applyFont="1" applyBorder="1"/>
    <xf numFmtId="0" fontId="0" fillId="0" borderId="38" xfId="0" applyBorder="1"/>
    <xf numFmtId="168" fontId="35" fillId="0" borderId="0" xfId="0" applyNumberFormat="1" applyFont="1"/>
    <xf numFmtId="168" fontId="13" fillId="0" borderId="0" xfId="6" applyNumberFormat="1" applyFont="1" applyBorder="1" applyAlignment="1">
      <alignment horizontal="center"/>
    </xf>
    <xf numFmtId="168" fontId="13" fillId="0" borderId="0" xfId="6" applyNumberFormat="1" applyFont="1" applyBorder="1"/>
    <xf numFmtId="168" fontId="10" fillId="0" borderId="0" xfId="6" applyNumberFormat="1" applyFont="1" applyBorder="1"/>
    <xf numFmtId="0" fontId="10" fillId="0" borderId="0" xfId="6" applyFont="1" applyFill="1" applyBorder="1"/>
    <xf numFmtId="168" fontId="0" fillId="0" borderId="0" xfId="0" applyNumberFormat="1" applyFill="1" applyBorder="1"/>
    <xf numFmtId="0" fontId="13" fillId="0" borderId="0" xfId="6" applyFont="1" applyFill="1" applyBorder="1"/>
    <xf numFmtId="10" fontId="0" fillId="0" borderId="0" xfId="17" applyNumberFormat="1" applyFont="1" applyFill="1" applyBorder="1" applyAlignment="1">
      <alignment horizontal="center"/>
    </xf>
    <xf numFmtId="10" fontId="13" fillId="0" borderId="0" xfId="6" applyNumberFormat="1" applyFont="1" applyFill="1" applyBorder="1"/>
    <xf numFmtId="168" fontId="13" fillId="0" borderId="0" xfId="2" applyNumberFormat="1" applyFont="1" applyFill="1" applyBorder="1"/>
    <xf numFmtId="168" fontId="34" fillId="0" borderId="0" xfId="6" applyNumberFormat="1" applyFont="1" applyFill="1" applyBorder="1" applyAlignment="1">
      <alignment horizontal="right"/>
    </xf>
    <xf numFmtId="6" fontId="9" fillId="0" borderId="0" xfId="0" applyNumberFormat="1" applyFont="1" applyFill="1" applyBorder="1"/>
    <xf numFmtId="8" fontId="0" fillId="0" borderId="0" xfId="0" applyNumberFormat="1" applyFill="1" applyBorder="1"/>
    <xf numFmtId="0" fontId="36" fillId="0" borderId="0" xfId="0" applyFont="1"/>
    <xf numFmtId="0" fontId="37" fillId="0" borderId="2" xfId="0" applyFont="1" applyBorder="1" applyAlignment="1">
      <alignment horizontal="left"/>
    </xf>
    <xf numFmtId="0" fontId="37" fillId="0" borderId="3" xfId="0" applyFont="1" applyBorder="1" applyAlignment="1">
      <alignment horizontal="center"/>
    </xf>
    <xf numFmtId="0" fontId="37" fillId="0" borderId="4" xfId="0" applyFont="1" applyBorder="1" applyAlignment="1">
      <alignment horizontal="center"/>
    </xf>
    <xf numFmtId="0" fontId="36" fillId="0" borderId="41" xfId="0" applyFont="1" applyBorder="1" applyAlignment="1">
      <alignment horizontal="left"/>
    </xf>
    <xf numFmtId="168" fontId="36" fillId="0" borderId="40" xfId="0" applyNumberFormat="1" applyFont="1" applyBorder="1" applyAlignment="1">
      <alignment horizontal="center"/>
    </xf>
    <xf numFmtId="168" fontId="36" fillId="0" borderId="42" xfId="0" applyNumberFormat="1" applyFont="1" applyBorder="1"/>
    <xf numFmtId="0" fontId="39" fillId="0" borderId="14" xfId="6" applyFont="1" applyBorder="1"/>
    <xf numFmtId="3" fontId="39" fillId="0" borderId="10" xfId="6" applyNumberFormat="1" applyFont="1" applyBorder="1" applyAlignment="1">
      <alignment horizontal="center"/>
    </xf>
    <xf numFmtId="0" fontId="36" fillId="0" borderId="41" xfId="0" applyFont="1" applyBorder="1"/>
    <xf numFmtId="0" fontId="39" fillId="0" borderId="6" xfId="6" applyFont="1" applyBorder="1"/>
    <xf numFmtId="0" fontId="39" fillId="0" borderId="0" xfId="6" applyFont="1" applyBorder="1" applyAlignment="1">
      <alignment horizontal="center"/>
    </xf>
    <xf numFmtId="0" fontId="39" fillId="0" borderId="7" xfId="6" applyFont="1" applyBorder="1" applyAlignment="1">
      <alignment horizontal="center"/>
    </xf>
    <xf numFmtId="0" fontId="40" fillId="0" borderId="35" xfId="6" applyFont="1" applyBorder="1"/>
    <xf numFmtId="6" fontId="41" fillId="0" borderId="29" xfId="6" applyNumberFormat="1" applyFont="1" applyBorder="1"/>
    <xf numFmtId="4" fontId="42" fillId="0" borderId="29" xfId="6" applyNumberFormat="1" applyFont="1" applyBorder="1"/>
    <xf numFmtId="168" fontId="40" fillId="0" borderId="36" xfId="6" applyNumberFormat="1" applyFont="1" applyBorder="1" applyAlignment="1">
      <alignment horizontal="center"/>
    </xf>
    <xf numFmtId="0" fontId="36" fillId="0" borderId="6" xfId="0" applyFont="1" applyBorder="1"/>
    <xf numFmtId="168" fontId="36" fillId="0" borderId="0" xfId="0" applyNumberFormat="1" applyFont="1" applyBorder="1" applyAlignment="1">
      <alignment horizontal="center"/>
    </xf>
    <xf numFmtId="0" fontId="36" fillId="0" borderId="7" xfId="0" applyFont="1" applyBorder="1"/>
    <xf numFmtId="0" fontId="43" fillId="0" borderId="6" xfId="10" applyFont="1" applyBorder="1" applyAlignment="1"/>
    <xf numFmtId="6" fontId="41" fillId="0" borderId="0" xfId="6" applyNumberFormat="1" applyFont="1" applyBorder="1"/>
    <xf numFmtId="4" fontId="42" fillId="0" borderId="0" xfId="6" applyNumberFormat="1" applyFont="1" applyBorder="1"/>
    <xf numFmtId="168" fontId="40" fillId="0" borderId="7" xfId="6" applyNumberFormat="1" applyFont="1" applyBorder="1" applyAlignment="1">
      <alignment horizontal="center"/>
    </xf>
    <xf numFmtId="10" fontId="36" fillId="0" borderId="40" xfId="17" applyNumberFormat="1" applyFont="1" applyBorder="1" applyAlignment="1">
      <alignment horizontal="center"/>
    </xf>
    <xf numFmtId="0" fontId="40" fillId="0" borderId="6" xfId="6" applyFont="1" applyBorder="1"/>
    <xf numFmtId="6" fontId="40" fillId="0" borderId="0" xfId="6" applyNumberFormat="1" applyFont="1" applyBorder="1"/>
    <xf numFmtId="4" fontId="40" fillId="0" borderId="0" xfId="6" applyNumberFormat="1" applyFont="1" applyFill="1" applyBorder="1"/>
    <xf numFmtId="0" fontId="37" fillId="0" borderId="0" xfId="0" applyFont="1" applyBorder="1" applyAlignment="1">
      <alignment horizontal="center"/>
    </xf>
    <xf numFmtId="0" fontId="39" fillId="0" borderId="11" xfId="6" applyFont="1" applyBorder="1"/>
    <xf numFmtId="0" fontId="40" fillId="0" borderId="12" xfId="6" applyFont="1" applyBorder="1"/>
    <xf numFmtId="4" fontId="39" fillId="0" borderId="12" xfId="6" applyNumberFormat="1" applyFont="1" applyBorder="1"/>
    <xf numFmtId="168" fontId="40" fillId="0" borderId="13" xfId="6" applyNumberFormat="1" applyFont="1" applyBorder="1"/>
    <xf numFmtId="10" fontId="40" fillId="0" borderId="0" xfId="6" applyNumberFormat="1" applyFont="1" applyBorder="1"/>
    <xf numFmtId="44" fontId="40" fillId="0" borderId="0" xfId="6" applyNumberFormat="1" applyFont="1" applyBorder="1"/>
    <xf numFmtId="168" fontId="40" fillId="0" borderId="7" xfId="6" applyNumberFormat="1" applyFont="1" applyBorder="1"/>
    <xf numFmtId="0" fontId="39" fillId="0" borderId="2" xfId="6" applyFont="1" applyBorder="1"/>
    <xf numFmtId="0" fontId="39" fillId="0" borderId="3" xfId="6" applyFont="1" applyBorder="1"/>
    <xf numFmtId="164" fontId="39" fillId="0" borderId="3" xfId="6" applyNumberFormat="1" applyFont="1" applyBorder="1"/>
    <xf numFmtId="168" fontId="39" fillId="0" borderId="4" xfId="6" applyNumberFormat="1" applyFont="1" applyBorder="1"/>
    <xf numFmtId="164" fontId="39" fillId="0" borderId="29" xfId="6" applyNumberFormat="1" applyFont="1" applyBorder="1"/>
    <xf numFmtId="0" fontId="39" fillId="0" borderId="0" xfId="6" applyFont="1" applyBorder="1"/>
    <xf numFmtId="168" fontId="39" fillId="0" borderId="7" xfId="6" applyNumberFormat="1" applyFont="1" applyBorder="1"/>
    <xf numFmtId="0" fontId="36" fillId="0" borderId="0" xfId="0" applyFont="1" applyBorder="1" applyAlignment="1">
      <alignment horizontal="center"/>
    </xf>
    <xf numFmtId="168" fontId="36" fillId="0" borderId="0" xfId="0" applyNumberFormat="1" applyFont="1" applyFill="1" applyBorder="1" applyAlignment="1">
      <alignment horizontal="center"/>
    </xf>
    <xf numFmtId="0" fontId="40" fillId="0" borderId="11" xfId="6" applyFont="1" applyBorder="1"/>
    <xf numFmtId="10" fontId="41" fillId="0" borderId="12" xfId="6" applyNumberFormat="1" applyFont="1" applyBorder="1"/>
    <xf numFmtId="0" fontId="40" fillId="0" borderId="16" xfId="6" applyFont="1" applyBorder="1"/>
    <xf numFmtId="10" fontId="41" fillId="0" borderId="17" xfId="6" applyNumberFormat="1" applyFont="1" applyBorder="1"/>
    <xf numFmtId="0" fontId="40" fillId="0" borderId="17" xfId="6" applyFont="1" applyBorder="1"/>
    <xf numFmtId="168" fontId="40" fillId="0" borderId="18" xfId="6" applyNumberFormat="1" applyFont="1" applyBorder="1"/>
    <xf numFmtId="10" fontId="42" fillId="0" borderId="0" xfId="6" applyNumberFormat="1" applyFont="1" applyFill="1" applyBorder="1"/>
    <xf numFmtId="0" fontId="40" fillId="0" borderId="0" xfId="6" applyFont="1" applyBorder="1"/>
    <xf numFmtId="168" fontId="40" fillId="0" borderId="7" xfId="2" applyNumberFormat="1" applyFont="1" applyBorder="1"/>
    <xf numFmtId="168" fontId="44" fillId="0" borderId="7" xfId="6" applyNumberFormat="1" applyFont="1" applyBorder="1" applyAlignment="1">
      <alignment horizontal="right"/>
    </xf>
    <xf numFmtId="0" fontId="39" fillId="0" borderId="6" xfId="6" applyFont="1" applyFill="1" applyBorder="1"/>
    <xf numFmtId="44" fontId="39" fillId="0" borderId="0" xfId="6" applyNumberFormat="1" applyFont="1" applyFill="1" applyBorder="1"/>
    <xf numFmtId="44" fontId="39" fillId="0" borderId="0" xfId="2" applyFont="1" applyFill="1" applyBorder="1"/>
    <xf numFmtId="42" fontId="39" fillId="0" borderId="7" xfId="2" applyNumberFormat="1" applyFont="1" applyFill="1" applyBorder="1" applyAlignment="1">
      <alignment horizontal="right"/>
    </xf>
    <xf numFmtId="0" fontId="36" fillId="0" borderId="37" xfId="0" applyFont="1" applyBorder="1"/>
    <xf numFmtId="0" fontId="36" fillId="0" borderId="38" xfId="0" applyFont="1" applyBorder="1"/>
    <xf numFmtId="6" fontId="37" fillId="0" borderId="39" xfId="0" applyNumberFormat="1" applyFont="1" applyBorder="1"/>
    <xf numFmtId="168" fontId="0" fillId="0" borderId="43" xfId="0" applyNumberFormat="1" applyBorder="1"/>
    <xf numFmtId="168" fontId="0" fillId="0" borderId="44" xfId="0" applyNumberFormat="1" applyBorder="1"/>
    <xf numFmtId="168" fontId="0" fillId="0" borderId="45" xfId="0" applyNumberFormat="1" applyBorder="1"/>
    <xf numFmtId="168" fontId="0" fillId="0" borderId="40" xfId="17" applyNumberFormat="1" applyFont="1" applyBorder="1"/>
    <xf numFmtId="168" fontId="0" fillId="0" borderId="40" xfId="0" applyNumberFormat="1" applyBorder="1"/>
    <xf numFmtId="0" fontId="36" fillId="0" borderId="41" xfId="0" applyFont="1" applyBorder="1" applyAlignment="1">
      <alignment wrapText="1"/>
    </xf>
    <xf numFmtId="168" fontId="40" fillId="0" borderId="29" xfId="6" applyNumberFormat="1" applyFont="1" applyBorder="1"/>
    <xf numFmtId="168" fontId="40" fillId="0" borderId="36" xfId="6" applyNumberFormat="1" applyFont="1" applyBorder="1"/>
    <xf numFmtId="164" fontId="40" fillId="0" borderId="29" xfId="6" applyNumberFormat="1" applyFont="1" applyBorder="1"/>
    <xf numFmtId="3" fontId="10" fillId="0" borderId="15" xfId="6" applyNumberFormat="1" applyFont="1" applyBorder="1" applyAlignment="1">
      <alignment horizontal="center"/>
    </xf>
    <xf numFmtId="168" fontId="13" fillId="0" borderId="29" xfId="6" applyNumberFormat="1" applyFont="1" applyBorder="1" applyAlignment="1">
      <alignment horizontal="center"/>
    </xf>
    <xf numFmtId="168" fontId="13" fillId="0" borderId="12" xfId="6" applyNumberFormat="1" applyFont="1" applyBorder="1"/>
    <xf numFmtId="168" fontId="10" fillId="0" borderId="3" xfId="6" applyNumberFormat="1" applyFont="1" applyBorder="1"/>
    <xf numFmtId="168" fontId="10" fillId="0" borderId="29" xfId="6" applyNumberFormat="1" applyFont="1" applyBorder="1"/>
    <xf numFmtId="8" fontId="9" fillId="0" borderId="38" xfId="0" applyNumberFormat="1" applyFont="1" applyBorder="1"/>
    <xf numFmtId="6" fontId="0" fillId="0" borderId="0" xfId="0" applyNumberFormat="1" applyBorder="1"/>
    <xf numFmtId="6" fontId="28" fillId="0" borderId="0" xfId="0" applyNumberFormat="1" applyFont="1" applyBorder="1"/>
    <xf numFmtId="0" fontId="45" fillId="0" borderId="0" xfId="28"/>
    <xf numFmtId="0" fontId="21" fillId="0" borderId="0" xfId="28" applyFont="1"/>
    <xf numFmtId="0" fontId="24" fillId="21" borderId="0" xfId="27" applyFont="1" applyFill="1"/>
    <xf numFmtId="0" fontId="24" fillId="22" borderId="0" xfId="27" applyFont="1" applyFill="1"/>
    <xf numFmtId="14" fontId="21" fillId="0" borderId="0" xfId="28" applyNumberFormat="1" applyFont="1"/>
    <xf numFmtId="166" fontId="45" fillId="0" borderId="0" xfId="28" applyNumberFormat="1"/>
    <xf numFmtId="2" fontId="45" fillId="0" borderId="0" xfId="28" applyNumberFormat="1"/>
    <xf numFmtId="167" fontId="45" fillId="0" borderId="0" xfId="28" applyNumberFormat="1"/>
    <xf numFmtId="0" fontId="36" fillId="0" borderId="46" xfId="0" applyFont="1" applyFill="1" applyBorder="1"/>
    <xf numFmtId="10" fontId="36" fillId="0" borderId="43" xfId="17" applyNumberFormat="1" applyFont="1" applyBorder="1" applyAlignment="1">
      <alignment horizontal="center"/>
    </xf>
    <xf numFmtId="168" fontId="36" fillId="0" borderId="47" xfId="0" applyNumberFormat="1" applyFont="1" applyBorder="1"/>
    <xf numFmtId="0" fontId="36" fillId="0" borderId="48" xfId="0" applyFont="1" applyBorder="1"/>
    <xf numFmtId="10" fontId="36" fillId="0" borderId="49" xfId="0" applyNumberFormat="1" applyFont="1" applyBorder="1" applyAlignment="1">
      <alignment horizontal="center"/>
    </xf>
    <xf numFmtId="168" fontId="36" fillId="0" borderId="50" xfId="0" applyNumberFormat="1" applyFont="1" applyBorder="1"/>
    <xf numFmtId="0" fontId="36" fillId="0" borderId="0" xfId="0" applyFont="1" applyBorder="1"/>
    <xf numFmtId="10" fontId="36" fillId="0" borderId="0" xfId="0" applyNumberFormat="1" applyFont="1" applyBorder="1" applyAlignment="1">
      <alignment horizontal="center"/>
    </xf>
    <xf numFmtId="168" fontId="36" fillId="0" borderId="0" xfId="0" applyNumberFormat="1" applyFont="1" applyBorder="1"/>
    <xf numFmtId="0" fontId="19" fillId="9" borderId="3" xfId="16" applyFont="1" applyFill="1" applyBorder="1" applyAlignment="1">
      <alignment horizontal="left"/>
    </xf>
    <xf numFmtId="0" fontId="19" fillId="9" borderId="4" xfId="16" applyFont="1" applyFill="1" applyBorder="1" applyAlignment="1">
      <alignment horizontal="left"/>
    </xf>
    <xf numFmtId="0" fontId="0" fillId="0" borderId="27" xfId="0" applyBorder="1" applyAlignment="1">
      <alignment horizontal="center"/>
    </xf>
    <xf numFmtId="165" fontId="14" fillId="14" borderId="11" xfId="10" applyNumberFormat="1" applyFont="1" applyFill="1" applyBorder="1" applyAlignment="1">
      <alignment horizontal="center"/>
    </xf>
    <xf numFmtId="165" fontId="14" fillId="14" borderId="12" xfId="10" applyNumberFormat="1" applyFont="1" applyFill="1" applyBorder="1" applyAlignment="1">
      <alignment horizontal="center"/>
    </xf>
    <xf numFmtId="165" fontId="14" fillId="14" borderId="13" xfId="10" applyNumberFormat="1" applyFont="1" applyFill="1" applyBorder="1" applyAlignment="1">
      <alignment horizontal="center"/>
    </xf>
    <xf numFmtId="165" fontId="8" fillId="0" borderId="2" xfId="10" applyNumberFormat="1" applyFont="1" applyBorder="1" applyAlignment="1">
      <alignment horizontal="center"/>
    </xf>
    <xf numFmtId="165" fontId="8" fillId="0" borderId="4" xfId="1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14" borderId="11" xfId="6" applyFont="1" applyFill="1" applyBorder="1" applyAlignment="1">
      <alignment horizontal="center"/>
    </xf>
    <xf numFmtId="0" fontId="14" fillId="14" borderId="12" xfId="6" applyFont="1" applyFill="1" applyBorder="1" applyAlignment="1">
      <alignment horizontal="center"/>
    </xf>
    <xf numFmtId="0" fontId="14" fillId="14" borderId="13" xfId="6" applyFont="1" applyFill="1" applyBorder="1" applyAlignment="1">
      <alignment horizontal="center"/>
    </xf>
    <xf numFmtId="0" fontId="10" fillId="0" borderId="15" xfId="6" applyFont="1" applyBorder="1" applyAlignment="1">
      <alignment horizontal="right"/>
    </xf>
    <xf numFmtId="0" fontId="14" fillId="14" borderId="11" xfId="0" applyFont="1" applyFill="1" applyBorder="1" applyAlignment="1">
      <alignment horizontal="center"/>
    </xf>
    <xf numFmtId="0" fontId="14" fillId="14" borderId="12" xfId="0" applyFont="1" applyFill="1" applyBorder="1" applyAlignment="1">
      <alignment horizontal="center"/>
    </xf>
    <xf numFmtId="0" fontId="14" fillId="14" borderId="13" xfId="0" applyFont="1" applyFill="1" applyBorder="1" applyAlignment="1">
      <alignment horizontal="center"/>
    </xf>
    <xf numFmtId="168" fontId="0" fillId="15" borderId="2" xfId="0" applyNumberFormat="1" applyFill="1" applyBorder="1" applyAlignment="1">
      <alignment horizontal="center"/>
    </xf>
    <xf numFmtId="168" fontId="0" fillId="15" borderId="3" xfId="0" applyNumberFormat="1" applyFill="1" applyBorder="1" applyAlignment="1">
      <alignment horizontal="center"/>
    </xf>
    <xf numFmtId="168" fontId="0" fillId="15" borderId="4" xfId="0" applyNumberFormat="1" applyFill="1" applyBorder="1" applyAlignment="1">
      <alignment horizontal="center"/>
    </xf>
    <xf numFmtId="165" fontId="8" fillId="0" borderId="3" xfId="10" applyNumberFormat="1" applyFont="1" applyBorder="1" applyAlignment="1">
      <alignment horizontal="center"/>
    </xf>
    <xf numFmtId="165" fontId="14" fillId="14" borderId="2" xfId="10" applyNumberFormat="1" applyFont="1" applyFill="1" applyBorder="1" applyAlignment="1">
      <alignment horizontal="center"/>
    </xf>
    <xf numFmtId="165" fontId="14" fillId="14" borderId="3" xfId="10" applyNumberFormat="1" applyFont="1" applyFill="1" applyBorder="1" applyAlignment="1">
      <alignment horizontal="center"/>
    </xf>
    <xf numFmtId="165" fontId="14" fillId="14" borderId="4" xfId="10" applyNumberFormat="1" applyFont="1" applyFill="1" applyBorder="1" applyAlignment="1">
      <alignment horizontal="center"/>
    </xf>
    <xf numFmtId="0" fontId="14" fillId="14" borderId="21" xfId="0" applyFont="1" applyFill="1" applyBorder="1" applyAlignment="1">
      <alignment horizontal="center"/>
    </xf>
    <xf numFmtId="0" fontId="14" fillId="14" borderId="27" xfId="0" applyFont="1" applyFill="1" applyBorder="1" applyAlignment="1">
      <alignment horizontal="center"/>
    </xf>
    <xf numFmtId="0" fontId="14" fillId="14" borderId="22" xfId="0" applyFont="1" applyFill="1" applyBorder="1" applyAlignment="1">
      <alignment horizontal="center"/>
    </xf>
    <xf numFmtId="0" fontId="0" fillId="16" borderId="0" xfId="0" applyFill="1" applyAlignment="1">
      <alignment horizontal="center"/>
    </xf>
    <xf numFmtId="0" fontId="39" fillId="0" borderId="15" xfId="6" applyFont="1" applyBorder="1" applyAlignment="1">
      <alignment horizontal="right"/>
    </xf>
    <xf numFmtId="0" fontId="37" fillId="20" borderId="11" xfId="0" applyFont="1" applyFill="1" applyBorder="1" applyAlignment="1">
      <alignment horizontal="center"/>
    </xf>
    <xf numFmtId="0" fontId="37" fillId="20" borderId="12" xfId="0" applyFont="1" applyFill="1" applyBorder="1" applyAlignment="1">
      <alignment horizontal="center"/>
    </xf>
    <xf numFmtId="0" fontId="37" fillId="20" borderId="13" xfId="0" applyFont="1" applyFill="1" applyBorder="1" applyAlignment="1">
      <alignment horizontal="center"/>
    </xf>
    <xf numFmtId="0" fontId="38" fillId="20" borderId="11" xfId="6" applyFont="1" applyFill="1" applyBorder="1" applyAlignment="1">
      <alignment horizontal="center"/>
    </xf>
    <xf numFmtId="0" fontId="38" fillId="20" borderId="12" xfId="6" applyFont="1" applyFill="1" applyBorder="1" applyAlignment="1">
      <alignment horizontal="center"/>
    </xf>
    <xf numFmtId="0" fontId="38" fillId="20" borderId="13" xfId="6" applyFont="1" applyFill="1" applyBorder="1" applyAlignment="1">
      <alignment horizontal="center"/>
    </xf>
    <xf numFmtId="0" fontId="14" fillId="20" borderId="11" xfId="6" applyFont="1" applyFill="1" applyBorder="1" applyAlignment="1">
      <alignment horizontal="center"/>
    </xf>
    <xf numFmtId="0" fontId="14" fillId="20" borderId="12" xfId="6" applyFont="1" applyFill="1" applyBorder="1" applyAlignment="1">
      <alignment horizontal="center"/>
    </xf>
    <xf numFmtId="0" fontId="14" fillId="20" borderId="13" xfId="6" applyFont="1" applyFill="1" applyBorder="1" applyAlignment="1">
      <alignment horizontal="center"/>
    </xf>
    <xf numFmtId="0" fontId="19" fillId="9" borderId="3" xfId="5" applyFont="1" applyFill="1" applyBorder="1" applyAlignment="1">
      <alignment horizontal="left"/>
    </xf>
    <xf numFmtId="0" fontId="19" fillId="9" borderId="4" xfId="5" applyFont="1" applyFill="1" applyBorder="1" applyAlignment="1">
      <alignment horizontal="left"/>
    </xf>
    <xf numFmtId="0" fontId="20" fillId="9" borderId="0" xfId="5" applyFont="1" applyFill="1" applyBorder="1" applyAlignment="1">
      <alignment horizontal="left"/>
    </xf>
    <xf numFmtId="0" fontId="20" fillId="9" borderId="7" xfId="5" applyFont="1" applyFill="1" applyBorder="1" applyAlignment="1">
      <alignment horizontal="left"/>
    </xf>
    <xf numFmtId="0" fontId="22" fillId="9" borderId="27" xfId="5" applyFont="1" applyFill="1" applyBorder="1" applyAlignment="1">
      <alignment horizontal="left"/>
    </xf>
    <xf numFmtId="0" fontId="22" fillId="9" borderId="22" xfId="5" applyFont="1" applyFill="1" applyBorder="1" applyAlignment="1">
      <alignment horizontal="left"/>
    </xf>
    <xf numFmtId="0" fontId="19" fillId="9" borderId="3" xfId="28" applyFont="1" applyFill="1" applyBorder="1" applyAlignment="1">
      <alignment horizontal="left"/>
    </xf>
    <xf numFmtId="0" fontId="19" fillId="9" borderId="4" xfId="28" applyFont="1" applyFill="1" applyBorder="1" applyAlignment="1">
      <alignment horizontal="left"/>
    </xf>
    <xf numFmtId="0" fontId="20" fillId="9" borderId="0" xfId="28" applyFont="1" applyFill="1" applyBorder="1" applyAlignment="1">
      <alignment horizontal="left"/>
    </xf>
    <xf numFmtId="0" fontId="20" fillId="9" borderId="7" xfId="28" applyFont="1" applyFill="1" applyBorder="1" applyAlignment="1">
      <alignment horizontal="left"/>
    </xf>
    <xf numFmtId="0" fontId="22" fillId="9" borderId="27" xfId="28" applyFont="1" applyFill="1" applyBorder="1" applyAlignment="1">
      <alignment horizontal="left"/>
    </xf>
    <xf numFmtId="0" fontId="22" fillId="9" borderId="22" xfId="28" applyFont="1" applyFill="1" applyBorder="1" applyAlignment="1">
      <alignment horizontal="left"/>
    </xf>
  </cellXfs>
  <cellStyles count="32">
    <cellStyle name="Comma 2" xfId="21"/>
    <cellStyle name="Comma 3" xfId="20"/>
    <cellStyle name="Currency" xfId="15" builtinId="4"/>
    <cellStyle name="Currency [0] 2" xfId="29"/>
    <cellStyle name="Currency 2" xfId="22"/>
    <cellStyle name="Currency 3" xfId="1"/>
    <cellStyle name="Currency 4" xfId="2"/>
    <cellStyle name="Currency 6" xfId="30"/>
    <cellStyle name="Currency 8" xfId="31"/>
    <cellStyle name="Normal" xfId="0" builtinId="0"/>
    <cellStyle name="Normal 2" xfId="3"/>
    <cellStyle name="Normal 2 2" xfId="4"/>
    <cellStyle name="Normal 2 2 2" xfId="5"/>
    <cellStyle name="Normal 2 3" xfId="28"/>
    <cellStyle name="Normal 3" xfId="6"/>
    <cellStyle name="Normal 3 2" xfId="23"/>
    <cellStyle name="Normal 4" xfId="7"/>
    <cellStyle name="Normal 4 2" xfId="24"/>
    <cellStyle name="Normal 5" xfId="8"/>
    <cellStyle name="Normal 5 2" xfId="9"/>
    <cellStyle name="Normal 6" xfId="10"/>
    <cellStyle name="Normal 6 2" xfId="27"/>
    <cellStyle name="Normal 7" xfId="16"/>
    <cellStyle name="Normal 7 2" xfId="18"/>
    <cellStyle name="Normal 8" xfId="19"/>
    <cellStyle name="Note 2" xfId="11"/>
    <cellStyle name="Percent" xfId="17" builtinId="5"/>
    <cellStyle name="Percent 2" xfId="25"/>
    <cellStyle name="Percent 2 2" xfId="12"/>
    <cellStyle name="Percent 3" xfId="13"/>
    <cellStyle name="Percent 4" xfId="26"/>
    <cellStyle name="Percent 6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54"/>
  <sheetViews>
    <sheetView topLeftCell="AQ7" zoomScale="85" zoomScaleNormal="85" workbookViewId="0">
      <selection activeCell="BH49" sqref="BH49"/>
    </sheetView>
  </sheetViews>
  <sheetFormatPr defaultRowHeight="13.2" x14ac:dyDescent="0.25"/>
  <cols>
    <col min="1" max="1" width="38.44140625" style="51" customWidth="1"/>
    <col min="2" max="2" width="12.88671875" style="56" customWidth="1"/>
    <col min="3" max="74" width="10.6640625" style="51" customWidth="1"/>
    <col min="75" max="256" width="8.88671875" style="51"/>
    <col min="257" max="257" width="38.44140625" style="51" customWidth="1"/>
    <col min="258" max="258" width="12.88671875" style="51" customWidth="1"/>
    <col min="259" max="330" width="10.6640625" style="51" customWidth="1"/>
    <col min="331" max="512" width="8.88671875" style="51"/>
    <col min="513" max="513" width="38.44140625" style="51" customWidth="1"/>
    <col min="514" max="514" width="12.88671875" style="51" customWidth="1"/>
    <col min="515" max="586" width="10.6640625" style="51" customWidth="1"/>
    <col min="587" max="768" width="8.88671875" style="51"/>
    <col min="769" max="769" width="38.44140625" style="51" customWidth="1"/>
    <col min="770" max="770" width="12.88671875" style="51" customWidth="1"/>
    <col min="771" max="842" width="10.6640625" style="51" customWidth="1"/>
    <col min="843" max="1024" width="8.88671875" style="51"/>
    <col min="1025" max="1025" width="38.44140625" style="51" customWidth="1"/>
    <col min="1026" max="1026" width="12.88671875" style="51" customWidth="1"/>
    <col min="1027" max="1098" width="10.6640625" style="51" customWidth="1"/>
    <col min="1099" max="1280" width="8.88671875" style="51"/>
    <col min="1281" max="1281" width="38.44140625" style="51" customWidth="1"/>
    <col min="1282" max="1282" width="12.88671875" style="51" customWidth="1"/>
    <col min="1283" max="1354" width="10.6640625" style="51" customWidth="1"/>
    <col min="1355" max="1536" width="8.88671875" style="51"/>
    <col min="1537" max="1537" width="38.44140625" style="51" customWidth="1"/>
    <col min="1538" max="1538" width="12.88671875" style="51" customWidth="1"/>
    <col min="1539" max="1610" width="10.6640625" style="51" customWidth="1"/>
    <col min="1611" max="1792" width="8.88671875" style="51"/>
    <col min="1793" max="1793" width="38.44140625" style="51" customWidth="1"/>
    <col min="1794" max="1794" width="12.88671875" style="51" customWidth="1"/>
    <col min="1795" max="1866" width="10.6640625" style="51" customWidth="1"/>
    <col min="1867" max="2048" width="8.88671875" style="51"/>
    <col min="2049" max="2049" width="38.44140625" style="51" customWidth="1"/>
    <col min="2050" max="2050" width="12.88671875" style="51" customWidth="1"/>
    <col min="2051" max="2122" width="10.6640625" style="51" customWidth="1"/>
    <col min="2123" max="2304" width="8.88671875" style="51"/>
    <col min="2305" max="2305" width="38.44140625" style="51" customWidth="1"/>
    <col min="2306" max="2306" width="12.88671875" style="51" customWidth="1"/>
    <col min="2307" max="2378" width="10.6640625" style="51" customWidth="1"/>
    <col min="2379" max="2560" width="8.88671875" style="51"/>
    <col min="2561" max="2561" width="38.44140625" style="51" customWidth="1"/>
    <col min="2562" max="2562" width="12.88671875" style="51" customWidth="1"/>
    <col min="2563" max="2634" width="10.6640625" style="51" customWidth="1"/>
    <col min="2635" max="2816" width="8.88671875" style="51"/>
    <col min="2817" max="2817" width="38.44140625" style="51" customWidth="1"/>
    <col min="2818" max="2818" width="12.88671875" style="51" customWidth="1"/>
    <col min="2819" max="2890" width="10.6640625" style="51" customWidth="1"/>
    <col min="2891" max="3072" width="8.88671875" style="51"/>
    <col min="3073" max="3073" width="38.44140625" style="51" customWidth="1"/>
    <col min="3074" max="3074" width="12.88671875" style="51" customWidth="1"/>
    <col min="3075" max="3146" width="10.6640625" style="51" customWidth="1"/>
    <col min="3147" max="3328" width="8.88671875" style="51"/>
    <col min="3329" max="3329" width="38.44140625" style="51" customWidth="1"/>
    <col min="3330" max="3330" width="12.88671875" style="51" customWidth="1"/>
    <col min="3331" max="3402" width="10.6640625" style="51" customWidth="1"/>
    <col min="3403" max="3584" width="8.88671875" style="51"/>
    <col min="3585" max="3585" width="38.44140625" style="51" customWidth="1"/>
    <col min="3586" max="3586" width="12.88671875" style="51" customWidth="1"/>
    <col min="3587" max="3658" width="10.6640625" style="51" customWidth="1"/>
    <col min="3659" max="3840" width="8.88671875" style="51"/>
    <col min="3841" max="3841" width="38.44140625" style="51" customWidth="1"/>
    <col min="3842" max="3842" width="12.88671875" style="51" customWidth="1"/>
    <col min="3843" max="3914" width="10.6640625" style="51" customWidth="1"/>
    <col min="3915" max="4096" width="8.88671875" style="51"/>
    <col min="4097" max="4097" width="38.44140625" style="51" customWidth="1"/>
    <col min="4098" max="4098" width="12.88671875" style="51" customWidth="1"/>
    <col min="4099" max="4170" width="10.6640625" style="51" customWidth="1"/>
    <col min="4171" max="4352" width="8.88671875" style="51"/>
    <col min="4353" max="4353" width="38.44140625" style="51" customWidth="1"/>
    <col min="4354" max="4354" width="12.88671875" style="51" customWidth="1"/>
    <col min="4355" max="4426" width="10.6640625" style="51" customWidth="1"/>
    <col min="4427" max="4608" width="8.88671875" style="51"/>
    <col min="4609" max="4609" width="38.44140625" style="51" customWidth="1"/>
    <col min="4610" max="4610" width="12.88671875" style="51" customWidth="1"/>
    <col min="4611" max="4682" width="10.6640625" style="51" customWidth="1"/>
    <col min="4683" max="4864" width="8.88671875" style="51"/>
    <col min="4865" max="4865" width="38.44140625" style="51" customWidth="1"/>
    <col min="4866" max="4866" width="12.88671875" style="51" customWidth="1"/>
    <col min="4867" max="4938" width="10.6640625" style="51" customWidth="1"/>
    <col min="4939" max="5120" width="8.88671875" style="51"/>
    <col min="5121" max="5121" width="38.44140625" style="51" customWidth="1"/>
    <col min="5122" max="5122" width="12.88671875" style="51" customWidth="1"/>
    <col min="5123" max="5194" width="10.6640625" style="51" customWidth="1"/>
    <col min="5195" max="5376" width="8.88671875" style="51"/>
    <col min="5377" max="5377" width="38.44140625" style="51" customWidth="1"/>
    <col min="5378" max="5378" width="12.88671875" style="51" customWidth="1"/>
    <col min="5379" max="5450" width="10.6640625" style="51" customWidth="1"/>
    <col min="5451" max="5632" width="8.88671875" style="51"/>
    <col min="5633" max="5633" width="38.44140625" style="51" customWidth="1"/>
    <col min="5634" max="5634" width="12.88671875" style="51" customWidth="1"/>
    <col min="5635" max="5706" width="10.6640625" style="51" customWidth="1"/>
    <col min="5707" max="5888" width="8.88671875" style="51"/>
    <col min="5889" max="5889" width="38.44140625" style="51" customWidth="1"/>
    <col min="5890" max="5890" width="12.88671875" style="51" customWidth="1"/>
    <col min="5891" max="5962" width="10.6640625" style="51" customWidth="1"/>
    <col min="5963" max="6144" width="8.88671875" style="51"/>
    <col min="6145" max="6145" width="38.44140625" style="51" customWidth="1"/>
    <col min="6146" max="6146" width="12.88671875" style="51" customWidth="1"/>
    <col min="6147" max="6218" width="10.6640625" style="51" customWidth="1"/>
    <col min="6219" max="6400" width="8.88671875" style="51"/>
    <col min="6401" max="6401" width="38.44140625" style="51" customWidth="1"/>
    <col min="6402" max="6402" width="12.88671875" style="51" customWidth="1"/>
    <col min="6403" max="6474" width="10.6640625" style="51" customWidth="1"/>
    <col min="6475" max="6656" width="8.88671875" style="51"/>
    <col min="6657" max="6657" width="38.44140625" style="51" customWidth="1"/>
    <col min="6658" max="6658" width="12.88671875" style="51" customWidth="1"/>
    <col min="6659" max="6730" width="10.6640625" style="51" customWidth="1"/>
    <col min="6731" max="6912" width="8.88671875" style="51"/>
    <col min="6913" max="6913" width="38.44140625" style="51" customWidth="1"/>
    <col min="6914" max="6914" width="12.88671875" style="51" customWidth="1"/>
    <col min="6915" max="6986" width="10.6640625" style="51" customWidth="1"/>
    <col min="6987" max="7168" width="8.88671875" style="51"/>
    <col min="7169" max="7169" width="38.44140625" style="51" customWidth="1"/>
    <col min="7170" max="7170" width="12.88671875" style="51" customWidth="1"/>
    <col min="7171" max="7242" width="10.6640625" style="51" customWidth="1"/>
    <col min="7243" max="7424" width="8.88671875" style="51"/>
    <col min="7425" max="7425" width="38.44140625" style="51" customWidth="1"/>
    <col min="7426" max="7426" width="12.88671875" style="51" customWidth="1"/>
    <col min="7427" max="7498" width="10.6640625" style="51" customWidth="1"/>
    <col min="7499" max="7680" width="8.88671875" style="51"/>
    <col min="7681" max="7681" width="38.44140625" style="51" customWidth="1"/>
    <col min="7682" max="7682" width="12.88671875" style="51" customWidth="1"/>
    <col min="7683" max="7754" width="10.6640625" style="51" customWidth="1"/>
    <col min="7755" max="7936" width="8.88671875" style="51"/>
    <col min="7937" max="7937" width="38.44140625" style="51" customWidth="1"/>
    <col min="7938" max="7938" width="12.88671875" style="51" customWidth="1"/>
    <col min="7939" max="8010" width="10.6640625" style="51" customWidth="1"/>
    <col min="8011" max="8192" width="8.88671875" style="51"/>
    <col min="8193" max="8193" width="38.44140625" style="51" customWidth="1"/>
    <col min="8194" max="8194" width="12.88671875" style="51" customWidth="1"/>
    <col min="8195" max="8266" width="10.6640625" style="51" customWidth="1"/>
    <col min="8267" max="8448" width="8.88671875" style="51"/>
    <col min="8449" max="8449" width="38.44140625" style="51" customWidth="1"/>
    <col min="8450" max="8450" width="12.88671875" style="51" customWidth="1"/>
    <col min="8451" max="8522" width="10.6640625" style="51" customWidth="1"/>
    <col min="8523" max="8704" width="8.88671875" style="51"/>
    <col min="8705" max="8705" width="38.44140625" style="51" customWidth="1"/>
    <col min="8706" max="8706" width="12.88671875" style="51" customWidth="1"/>
    <col min="8707" max="8778" width="10.6640625" style="51" customWidth="1"/>
    <col min="8779" max="8960" width="8.88671875" style="51"/>
    <col min="8961" max="8961" width="38.44140625" style="51" customWidth="1"/>
    <col min="8962" max="8962" width="12.88671875" style="51" customWidth="1"/>
    <col min="8963" max="9034" width="10.6640625" style="51" customWidth="1"/>
    <col min="9035" max="9216" width="8.88671875" style="51"/>
    <col min="9217" max="9217" width="38.44140625" style="51" customWidth="1"/>
    <col min="9218" max="9218" width="12.88671875" style="51" customWidth="1"/>
    <col min="9219" max="9290" width="10.6640625" style="51" customWidth="1"/>
    <col min="9291" max="9472" width="8.88671875" style="51"/>
    <col min="9473" max="9473" width="38.44140625" style="51" customWidth="1"/>
    <col min="9474" max="9474" width="12.88671875" style="51" customWidth="1"/>
    <col min="9475" max="9546" width="10.6640625" style="51" customWidth="1"/>
    <col min="9547" max="9728" width="8.88671875" style="51"/>
    <col min="9729" max="9729" width="38.44140625" style="51" customWidth="1"/>
    <col min="9730" max="9730" width="12.88671875" style="51" customWidth="1"/>
    <col min="9731" max="9802" width="10.6640625" style="51" customWidth="1"/>
    <col min="9803" max="9984" width="8.88671875" style="51"/>
    <col min="9985" max="9985" width="38.44140625" style="51" customWidth="1"/>
    <col min="9986" max="9986" width="12.88671875" style="51" customWidth="1"/>
    <col min="9987" max="10058" width="10.6640625" style="51" customWidth="1"/>
    <col min="10059" max="10240" width="8.88671875" style="51"/>
    <col min="10241" max="10241" width="38.44140625" style="51" customWidth="1"/>
    <col min="10242" max="10242" width="12.88671875" style="51" customWidth="1"/>
    <col min="10243" max="10314" width="10.6640625" style="51" customWidth="1"/>
    <col min="10315" max="10496" width="8.88671875" style="51"/>
    <col min="10497" max="10497" width="38.44140625" style="51" customWidth="1"/>
    <col min="10498" max="10498" width="12.88671875" style="51" customWidth="1"/>
    <col min="10499" max="10570" width="10.6640625" style="51" customWidth="1"/>
    <col min="10571" max="10752" width="8.88671875" style="51"/>
    <col min="10753" max="10753" width="38.44140625" style="51" customWidth="1"/>
    <col min="10754" max="10754" width="12.88671875" style="51" customWidth="1"/>
    <col min="10755" max="10826" width="10.6640625" style="51" customWidth="1"/>
    <col min="10827" max="11008" width="8.88671875" style="51"/>
    <col min="11009" max="11009" width="38.44140625" style="51" customWidth="1"/>
    <col min="11010" max="11010" width="12.88671875" style="51" customWidth="1"/>
    <col min="11011" max="11082" width="10.6640625" style="51" customWidth="1"/>
    <col min="11083" max="11264" width="8.88671875" style="51"/>
    <col min="11265" max="11265" width="38.44140625" style="51" customWidth="1"/>
    <col min="11266" max="11266" width="12.88671875" style="51" customWidth="1"/>
    <col min="11267" max="11338" width="10.6640625" style="51" customWidth="1"/>
    <col min="11339" max="11520" width="8.88671875" style="51"/>
    <col min="11521" max="11521" width="38.44140625" style="51" customWidth="1"/>
    <col min="11522" max="11522" width="12.88671875" style="51" customWidth="1"/>
    <col min="11523" max="11594" width="10.6640625" style="51" customWidth="1"/>
    <col min="11595" max="11776" width="8.88671875" style="51"/>
    <col min="11777" max="11777" width="38.44140625" style="51" customWidth="1"/>
    <col min="11778" max="11778" width="12.88671875" style="51" customWidth="1"/>
    <col min="11779" max="11850" width="10.6640625" style="51" customWidth="1"/>
    <col min="11851" max="12032" width="8.88671875" style="51"/>
    <col min="12033" max="12033" width="38.44140625" style="51" customWidth="1"/>
    <col min="12034" max="12034" width="12.88671875" style="51" customWidth="1"/>
    <col min="12035" max="12106" width="10.6640625" style="51" customWidth="1"/>
    <col min="12107" max="12288" width="8.88671875" style="51"/>
    <col min="12289" max="12289" width="38.44140625" style="51" customWidth="1"/>
    <col min="12290" max="12290" width="12.88671875" style="51" customWidth="1"/>
    <col min="12291" max="12362" width="10.6640625" style="51" customWidth="1"/>
    <col min="12363" max="12544" width="8.88671875" style="51"/>
    <col min="12545" max="12545" width="38.44140625" style="51" customWidth="1"/>
    <col min="12546" max="12546" width="12.88671875" style="51" customWidth="1"/>
    <col min="12547" max="12618" width="10.6640625" style="51" customWidth="1"/>
    <col min="12619" max="12800" width="8.88671875" style="51"/>
    <col min="12801" max="12801" width="38.44140625" style="51" customWidth="1"/>
    <col min="12802" max="12802" width="12.88671875" style="51" customWidth="1"/>
    <col min="12803" max="12874" width="10.6640625" style="51" customWidth="1"/>
    <col min="12875" max="13056" width="8.88671875" style="51"/>
    <col min="13057" max="13057" width="38.44140625" style="51" customWidth="1"/>
    <col min="13058" max="13058" width="12.88671875" style="51" customWidth="1"/>
    <col min="13059" max="13130" width="10.6640625" style="51" customWidth="1"/>
    <col min="13131" max="13312" width="8.88671875" style="51"/>
    <col min="13313" max="13313" width="38.44140625" style="51" customWidth="1"/>
    <col min="13314" max="13314" width="12.88671875" style="51" customWidth="1"/>
    <col min="13315" max="13386" width="10.6640625" style="51" customWidth="1"/>
    <col min="13387" max="13568" width="8.88671875" style="51"/>
    <col min="13569" max="13569" width="38.44140625" style="51" customWidth="1"/>
    <col min="13570" max="13570" width="12.88671875" style="51" customWidth="1"/>
    <col min="13571" max="13642" width="10.6640625" style="51" customWidth="1"/>
    <col min="13643" max="13824" width="8.88671875" style="51"/>
    <col min="13825" max="13825" width="38.44140625" style="51" customWidth="1"/>
    <col min="13826" max="13826" width="12.88671875" style="51" customWidth="1"/>
    <col min="13827" max="13898" width="10.6640625" style="51" customWidth="1"/>
    <col min="13899" max="14080" width="8.88671875" style="51"/>
    <col min="14081" max="14081" width="38.44140625" style="51" customWidth="1"/>
    <col min="14082" max="14082" width="12.88671875" style="51" customWidth="1"/>
    <col min="14083" max="14154" width="10.6640625" style="51" customWidth="1"/>
    <col min="14155" max="14336" width="8.88671875" style="51"/>
    <col min="14337" max="14337" width="38.44140625" style="51" customWidth="1"/>
    <col min="14338" max="14338" width="12.88671875" style="51" customWidth="1"/>
    <col min="14339" max="14410" width="10.6640625" style="51" customWidth="1"/>
    <col min="14411" max="14592" width="8.88671875" style="51"/>
    <col min="14593" max="14593" width="38.44140625" style="51" customWidth="1"/>
    <col min="14594" max="14594" width="12.88671875" style="51" customWidth="1"/>
    <col min="14595" max="14666" width="10.6640625" style="51" customWidth="1"/>
    <col min="14667" max="14848" width="8.88671875" style="51"/>
    <col min="14849" max="14849" width="38.44140625" style="51" customWidth="1"/>
    <col min="14850" max="14850" width="12.88671875" style="51" customWidth="1"/>
    <col min="14851" max="14922" width="10.6640625" style="51" customWidth="1"/>
    <col min="14923" max="15104" width="8.88671875" style="51"/>
    <col min="15105" max="15105" width="38.44140625" style="51" customWidth="1"/>
    <col min="15106" max="15106" width="12.88671875" style="51" customWidth="1"/>
    <col min="15107" max="15178" width="10.6640625" style="51" customWidth="1"/>
    <col min="15179" max="15360" width="8.88671875" style="51"/>
    <col min="15361" max="15361" width="38.44140625" style="51" customWidth="1"/>
    <col min="15362" max="15362" width="12.88671875" style="51" customWidth="1"/>
    <col min="15363" max="15434" width="10.6640625" style="51" customWidth="1"/>
    <col min="15435" max="15616" width="8.88671875" style="51"/>
    <col min="15617" max="15617" width="38.44140625" style="51" customWidth="1"/>
    <col min="15618" max="15618" width="12.88671875" style="51" customWidth="1"/>
    <col min="15619" max="15690" width="10.6640625" style="51" customWidth="1"/>
    <col min="15691" max="15872" width="8.88671875" style="51"/>
    <col min="15873" max="15873" width="38.44140625" style="51" customWidth="1"/>
    <col min="15874" max="15874" width="12.88671875" style="51" customWidth="1"/>
    <col min="15875" max="15946" width="10.6640625" style="51" customWidth="1"/>
    <col min="15947" max="16128" width="8.88671875" style="51"/>
    <col min="16129" max="16129" width="38.44140625" style="51" customWidth="1"/>
    <col min="16130" max="16130" width="12.88671875" style="51" customWidth="1"/>
    <col min="16131" max="16202" width="10.6640625" style="51" customWidth="1"/>
    <col min="16203" max="16384" width="8.88671875" style="51"/>
  </cols>
  <sheetData>
    <row r="1" spans="1:75" ht="17.399999999999999" x14ac:dyDescent="0.3">
      <c r="A1" s="508" t="s">
        <v>22</v>
      </c>
      <c r="B1" s="509"/>
    </row>
    <row r="2" spans="1:75" ht="15.6" x14ac:dyDescent="0.3">
      <c r="A2" s="52" t="s">
        <v>23</v>
      </c>
      <c r="B2" s="53"/>
    </row>
    <row r="3" spans="1:75" ht="14.4" thickBot="1" x14ac:dyDescent="0.3">
      <c r="A3" s="54" t="s">
        <v>24</v>
      </c>
      <c r="B3" s="55"/>
    </row>
    <row r="6" spans="1:75" x14ac:dyDescent="0.25">
      <c r="AG6" s="57" t="s">
        <v>25</v>
      </c>
      <c r="AH6" s="57" t="s">
        <v>25</v>
      </c>
      <c r="AI6" s="57" t="s">
        <v>25</v>
      </c>
      <c r="AJ6" s="57" t="s">
        <v>25</v>
      </c>
      <c r="AK6" s="58" t="s">
        <v>26</v>
      </c>
      <c r="AL6" s="58" t="s">
        <v>26</v>
      </c>
      <c r="AM6" s="58" t="s">
        <v>26</v>
      </c>
      <c r="AN6" s="58" t="s">
        <v>26</v>
      </c>
      <c r="AO6" s="59" t="s">
        <v>27</v>
      </c>
      <c r="AP6" s="59" t="s">
        <v>27</v>
      </c>
      <c r="AQ6" s="59" t="s">
        <v>27</v>
      </c>
      <c r="AR6" s="59" t="s">
        <v>27</v>
      </c>
      <c r="AS6" s="60" t="s">
        <v>28</v>
      </c>
      <c r="AT6" s="61" t="s">
        <v>28</v>
      </c>
      <c r="AU6" s="61" t="s">
        <v>28</v>
      </c>
      <c r="AV6" s="60" t="s">
        <v>28</v>
      </c>
      <c r="AW6" s="62" t="s">
        <v>29</v>
      </c>
      <c r="AX6" s="63" t="s">
        <v>29</v>
      </c>
      <c r="AY6" s="63" t="s">
        <v>29</v>
      </c>
      <c r="AZ6" s="63" t="s">
        <v>29</v>
      </c>
      <c r="BA6" s="64" t="s">
        <v>30</v>
      </c>
      <c r="BB6" s="64" t="s">
        <v>30</v>
      </c>
      <c r="BC6" s="64" t="s">
        <v>30</v>
      </c>
      <c r="BD6" s="64" t="s">
        <v>30</v>
      </c>
      <c r="BE6" s="65" t="s">
        <v>31</v>
      </c>
      <c r="BF6" s="65" t="s">
        <v>31</v>
      </c>
      <c r="BG6" s="65" t="s">
        <v>31</v>
      </c>
      <c r="BH6" s="65" t="s">
        <v>31</v>
      </c>
      <c r="BI6" s="66" t="s">
        <v>32</v>
      </c>
      <c r="BJ6" s="66" t="s">
        <v>32</v>
      </c>
      <c r="BK6" s="66" t="s">
        <v>32</v>
      </c>
      <c r="BL6" s="66" t="s">
        <v>32</v>
      </c>
    </row>
    <row r="7" spans="1:75" s="56" customFormat="1" x14ac:dyDescent="0.25">
      <c r="B7" s="56" t="s">
        <v>33</v>
      </c>
      <c r="C7" s="67" t="s">
        <v>34</v>
      </c>
      <c r="D7" s="67" t="s">
        <v>35</v>
      </c>
      <c r="E7" s="67" t="s">
        <v>36</v>
      </c>
      <c r="F7" s="67" t="s">
        <v>37</v>
      </c>
      <c r="G7" s="67" t="s">
        <v>38</v>
      </c>
      <c r="H7" s="67" t="s">
        <v>39</v>
      </c>
      <c r="I7" s="67" t="s">
        <v>40</v>
      </c>
      <c r="J7" s="67" t="s">
        <v>41</v>
      </c>
      <c r="K7" s="67" t="s">
        <v>42</v>
      </c>
      <c r="L7" s="67" t="s">
        <v>43</v>
      </c>
      <c r="M7" s="67" t="s">
        <v>44</v>
      </c>
      <c r="N7" s="67" t="s">
        <v>45</v>
      </c>
      <c r="O7" s="67" t="s">
        <v>46</v>
      </c>
      <c r="P7" s="67" t="s">
        <v>47</v>
      </c>
      <c r="Q7" s="67" t="s">
        <v>48</v>
      </c>
      <c r="R7" s="67" t="s">
        <v>49</v>
      </c>
      <c r="S7" s="67" t="s">
        <v>50</v>
      </c>
      <c r="T7" s="67" t="s">
        <v>51</v>
      </c>
      <c r="U7" s="67" t="s">
        <v>52</v>
      </c>
      <c r="V7" s="67" t="s">
        <v>53</v>
      </c>
      <c r="W7" s="67" t="s">
        <v>54</v>
      </c>
      <c r="X7" s="67" t="s">
        <v>55</v>
      </c>
      <c r="Y7" s="67" t="s">
        <v>56</v>
      </c>
      <c r="Z7" s="67" t="s">
        <v>57</v>
      </c>
      <c r="AA7" s="67" t="s">
        <v>58</v>
      </c>
      <c r="AB7" s="67" t="s">
        <v>59</v>
      </c>
      <c r="AC7" s="67" t="s">
        <v>60</v>
      </c>
      <c r="AD7" s="67" t="s">
        <v>61</v>
      </c>
      <c r="AE7" s="67" t="s">
        <v>62</v>
      </c>
      <c r="AF7" s="67" t="s">
        <v>63</v>
      </c>
      <c r="AG7" s="67" t="s">
        <v>64</v>
      </c>
      <c r="AH7" s="67" t="s">
        <v>65</v>
      </c>
      <c r="AI7" s="67" t="s">
        <v>66</v>
      </c>
      <c r="AJ7" s="67" t="s">
        <v>67</v>
      </c>
      <c r="AK7" s="67" t="s">
        <v>68</v>
      </c>
      <c r="AL7" s="67" t="s">
        <v>69</v>
      </c>
      <c r="AM7" s="67" t="s">
        <v>70</v>
      </c>
      <c r="AN7" s="67" t="s">
        <v>71</v>
      </c>
      <c r="AO7" s="67" t="s">
        <v>72</v>
      </c>
      <c r="AP7" s="67" t="s">
        <v>73</v>
      </c>
      <c r="AQ7" s="67" t="s">
        <v>74</v>
      </c>
      <c r="AR7" s="67" t="s">
        <v>75</v>
      </c>
      <c r="AS7" s="67" t="s">
        <v>76</v>
      </c>
      <c r="AT7" s="67" t="s">
        <v>77</v>
      </c>
      <c r="AU7" s="56" t="s">
        <v>78</v>
      </c>
      <c r="AV7" s="56" t="s">
        <v>79</v>
      </c>
      <c r="AW7" s="56" t="s">
        <v>80</v>
      </c>
      <c r="AX7" s="56" t="s">
        <v>81</v>
      </c>
      <c r="AY7" s="56" t="s">
        <v>82</v>
      </c>
      <c r="AZ7" s="56" t="s">
        <v>83</v>
      </c>
      <c r="BA7" s="56" t="s">
        <v>84</v>
      </c>
      <c r="BB7" s="56" t="s">
        <v>85</v>
      </c>
      <c r="BC7" s="56" t="s">
        <v>86</v>
      </c>
      <c r="BD7" s="56" t="s">
        <v>87</v>
      </c>
      <c r="BE7" s="56" t="s">
        <v>88</v>
      </c>
      <c r="BF7" s="56" t="s">
        <v>89</v>
      </c>
      <c r="BG7" s="56" t="s">
        <v>90</v>
      </c>
      <c r="BH7" s="56" t="s">
        <v>91</v>
      </c>
      <c r="BI7" s="56" t="s">
        <v>92</v>
      </c>
      <c r="BJ7" s="56" t="s">
        <v>93</v>
      </c>
      <c r="BK7" s="56" t="s">
        <v>94</v>
      </c>
      <c r="BL7" s="56" t="s">
        <v>95</v>
      </c>
      <c r="BM7" s="56" t="s">
        <v>96</v>
      </c>
      <c r="BN7" s="56" t="s">
        <v>97</v>
      </c>
      <c r="BO7" s="56" t="s">
        <v>98</v>
      </c>
      <c r="BP7" s="56" t="s">
        <v>99</v>
      </c>
      <c r="BQ7" s="56" t="s">
        <v>100</v>
      </c>
      <c r="BR7" s="56" t="s">
        <v>101</v>
      </c>
      <c r="BS7" s="56" t="s">
        <v>102</v>
      </c>
      <c r="BT7" s="56" t="s">
        <v>103</v>
      </c>
      <c r="BU7" s="56" t="s">
        <v>104</v>
      </c>
      <c r="BV7" s="56" t="s">
        <v>105</v>
      </c>
      <c r="BW7" s="56" t="s">
        <v>106</v>
      </c>
    </row>
    <row r="8" spans="1:75" x14ac:dyDescent="0.25">
      <c r="A8" s="56" t="s">
        <v>107</v>
      </c>
      <c r="B8" s="56" t="s">
        <v>108</v>
      </c>
      <c r="C8" s="68">
        <v>2.036</v>
      </c>
      <c r="D8" s="68">
        <v>2.0609999999999999</v>
      </c>
      <c r="E8" s="68">
        <v>2.0649999999999999</v>
      </c>
      <c r="F8" s="68">
        <v>2.0880000000000001</v>
      </c>
      <c r="G8" s="68">
        <v>2.105</v>
      </c>
      <c r="H8" s="68">
        <v>2.1160000000000001</v>
      </c>
      <c r="I8" s="68">
        <v>2.15</v>
      </c>
      <c r="J8" s="68">
        <v>2.1709999999999998</v>
      </c>
      <c r="K8" s="68">
        <v>2.1880000000000002</v>
      </c>
      <c r="L8" s="68">
        <v>2.2149999999999999</v>
      </c>
      <c r="M8" s="68">
        <v>2.2349999999999999</v>
      </c>
      <c r="N8" s="68">
        <v>2.2229999999999999</v>
      </c>
      <c r="O8" s="68">
        <v>2.2349999999999999</v>
      </c>
      <c r="P8" s="68">
        <v>2.2610000000000001</v>
      </c>
      <c r="Q8" s="68">
        <v>2.2759999999999998</v>
      </c>
      <c r="R8" s="68">
        <v>2.3029999999999999</v>
      </c>
      <c r="S8" s="68">
        <v>2.3220000000000001</v>
      </c>
      <c r="T8" s="68">
        <v>2.363</v>
      </c>
      <c r="U8" s="68">
        <v>2.4039999999999999</v>
      </c>
      <c r="V8" s="68">
        <v>2.3519999999999999</v>
      </c>
      <c r="W8" s="68">
        <v>2.3460000000000001</v>
      </c>
      <c r="X8" s="68">
        <v>2.351</v>
      </c>
      <c r="Y8" s="68">
        <v>2.371</v>
      </c>
      <c r="Z8" s="68">
        <v>2.3839999999999999</v>
      </c>
      <c r="AA8" s="68">
        <v>2.3849999999999998</v>
      </c>
      <c r="AB8" s="68">
        <v>2.387</v>
      </c>
      <c r="AC8" s="68">
        <v>2.4009999999999998</v>
      </c>
      <c r="AD8" s="68">
        <v>2.423</v>
      </c>
      <c r="AE8" s="68">
        <v>2.4380000000000002</v>
      </c>
      <c r="AF8" s="68">
        <v>2.4809999999999999</v>
      </c>
      <c r="AG8" s="68">
        <v>2.492</v>
      </c>
      <c r="AH8" s="68">
        <v>2.4980000000000002</v>
      </c>
      <c r="AI8" s="68">
        <v>2.52</v>
      </c>
      <c r="AJ8" s="68">
        <v>2.524</v>
      </c>
      <c r="AK8" s="68">
        <v>2.5329999999999999</v>
      </c>
      <c r="AL8" s="68">
        <v>2.5499999999999998</v>
      </c>
      <c r="AM8" s="68">
        <v>2.5609999999999999</v>
      </c>
      <c r="AN8" s="68">
        <v>2.5579999999999998</v>
      </c>
      <c r="AO8" s="68">
        <v>2.5750000000000002</v>
      </c>
      <c r="AP8" s="68">
        <v>2.5870000000000002</v>
      </c>
      <c r="AQ8" s="68">
        <v>2.6040000000000001</v>
      </c>
      <c r="AR8" s="68">
        <v>2.6150000000000002</v>
      </c>
      <c r="AS8" s="68">
        <v>2.6179999999999999</v>
      </c>
      <c r="AT8" s="68">
        <v>2.6179999999999999</v>
      </c>
      <c r="AU8" s="68">
        <v>2.62</v>
      </c>
      <c r="AV8" s="68">
        <v>2.6259999999999999</v>
      </c>
      <c r="AW8" s="68">
        <v>2.6320000000000001</v>
      </c>
      <c r="AX8" s="68">
        <v>2.625</v>
      </c>
      <c r="AY8" s="68">
        <v>2.6259999999999999</v>
      </c>
      <c r="AZ8" s="68">
        <v>2.6419999999999999</v>
      </c>
      <c r="BA8" s="68">
        <v>2.669</v>
      </c>
      <c r="BB8" s="68">
        <v>2.69</v>
      </c>
      <c r="BC8" s="68">
        <v>2.7010000000000001</v>
      </c>
      <c r="BD8" s="68">
        <v>2.7229999999999999</v>
      </c>
      <c r="BE8" s="68">
        <v>2.746</v>
      </c>
      <c r="BF8" s="68">
        <v>2.76</v>
      </c>
      <c r="BG8" s="68">
        <v>2.7759999999999998</v>
      </c>
      <c r="BH8" s="68">
        <v>2.7919999999999998</v>
      </c>
      <c r="BI8" s="68">
        <v>2.8090000000000002</v>
      </c>
      <c r="BJ8" s="68">
        <v>2.8260000000000001</v>
      </c>
      <c r="BK8" s="68">
        <v>2.843</v>
      </c>
      <c r="BL8" s="68">
        <v>2.86</v>
      </c>
      <c r="BM8" s="68">
        <v>2.879</v>
      </c>
      <c r="BN8" s="68">
        <v>2.8959999999999999</v>
      </c>
      <c r="BO8" s="68">
        <v>2.9129999999999998</v>
      </c>
      <c r="BP8" s="68">
        <v>2.9319999999999999</v>
      </c>
      <c r="BQ8" s="68">
        <v>2.9510000000000001</v>
      </c>
      <c r="BR8" s="68">
        <v>2.9689999999999999</v>
      </c>
      <c r="BS8" s="68">
        <v>2.9889999999999999</v>
      </c>
      <c r="BT8" s="68">
        <v>3.01</v>
      </c>
      <c r="BU8" s="68">
        <v>3.0329999999999999</v>
      </c>
      <c r="BV8" s="68">
        <v>3.0539999999999998</v>
      </c>
    </row>
    <row r="9" spans="1:75" x14ac:dyDescent="0.25">
      <c r="A9" s="56" t="s">
        <v>109</v>
      </c>
      <c r="B9" s="56" t="s">
        <v>110</v>
      </c>
      <c r="C9" s="68">
        <v>2.036</v>
      </c>
      <c r="D9" s="68">
        <v>2.0609999999999999</v>
      </c>
      <c r="E9" s="68">
        <v>2.0649999999999999</v>
      </c>
      <c r="F9" s="68">
        <v>2.0880000000000001</v>
      </c>
      <c r="G9" s="68">
        <v>2.105</v>
      </c>
      <c r="H9" s="68">
        <v>2.1160000000000001</v>
      </c>
      <c r="I9" s="68">
        <v>2.15</v>
      </c>
      <c r="J9" s="68">
        <v>2.1709999999999998</v>
      </c>
      <c r="K9" s="68">
        <v>2.1880000000000002</v>
      </c>
      <c r="L9" s="68">
        <v>2.2149999999999999</v>
      </c>
      <c r="M9" s="68">
        <v>2.2349999999999999</v>
      </c>
      <c r="N9" s="68">
        <v>2.2229999999999999</v>
      </c>
      <c r="O9" s="68">
        <v>2.2349999999999999</v>
      </c>
      <c r="P9" s="68">
        <v>2.2610000000000001</v>
      </c>
      <c r="Q9" s="68">
        <v>2.2759999999999998</v>
      </c>
      <c r="R9" s="68">
        <v>2.3029999999999999</v>
      </c>
      <c r="S9" s="68">
        <v>2.3220000000000001</v>
      </c>
      <c r="T9" s="68">
        <v>2.363</v>
      </c>
      <c r="U9" s="68">
        <v>2.4039999999999999</v>
      </c>
      <c r="V9" s="68">
        <v>2.3519999999999999</v>
      </c>
      <c r="W9" s="68">
        <v>2.3460000000000001</v>
      </c>
      <c r="X9" s="68">
        <v>2.351</v>
      </c>
      <c r="Y9" s="68">
        <v>2.371</v>
      </c>
      <c r="Z9" s="68">
        <v>2.3839999999999999</v>
      </c>
      <c r="AA9" s="68">
        <v>2.3849999999999998</v>
      </c>
      <c r="AB9" s="68">
        <v>2.387</v>
      </c>
      <c r="AC9" s="68">
        <v>2.4009999999999998</v>
      </c>
      <c r="AD9" s="68">
        <v>2.423</v>
      </c>
      <c r="AE9" s="68">
        <v>2.4380000000000002</v>
      </c>
      <c r="AF9" s="68">
        <v>2.4809999999999999</v>
      </c>
      <c r="AG9" s="68">
        <v>2.492</v>
      </c>
      <c r="AH9" s="68">
        <v>2.4980000000000002</v>
      </c>
      <c r="AI9" s="68">
        <v>2.52</v>
      </c>
      <c r="AJ9" s="68">
        <v>2.524</v>
      </c>
      <c r="AK9" s="68">
        <v>2.5329999999999999</v>
      </c>
      <c r="AL9" s="68">
        <v>2.5499999999999998</v>
      </c>
      <c r="AM9" s="68">
        <v>2.5609999999999999</v>
      </c>
      <c r="AN9" s="68">
        <v>2.5579999999999998</v>
      </c>
      <c r="AO9" s="68">
        <v>2.5750000000000002</v>
      </c>
      <c r="AP9" s="68">
        <v>2.5870000000000002</v>
      </c>
      <c r="AQ9" s="68">
        <v>2.6040000000000001</v>
      </c>
      <c r="AR9" s="68">
        <v>2.6150000000000002</v>
      </c>
      <c r="AS9" s="68">
        <v>2.6179999999999999</v>
      </c>
      <c r="AT9" s="68">
        <v>2.6179999999999999</v>
      </c>
      <c r="AU9" s="68">
        <v>2.62</v>
      </c>
      <c r="AV9" s="68">
        <v>2.6259999999999999</v>
      </c>
      <c r="AW9" s="68">
        <v>2.6320000000000001</v>
      </c>
      <c r="AX9" s="68">
        <v>2.6240000000000001</v>
      </c>
      <c r="AY9" s="68">
        <v>2.6230000000000002</v>
      </c>
      <c r="AZ9" s="68">
        <v>2.6339999999999999</v>
      </c>
      <c r="BA9" s="68">
        <v>2.657</v>
      </c>
      <c r="BB9" s="68">
        <v>2.673</v>
      </c>
      <c r="BC9" s="68">
        <v>2.6829999999999998</v>
      </c>
      <c r="BD9" s="68">
        <v>2.698</v>
      </c>
      <c r="BE9" s="68">
        <v>2.7170000000000001</v>
      </c>
      <c r="BF9" s="68">
        <v>2.726</v>
      </c>
      <c r="BG9" s="68">
        <v>2.742</v>
      </c>
      <c r="BH9" s="68">
        <v>2.7530000000000001</v>
      </c>
      <c r="BI9" s="68">
        <v>2.7669999999999999</v>
      </c>
      <c r="BJ9" s="68">
        <v>2.782</v>
      </c>
      <c r="BK9" s="68">
        <v>2.798</v>
      </c>
      <c r="BL9" s="68">
        <v>2.8130000000000002</v>
      </c>
      <c r="BM9" s="68">
        <v>2.831</v>
      </c>
      <c r="BN9" s="68">
        <v>2.8479999999999999</v>
      </c>
      <c r="BO9" s="68">
        <v>2.8650000000000002</v>
      </c>
      <c r="BP9" s="68">
        <v>2.883</v>
      </c>
      <c r="BQ9" s="68">
        <v>2.9</v>
      </c>
      <c r="BR9" s="68">
        <v>2.9180000000000001</v>
      </c>
      <c r="BS9" s="68">
        <v>2.9380000000000002</v>
      </c>
      <c r="BT9" s="68">
        <v>2.9580000000000002</v>
      </c>
      <c r="BU9" s="68">
        <v>2.9790000000000001</v>
      </c>
      <c r="BV9" s="68">
        <v>3</v>
      </c>
    </row>
    <row r="10" spans="1:75" x14ac:dyDescent="0.25">
      <c r="A10" s="56" t="s">
        <v>111</v>
      </c>
      <c r="B10" s="56" t="s">
        <v>112</v>
      </c>
      <c r="C10" s="68">
        <v>2.036</v>
      </c>
      <c r="D10" s="68">
        <v>2.0609999999999999</v>
      </c>
      <c r="E10" s="68">
        <v>2.0649999999999999</v>
      </c>
      <c r="F10" s="68">
        <v>2.0880000000000001</v>
      </c>
      <c r="G10" s="68">
        <v>2.105</v>
      </c>
      <c r="H10" s="68">
        <v>2.1160000000000001</v>
      </c>
      <c r="I10" s="68">
        <v>2.15</v>
      </c>
      <c r="J10" s="68">
        <v>2.1709999999999998</v>
      </c>
      <c r="K10" s="68">
        <v>2.1880000000000002</v>
      </c>
      <c r="L10" s="68">
        <v>2.2149999999999999</v>
      </c>
      <c r="M10" s="68">
        <v>2.2349999999999999</v>
      </c>
      <c r="N10" s="68">
        <v>2.2229999999999999</v>
      </c>
      <c r="O10" s="68">
        <v>2.2349999999999999</v>
      </c>
      <c r="P10" s="68">
        <v>2.2610000000000001</v>
      </c>
      <c r="Q10" s="68">
        <v>2.2759999999999998</v>
      </c>
      <c r="R10" s="68">
        <v>2.3029999999999999</v>
      </c>
      <c r="S10" s="68">
        <v>2.3220000000000001</v>
      </c>
      <c r="T10" s="68">
        <v>2.363</v>
      </c>
      <c r="U10" s="68">
        <v>2.4039999999999999</v>
      </c>
      <c r="V10" s="68">
        <v>2.3519999999999999</v>
      </c>
      <c r="W10" s="68">
        <v>2.3460000000000001</v>
      </c>
      <c r="X10" s="68">
        <v>2.351</v>
      </c>
      <c r="Y10" s="68">
        <v>2.371</v>
      </c>
      <c r="Z10" s="68">
        <v>2.3839999999999999</v>
      </c>
      <c r="AA10" s="68">
        <v>2.3849999999999998</v>
      </c>
      <c r="AB10" s="68">
        <v>2.387</v>
      </c>
      <c r="AC10" s="68">
        <v>2.4009999999999998</v>
      </c>
      <c r="AD10" s="68">
        <v>2.423</v>
      </c>
      <c r="AE10" s="68">
        <v>2.4380000000000002</v>
      </c>
      <c r="AF10" s="68">
        <v>2.4809999999999999</v>
      </c>
      <c r="AG10" s="68">
        <v>2.492</v>
      </c>
      <c r="AH10" s="68">
        <v>2.4980000000000002</v>
      </c>
      <c r="AI10" s="68">
        <v>2.52</v>
      </c>
      <c r="AJ10" s="68">
        <v>2.524</v>
      </c>
      <c r="AK10" s="68">
        <v>2.5329999999999999</v>
      </c>
      <c r="AL10" s="68">
        <v>2.5499999999999998</v>
      </c>
      <c r="AM10" s="68">
        <v>2.5609999999999999</v>
      </c>
      <c r="AN10" s="68">
        <v>2.5579999999999998</v>
      </c>
      <c r="AO10" s="68">
        <v>2.5750000000000002</v>
      </c>
      <c r="AP10" s="68">
        <v>2.5870000000000002</v>
      </c>
      <c r="AQ10" s="68">
        <v>2.6040000000000001</v>
      </c>
      <c r="AR10" s="68">
        <v>2.6150000000000002</v>
      </c>
      <c r="AS10" s="68">
        <v>2.6179999999999999</v>
      </c>
      <c r="AT10" s="68">
        <v>2.6179999999999999</v>
      </c>
      <c r="AU10" s="68">
        <v>2.62</v>
      </c>
      <c r="AV10" s="68">
        <v>2.6259999999999999</v>
      </c>
      <c r="AW10" s="68">
        <v>2.6320000000000001</v>
      </c>
      <c r="AX10" s="68">
        <v>2.6269999999999998</v>
      </c>
      <c r="AY10" s="68">
        <v>2.63</v>
      </c>
      <c r="AZ10" s="68">
        <v>2.6480000000000001</v>
      </c>
      <c r="BA10" s="68">
        <v>2.677</v>
      </c>
      <c r="BB10" s="68">
        <v>2.7010000000000001</v>
      </c>
      <c r="BC10" s="68">
        <v>2.7160000000000002</v>
      </c>
      <c r="BD10" s="68">
        <v>2.742</v>
      </c>
      <c r="BE10" s="68">
        <v>2.77</v>
      </c>
      <c r="BF10" s="68">
        <v>2.7890000000000001</v>
      </c>
      <c r="BG10" s="68">
        <v>2.8119999999999998</v>
      </c>
      <c r="BH10" s="68">
        <v>2.8330000000000002</v>
      </c>
      <c r="BI10" s="68">
        <v>2.8559999999999999</v>
      </c>
      <c r="BJ10" s="68">
        <v>2.879</v>
      </c>
      <c r="BK10" s="68">
        <v>2.903</v>
      </c>
      <c r="BL10" s="68">
        <v>2.927</v>
      </c>
      <c r="BM10" s="68">
        <v>2.952</v>
      </c>
      <c r="BN10" s="68">
        <v>2.9769999999999999</v>
      </c>
      <c r="BO10" s="68">
        <v>3.0019999999999998</v>
      </c>
      <c r="BP10" s="68">
        <v>3.0270000000000001</v>
      </c>
      <c r="BQ10" s="68">
        <v>3.0550000000000002</v>
      </c>
      <c r="BR10" s="68">
        <v>3.0819999999999999</v>
      </c>
      <c r="BS10" s="68">
        <v>3.1110000000000002</v>
      </c>
      <c r="BT10" s="68">
        <v>3.141</v>
      </c>
      <c r="BU10" s="68">
        <v>3.1739999999999999</v>
      </c>
      <c r="BV10" s="68">
        <v>3.2050000000000001</v>
      </c>
    </row>
    <row r="12" spans="1:75" x14ac:dyDescent="0.25"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</row>
    <row r="13" spans="1:75" x14ac:dyDescent="0.25"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</row>
    <row r="14" spans="1:75" hidden="1" x14ac:dyDescent="0.25"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70" t="s">
        <v>113</v>
      </c>
      <c r="AU14" s="71"/>
      <c r="AV14" s="71"/>
      <c r="AW14" s="72" t="s">
        <v>114</v>
      </c>
      <c r="AX14" s="73"/>
      <c r="AY14" s="73"/>
      <c r="AZ14" s="73"/>
      <c r="BA14" s="73"/>
      <c r="BB14" s="73"/>
      <c r="BC14" s="71"/>
      <c r="BD14" s="71"/>
      <c r="BE14" s="71"/>
    </row>
    <row r="15" spans="1:75" hidden="1" x14ac:dyDescent="0.25"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74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6"/>
    </row>
    <row r="16" spans="1:75" hidden="1" x14ac:dyDescent="0.25"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77"/>
      <c r="AU16" s="78" t="s">
        <v>115</v>
      </c>
      <c r="AV16" s="79" t="s">
        <v>116</v>
      </c>
      <c r="AW16" s="79"/>
      <c r="AX16" s="79"/>
      <c r="AY16" s="79"/>
      <c r="AZ16" s="79"/>
      <c r="BA16" s="79"/>
      <c r="BB16" s="79"/>
      <c r="BC16" s="79"/>
      <c r="BD16" s="79"/>
      <c r="BE16" s="80"/>
    </row>
    <row r="17" spans="3:57" hidden="1" x14ac:dyDescent="0.25"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T17" s="77"/>
      <c r="AU17" s="79"/>
      <c r="AV17" s="56" t="s">
        <v>81</v>
      </c>
      <c r="AW17" s="79"/>
      <c r="AX17" s="79"/>
      <c r="AY17" s="79"/>
      <c r="AZ17" s="79"/>
      <c r="BA17" s="79"/>
      <c r="BB17" s="79"/>
      <c r="BC17" s="79"/>
      <c r="BD17" s="79"/>
      <c r="BE17" s="82" t="s">
        <v>117</v>
      </c>
    </row>
    <row r="18" spans="3:57" hidden="1" x14ac:dyDescent="0.25">
      <c r="AT18" s="77"/>
      <c r="AU18" s="79"/>
      <c r="AV18" s="68">
        <f>AX9</f>
        <v>2.6240000000000001</v>
      </c>
      <c r="AW18" s="79"/>
      <c r="AX18" s="79"/>
      <c r="AY18" s="79"/>
      <c r="AZ18" s="79"/>
      <c r="BA18" s="79"/>
      <c r="BB18" s="79"/>
      <c r="BC18" s="79"/>
      <c r="BD18" s="79"/>
      <c r="BE18" s="83">
        <f>AV18</f>
        <v>2.6240000000000001</v>
      </c>
    </row>
    <row r="19" spans="3:57" hidden="1" x14ac:dyDescent="0.25">
      <c r="AT19" s="77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83"/>
    </row>
    <row r="20" spans="3:57" hidden="1" x14ac:dyDescent="0.25">
      <c r="AT20" s="77"/>
      <c r="AU20" s="78" t="s">
        <v>118</v>
      </c>
      <c r="AV20" s="79" t="s">
        <v>119</v>
      </c>
      <c r="AW20" s="79"/>
      <c r="AX20" s="79"/>
      <c r="AY20" s="79"/>
      <c r="AZ20" s="79"/>
      <c r="BA20" s="79"/>
      <c r="BB20" s="79"/>
      <c r="BC20" s="79"/>
      <c r="BD20" s="79"/>
      <c r="BE20" s="83"/>
    </row>
    <row r="21" spans="3:57" hidden="1" x14ac:dyDescent="0.25">
      <c r="AT21" s="77"/>
      <c r="AU21" s="79"/>
      <c r="AV21" s="56" t="s">
        <v>82</v>
      </c>
      <c r="AW21" s="56" t="s">
        <v>83</v>
      </c>
      <c r="AX21" s="56" t="s">
        <v>84</v>
      </c>
      <c r="AY21" s="56" t="s">
        <v>85</v>
      </c>
      <c r="AZ21" s="56" t="s">
        <v>86</v>
      </c>
      <c r="BA21" s="56" t="s">
        <v>87</v>
      </c>
      <c r="BB21" s="56" t="s">
        <v>88</v>
      </c>
      <c r="BC21" s="56" t="s">
        <v>89</v>
      </c>
      <c r="BD21" s="79"/>
      <c r="BE21" s="83"/>
    </row>
    <row r="22" spans="3:57" hidden="1" x14ac:dyDescent="0.25">
      <c r="AT22" s="77"/>
      <c r="AU22" s="79"/>
      <c r="AV22" s="68">
        <v>2.6230000000000002</v>
      </c>
      <c r="AW22" s="68">
        <v>2.6339999999999999</v>
      </c>
      <c r="AX22" s="68">
        <v>2.657</v>
      </c>
      <c r="AY22" s="68">
        <v>2.673</v>
      </c>
      <c r="AZ22" s="68">
        <v>2.6829999999999998</v>
      </c>
      <c r="BA22" s="68">
        <v>2.698</v>
      </c>
      <c r="BB22" s="68">
        <v>2.7170000000000001</v>
      </c>
      <c r="BC22" s="68">
        <v>2.726</v>
      </c>
      <c r="BD22" s="79"/>
      <c r="BE22" s="84">
        <f>AVERAGE(AV22:BC22)</f>
        <v>2.6763749999999997</v>
      </c>
    </row>
    <row r="23" spans="3:57" hidden="1" x14ac:dyDescent="0.25">
      <c r="AT23" s="77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83"/>
    </row>
    <row r="24" spans="3:57" hidden="1" x14ac:dyDescent="0.25">
      <c r="AT24" s="77"/>
      <c r="AU24" s="79"/>
      <c r="AV24" s="79"/>
      <c r="AW24" s="79"/>
      <c r="AX24" s="79"/>
      <c r="AY24" s="79"/>
      <c r="AZ24" s="79"/>
      <c r="BA24" s="79"/>
      <c r="BB24" s="79"/>
      <c r="BC24" s="79"/>
      <c r="BD24" s="85" t="s">
        <v>20</v>
      </c>
      <c r="BE24" s="86">
        <f>(BE22-BE18)/BE18</f>
        <v>1.9959984756097414E-2</v>
      </c>
    </row>
    <row r="25" spans="3:57" hidden="1" x14ac:dyDescent="0.25">
      <c r="AT25" s="87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9"/>
    </row>
    <row r="26" spans="3:57" hidden="1" x14ac:dyDescent="0.25">
      <c r="AT26" s="71"/>
      <c r="AU26" s="71"/>
      <c r="AV26" s="71"/>
      <c r="AW26" s="71"/>
      <c r="AX26" s="71"/>
      <c r="AY26" s="71"/>
      <c r="AZ26" s="71"/>
      <c r="BA26" s="71"/>
      <c r="BB26" s="71"/>
      <c r="BC26" s="71"/>
      <c r="BD26" s="71"/>
      <c r="BE26" s="71"/>
    </row>
    <row r="27" spans="3:57" x14ac:dyDescent="0.25"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</row>
    <row r="28" spans="3:57" x14ac:dyDescent="0.25">
      <c r="AT28" s="70" t="s">
        <v>120</v>
      </c>
      <c r="AU28" s="71"/>
      <c r="AV28" s="71"/>
      <c r="AW28" s="72" t="s">
        <v>201</v>
      </c>
      <c r="AX28" s="73"/>
      <c r="AY28" s="73"/>
      <c r="AZ28" s="73"/>
      <c r="BA28" s="73"/>
      <c r="BB28" s="73"/>
      <c r="BC28" s="71"/>
      <c r="BD28" s="71"/>
      <c r="BE28" s="71"/>
    </row>
    <row r="29" spans="3:57" x14ac:dyDescent="0.25">
      <c r="AT29" s="74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6"/>
    </row>
    <row r="30" spans="3:57" x14ac:dyDescent="0.25">
      <c r="AT30" s="77"/>
      <c r="AU30" s="78" t="s">
        <v>115</v>
      </c>
      <c r="AV30" s="79" t="s">
        <v>30</v>
      </c>
      <c r="AW30" s="79"/>
      <c r="AX30" s="79"/>
      <c r="AY30" s="79"/>
      <c r="AZ30" s="79"/>
      <c r="BA30" s="79"/>
      <c r="BB30" s="79"/>
      <c r="BC30" s="79"/>
      <c r="BD30" s="79"/>
      <c r="BE30" s="80"/>
    </row>
    <row r="31" spans="3:57" x14ac:dyDescent="0.25">
      <c r="AT31" s="77"/>
      <c r="AU31" s="79"/>
      <c r="AV31" s="56" t="s">
        <v>84</v>
      </c>
      <c r="AW31" s="56" t="s">
        <v>85</v>
      </c>
      <c r="AX31" s="56" t="s">
        <v>86</v>
      </c>
      <c r="AY31" s="56" t="s">
        <v>87</v>
      </c>
      <c r="AZ31" s="79"/>
      <c r="BA31" s="79"/>
      <c r="BB31" s="79"/>
      <c r="BC31" s="79"/>
      <c r="BD31" s="79"/>
      <c r="BE31" s="82" t="s">
        <v>117</v>
      </c>
    </row>
    <row r="32" spans="3:57" x14ac:dyDescent="0.25">
      <c r="AT32" s="77"/>
      <c r="AU32" s="79"/>
      <c r="AV32" s="68">
        <v>2.657</v>
      </c>
      <c r="AW32" s="68">
        <v>2.673</v>
      </c>
      <c r="AX32" s="68">
        <v>2.6829999999999998</v>
      </c>
      <c r="AY32" s="68">
        <v>2.698</v>
      </c>
      <c r="AZ32" s="79"/>
      <c r="BA32" s="79"/>
      <c r="BB32" s="79"/>
      <c r="BC32" s="79"/>
      <c r="BD32" s="79"/>
      <c r="BE32" s="84">
        <f>AVERAGE(AV32:AY32)</f>
        <v>2.6777500000000001</v>
      </c>
    </row>
    <row r="33" spans="46:57" x14ac:dyDescent="0.25">
      <c r="AT33" s="77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83"/>
    </row>
    <row r="34" spans="46:57" x14ac:dyDescent="0.25">
      <c r="AT34" s="77"/>
      <c r="AU34" s="78" t="s">
        <v>118</v>
      </c>
      <c r="AV34" s="79" t="s">
        <v>129</v>
      </c>
      <c r="AW34" s="79"/>
      <c r="AX34" s="79"/>
      <c r="AY34" s="79"/>
      <c r="AZ34" s="79"/>
      <c r="BA34" s="79"/>
      <c r="BB34" s="79"/>
      <c r="BC34" s="79"/>
      <c r="BD34" s="79"/>
      <c r="BE34" s="83"/>
    </row>
    <row r="35" spans="46:57" x14ac:dyDescent="0.25">
      <c r="AT35" s="77"/>
      <c r="AU35" s="79"/>
      <c r="AV35" s="56" t="s">
        <v>86</v>
      </c>
      <c r="AW35" s="56" t="s">
        <v>87</v>
      </c>
      <c r="AX35" s="56" t="s">
        <v>88</v>
      </c>
      <c r="AY35" s="56" t="s">
        <v>89</v>
      </c>
      <c r="AZ35" s="56" t="s">
        <v>90</v>
      </c>
      <c r="BA35" s="56" t="s">
        <v>91</v>
      </c>
      <c r="BB35" s="56" t="s">
        <v>92</v>
      </c>
      <c r="BC35" s="56" t="s">
        <v>93</v>
      </c>
      <c r="BD35" s="79"/>
      <c r="BE35" s="83"/>
    </row>
    <row r="36" spans="46:57" x14ac:dyDescent="0.25">
      <c r="AT36" s="77"/>
      <c r="AU36" s="79"/>
      <c r="AV36" s="68">
        <v>2.6829999999999998</v>
      </c>
      <c r="AW36" s="68">
        <v>2.698</v>
      </c>
      <c r="AX36" s="68">
        <v>2.7170000000000001</v>
      </c>
      <c r="AY36" s="68">
        <v>2.726</v>
      </c>
      <c r="AZ36" s="68">
        <v>2.742</v>
      </c>
      <c r="BA36" s="68">
        <v>2.7530000000000001</v>
      </c>
      <c r="BB36" s="68">
        <v>2.7669999999999999</v>
      </c>
      <c r="BC36" s="68">
        <v>2.782</v>
      </c>
      <c r="BD36" s="79"/>
      <c r="BE36" s="84">
        <f>AVERAGE(AV36:BC36)</f>
        <v>2.7335000000000003</v>
      </c>
    </row>
    <row r="37" spans="46:57" x14ac:dyDescent="0.25">
      <c r="AT37" s="77"/>
      <c r="AU37" s="79"/>
      <c r="AV37" s="79"/>
      <c r="AW37" s="79"/>
      <c r="AX37" s="79"/>
      <c r="AY37" s="79"/>
      <c r="AZ37" s="79"/>
      <c r="BA37" s="79"/>
      <c r="BB37" s="79"/>
      <c r="BC37" s="79"/>
      <c r="BD37" s="79"/>
      <c r="BE37" s="83"/>
    </row>
    <row r="38" spans="46:57" x14ac:dyDescent="0.25">
      <c r="AT38" s="77"/>
      <c r="AU38" s="79"/>
      <c r="AV38" s="79"/>
      <c r="AW38" s="79"/>
      <c r="AX38" s="79"/>
      <c r="AY38" s="79"/>
      <c r="AZ38" s="79"/>
      <c r="BA38" s="79"/>
      <c r="BB38" s="79"/>
      <c r="BC38" s="79"/>
      <c r="BD38" s="85" t="s">
        <v>20</v>
      </c>
      <c r="BE38" s="86">
        <f>(BE36-BE32)/BE32</f>
        <v>2.0819718046867774E-2</v>
      </c>
    </row>
    <row r="39" spans="46:57" x14ac:dyDescent="0.25">
      <c r="AT39" s="87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9"/>
    </row>
    <row r="43" spans="46:57" x14ac:dyDescent="0.25">
      <c r="AT43" s="70" t="s">
        <v>120</v>
      </c>
      <c r="AU43" s="71"/>
      <c r="AV43" s="71"/>
      <c r="AW43" s="72"/>
      <c r="AX43" s="73"/>
      <c r="AY43" s="73"/>
      <c r="AZ43" s="73"/>
      <c r="BA43" s="73"/>
      <c r="BB43" s="73"/>
      <c r="BC43" s="71"/>
      <c r="BD43" s="71"/>
      <c r="BE43" s="71"/>
    </row>
    <row r="44" spans="46:57" x14ac:dyDescent="0.25">
      <c r="AT44" s="74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6"/>
    </row>
    <row r="45" spans="46:57" x14ac:dyDescent="0.25">
      <c r="AT45" s="77"/>
      <c r="AU45" s="78" t="s">
        <v>115</v>
      </c>
      <c r="AV45" s="79" t="s">
        <v>29</v>
      </c>
      <c r="AW45" s="79"/>
      <c r="AX45" s="79"/>
      <c r="AY45" s="79"/>
      <c r="AZ45" s="79"/>
      <c r="BA45" s="79"/>
      <c r="BB45" s="79"/>
      <c r="BC45" s="79"/>
      <c r="BD45" s="79"/>
      <c r="BE45" s="80"/>
    </row>
    <row r="46" spans="46:57" x14ac:dyDescent="0.25">
      <c r="AT46" s="77"/>
      <c r="AU46" s="79"/>
      <c r="AV46" s="56" t="s">
        <v>80</v>
      </c>
      <c r="AW46" s="56" t="s">
        <v>81</v>
      </c>
      <c r="AX46" s="56" t="s">
        <v>82</v>
      </c>
      <c r="AY46" s="56" t="s">
        <v>83</v>
      </c>
      <c r="AZ46" s="79"/>
      <c r="BA46" s="79"/>
      <c r="BB46" s="79"/>
      <c r="BC46" s="79"/>
      <c r="BD46" s="79"/>
      <c r="BE46" s="82" t="s">
        <v>117</v>
      </c>
    </row>
    <row r="47" spans="46:57" x14ac:dyDescent="0.25">
      <c r="AT47" s="77"/>
      <c r="AU47" s="79"/>
      <c r="AV47" s="68">
        <v>2.6320000000000001</v>
      </c>
      <c r="AW47" s="68">
        <v>2.6240000000000001</v>
      </c>
      <c r="AX47" s="68">
        <v>2.6230000000000002</v>
      </c>
      <c r="AY47" s="68">
        <v>2.6339999999999999</v>
      </c>
      <c r="AZ47" s="79"/>
      <c r="BA47" s="79"/>
      <c r="BB47" s="79"/>
      <c r="BC47" s="79"/>
      <c r="BD47" s="79"/>
      <c r="BE47" s="84">
        <f>AVERAGE(AV47:AY47)</f>
        <v>2.62825</v>
      </c>
    </row>
    <row r="48" spans="46:57" x14ac:dyDescent="0.25">
      <c r="AT48" s="77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83"/>
    </row>
    <row r="49" spans="46:57" x14ac:dyDescent="0.25">
      <c r="AT49" s="77"/>
      <c r="AU49" s="78" t="s">
        <v>118</v>
      </c>
      <c r="AV49" s="79" t="s">
        <v>129</v>
      </c>
      <c r="AW49" s="79"/>
      <c r="AX49" s="79"/>
      <c r="AY49" s="79"/>
      <c r="AZ49" s="79"/>
      <c r="BA49" s="79"/>
      <c r="BB49" s="79"/>
      <c r="BC49" s="79"/>
      <c r="BD49" s="79"/>
      <c r="BE49" s="83"/>
    </row>
    <row r="50" spans="46:57" x14ac:dyDescent="0.25">
      <c r="AT50" s="77"/>
      <c r="AU50" s="79"/>
      <c r="AV50" s="56" t="s">
        <v>86</v>
      </c>
      <c r="AW50" s="56" t="s">
        <v>87</v>
      </c>
      <c r="AX50" s="56" t="s">
        <v>88</v>
      </c>
      <c r="AY50" s="56" t="s">
        <v>89</v>
      </c>
      <c r="AZ50" s="56" t="s">
        <v>90</v>
      </c>
      <c r="BA50" s="56" t="s">
        <v>91</v>
      </c>
      <c r="BB50" s="56" t="s">
        <v>92</v>
      </c>
      <c r="BC50" s="56" t="s">
        <v>93</v>
      </c>
      <c r="BD50" s="79"/>
      <c r="BE50" s="83"/>
    </row>
    <row r="51" spans="46:57" x14ac:dyDescent="0.25">
      <c r="AT51" s="77"/>
      <c r="AU51" s="79"/>
      <c r="AV51" s="68">
        <v>2.6829999999999998</v>
      </c>
      <c r="AW51" s="68">
        <v>2.698</v>
      </c>
      <c r="AX51" s="68">
        <v>2.7170000000000001</v>
      </c>
      <c r="AY51" s="68">
        <v>2.726</v>
      </c>
      <c r="AZ51" s="68">
        <v>2.742</v>
      </c>
      <c r="BA51" s="68">
        <v>2.7530000000000001</v>
      </c>
      <c r="BB51" s="68">
        <v>2.7669999999999999</v>
      </c>
      <c r="BC51" s="68">
        <v>2.782</v>
      </c>
      <c r="BD51" s="79"/>
      <c r="BE51" s="84">
        <f>AVERAGE(AV51:BC51)</f>
        <v>2.7335000000000003</v>
      </c>
    </row>
    <row r="52" spans="46:57" x14ac:dyDescent="0.25">
      <c r="AT52" s="77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83"/>
    </row>
    <row r="53" spans="46:57" x14ac:dyDescent="0.25">
      <c r="AT53" s="77"/>
      <c r="AU53" s="79"/>
      <c r="AV53" s="79"/>
      <c r="AW53" s="79"/>
      <c r="AX53" s="79"/>
      <c r="AY53" s="79"/>
      <c r="AZ53" s="79"/>
      <c r="BA53" s="79"/>
      <c r="BB53" s="79"/>
      <c r="BC53" s="79"/>
      <c r="BD53" s="85" t="s">
        <v>20</v>
      </c>
      <c r="BE53" s="86">
        <f>(BE51-BE47)/BE47</f>
        <v>4.0045657757062793E-2</v>
      </c>
    </row>
    <row r="54" spans="46:57" x14ac:dyDescent="0.25">
      <c r="AT54" s="87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9"/>
    </row>
  </sheetData>
  <mergeCells count="1">
    <mergeCell ref="A1:B1"/>
  </mergeCells>
  <pageMargins left="0.25" right="0.2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41"/>
  <sheetViews>
    <sheetView topLeftCell="AQ1" workbookViewId="0">
      <selection activeCell="BG43" sqref="BG43"/>
    </sheetView>
  </sheetViews>
  <sheetFormatPr defaultRowHeight="13.2" x14ac:dyDescent="0.25"/>
  <cols>
    <col min="1" max="1" width="38.44140625" style="362" customWidth="1"/>
    <col min="2" max="2" width="12.88671875" style="363" customWidth="1"/>
    <col min="3" max="44" width="9.6640625" style="362" customWidth="1"/>
    <col min="45" max="45" width="12.6640625" style="362" customWidth="1"/>
    <col min="46" max="74" width="9.6640625" style="362" customWidth="1"/>
    <col min="75" max="256" width="8.88671875" style="362"/>
    <col min="257" max="257" width="38.44140625" style="362" customWidth="1"/>
    <col min="258" max="258" width="12.88671875" style="362" customWidth="1"/>
    <col min="259" max="300" width="9.6640625" style="362" customWidth="1"/>
    <col min="301" max="301" width="12.6640625" style="362" customWidth="1"/>
    <col min="302" max="330" width="9.6640625" style="362" customWidth="1"/>
    <col min="331" max="512" width="8.88671875" style="362"/>
    <col min="513" max="513" width="38.44140625" style="362" customWidth="1"/>
    <col min="514" max="514" width="12.88671875" style="362" customWidth="1"/>
    <col min="515" max="556" width="9.6640625" style="362" customWidth="1"/>
    <col min="557" max="557" width="12.6640625" style="362" customWidth="1"/>
    <col min="558" max="586" width="9.6640625" style="362" customWidth="1"/>
    <col min="587" max="768" width="8.88671875" style="362"/>
    <col min="769" max="769" width="38.44140625" style="362" customWidth="1"/>
    <col min="770" max="770" width="12.88671875" style="362" customWidth="1"/>
    <col min="771" max="812" width="9.6640625" style="362" customWidth="1"/>
    <col min="813" max="813" width="12.6640625" style="362" customWidth="1"/>
    <col min="814" max="842" width="9.6640625" style="362" customWidth="1"/>
    <col min="843" max="1024" width="8.88671875" style="362"/>
    <col min="1025" max="1025" width="38.44140625" style="362" customWidth="1"/>
    <col min="1026" max="1026" width="12.88671875" style="362" customWidth="1"/>
    <col min="1027" max="1068" width="9.6640625" style="362" customWidth="1"/>
    <col min="1069" max="1069" width="12.6640625" style="362" customWidth="1"/>
    <col min="1070" max="1098" width="9.6640625" style="362" customWidth="1"/>
    <col min="1099" max="1280" width="8.88671875" style="362"/>
    <col min="1281" max="1281" width="38.44140625" style="362" customWidth="1"/>
    <col min="1282" max="1282" width="12.88671875" style="362" customWidth="1"/>
    <col min="1283" max="1324" width="9.6640625" style="362" customWidth="1"/>
    <col min="1325" max="1325" width="12.6640625" style="362" customWidth="1"/>
    <col min="1326" max="1354" width="9.6640625" style="362" customWidth="1"/>
    <col min="1355" max="1536" width="8.88671875" style="362"/>
    <col min="1537" max="1537" width="38.44140625" style="362" customWidth="1"/>
    <col min="1538" max="1538" width="12.88671875" style="362" customWidth="1"/>
    <col min="1539" max="1580" width="9.6640625" style="362" customWidth="1"/>
    <col min="1581" max="1581" width="12.6640625" style="362" customWidth="1"/>
    <col min="1582" max="1610" width="9.6640625" style="362" customWidth="1"/>
    <col min="1611" max="1792" width="8.88671875" style="362"/>
    <col min="1793" max="1793" width="38.44140625" style="362" customWidth="1"/>
    <col min="1794" max="1794" width="12.88671875" style="362" customWidth="1"/>
    <col min="1795" max="1836" width="9.6640625" style="362" customWidth="1"/>
    <col min="1837" max="1837" width="12.6640625" style="362" customWidth="1"/>
    <col min="1838" max="1866" width="9.6640625" style="362" customWidth="1"/>
    <col min="1867" max="2048" width="8.88671875" style="362"/>
    <col min="2049" max="2049" width="38.44140625" style="362" customWidth="1"/>
    <col min="2050" max="2050" width="12.88671875" style="362" customWidth="1"/>
    <col min="2051" max="2092" width="9.6640625" style="362" customWidth="1"/>
    <col min="2093" max="2093" width="12.6640625" style="362" customWidth="1"/>
    <col min="2094" max="2122" width="9.6640625" style="362" customWidth="1"/>
    <col min="2123" max="2304" width="8.88671875" style="362"/>
    <col min="2305" max="2305" width="38.44140625" style="362" customWidth="1"/>
    <col min="2306" max="2306" width="12.88671875" style="362" customWidth="1"/>
    <col min="2307" max="2348" width="9.6640625" style="362" customWidth="1"/>
    <col min="2349" max="2349" width="12.6640625" style="362" customWidth="1"/>
    <col min="2350" max="2378" width="9.6640625" style="362" customWidth="1"/>
    <col min="2379" max="2560" width="8.88671875" style="362"/>
    <col min="2561" max="2561" width="38.44140625" style="362" customWidth="1"/>
    <col min="2562" max="2562" width="12.88671875" style="362" customWidth="1"/>
    <col min="2563" max="2604" width="9.6640625" style="362" customWidth="1"/>
    <col min="2605" max="2605" width="12.6640625" style="362" customWidth="1"/>
    <col min="2606" max="2634" width="9.6640625" style="362" customWidth="1"/>
    <col min="2635" max="2816" width="8.88671875" style="362"/>
    <col min="2817" max="2817" width="38.44140625" style="362" customWidth="1"/>
    <col min="2818" max="2818" width="12.88671875" style="362" customWidth="1"/>
    <col min="2819" max="2860" width="9.6640625" style="362" customWidth="1"/>
    <col min="2861" max="2861" width="12.6640625" style="362" customWidth="1"/>
    <col min="2862" max="2890" width="9.6640625" style="362" customWidth="1"/>
    <col min="2891" max="3072" width="8.88671875" style="362"/>
    <col min="3073" max="3073" width="38.44140625" style="362" customWidth="1"/>
    <col min="3074" max="3074" width="12.88671875" style="362" customWidth="1"/>
    <col min="3075" max="3116" width="9.6640625" style="362" customWidth="1"/>
    <col min="3117" max="3117" width="12.6640625" style="362" customWidth="1"/>
    <col min="3118" max="3146" width="9.6640625" style="362" customWidth="1"/>
    <col min="3147" max="3328" width="8.88671875" style="362"/>
    <col min="3329" max="3329" width="38.44140625" style="362" customWidth="1"/>
    <col min="3330" max="3330" width="12.88671875" style="362" customWidth="1"/>
    <col min="3331" max="3372" width="9.6640625" style="362" customWidth="1"/>
    <col min="3373" max="3373" width="12.6640625" style="362" customWidth="1"/>
    <col min="3374" max="3402" width="9.6640625" style="362" customWidth="1"/>
    <col min="3403" max="3584" width="8.88671875" style="362"/>
    <col min="3585" max="3585" width="38.44140625" style="362" customWidth="1"/>
    <col min="3586" max="3586" width="12.88671875" style="362" customWidth="1"/>
    <col min="3587" max="3628" width="9.6640625" style="362" customWidth="1"/>
    <col min="3629" max="3629" width="12.6640625" style="362" customWidth="1"/>
    <col min="3630" max="3658" width="9.6640625" style="362" customWidth="1"/>
    <col min="3659" max="3840" width="8.88671875" style="362"/>
    <col min="3841" max="3841" width="38.44140625" style="362" customWidth="1"/>
    <col min="3842" max="3842" width="12.88671875" style="362" customWidth="1"/>
    <col min="3843" max="3884" width="9.6640625" style="362" customWidth="1"/>
    <col min="3885" max="3885" width="12.6640625" style="362" customWidth="1"/>
    <col min="3886" max="3914" width="9.6640625" style="362" customWidth="1"/>
    <col min="3915" max="4096" width="8.88671875" style="362"/>
    <col min="4097" max="4097" width="38.44140625" style="362" customWidth="1"/>
    <col min="4098" max="4098" width="12.88671875" style="362" customWidth="1"/>
    <col min="4099" max="4140" width="9.6640625" style="362" customWidth="1"/>
    <col min="4141" max="4141" width="12.6640625" style="362" customWidth="1"/>
    <col min="4142" max="4170" width="9.6640625" style="362" customWidth="1"/>
    <col min="4171" max="4352" width="8.88671875" style="362"/>
    <col min="4353" max="4353" width="38.44140625" style="362" customWidth="1"/>
    <col min="4354" max="4354" width="12.88671875" style="362" customWidth="1"/>
    <col min="4355" max="4396" width="9.6640625" style="362" customWidth="1"/>
    <col min="4397" max="4397" width="12.6640625" style="362" customWidth="1"/>
    <col min="4398" max="4426" width="9.6640625" style="362" customWidth="1"/>
    <col min="4427" max="4608" width="8.88671875" style="362"/>
    <col min="4609" max="4609" width="38.44140625" style="362" customWidth="1"/>
    <col min="4610" max="4610" width="12.88671875" style="362" customWidth="1"/>
    <col min="4611" max="4652" width="9.6640625" style="362" customWidth="1"/>
    <col min="4653" max="4653" width="12.6640625" style="362" customWidth="1"/>
    <col min="4654" max="4682" width="9.6640625" style="362" customWidth="1"/>
    <col min="4683" max="4864" width="8.88671875" style="362"/>
    <col min="4865" max="4865" width="38.44140625" style="362" customWidth="1"/>
    <col min="4866" max="4866" width="12.88671875" style="362" customWidth="1"/>
    <col min="4867" max="4908" width="9.6640625" style="362" customWidth="1"/>
    <col min="4909" max="4909" width="12.6640625" style="362" customWidth="1"/>
    <col min="4910" max="4938" width="9.6640625" style="362" customWidth="1"/>
    <col min="4939" max="5120" width="8.88671875" style="362"/>
    <col min="5121" max="5121" width="38.44140625" style="362" customWidth="1"/>
    <col min="5122" max="5122" width="12.88671875" style="362" customWidth="1"/>
    <col min="5123" max="5164" width="9.6640625" style="362" customWidth="1"/>
    <col min="5165" max="5165" width="12.6640625" style="362" customWidth="1"/>
    <col min="5166" max="5194" width="9.6640625" style="362" customWidth="1"/>
    <col min="5195" max="5376" width="8.88671875" style="362"/>
    <col min="5377" max="5377" width="38.44140625" style="362" customWidth="1"/>
    <col min="5378" max="5378" width="12.88671875" style="362" customWidth="1"/>
    <col min="5379" max="5420" width="9.6640625" style="362" customWidth="1"/>
    <col min="5421" max="5421" width="12.6640625" style="362" customWidth="1"/>
    <col min="5422" max="5450" width="9.6640625" style="362" customWidth="1"/>
    <col min="5451" max="5632" width="8.88671875" style="362"/>
    <col min="5633" max="5633" width="38.44140625" style="362" customWidth="1"/>
    <col min="5634" max="5634" width="12.88671875" style="362" customWidth="1"/>
    <col min="5635" max="5676" width="9.6640625" style="362" customWidth="1"/>
    <col min="5677" max="5677" width="12.6640625" style="362" customWidth="1"/>
    <col min="5678" max="5706" width="9.6640625" style="362" customWidth="1"/>
    <col min="5707" max="5888" width="8.88671875" style="362"/>
    <col min="5889" max="5889" width="38.44140625" style="362" customWidth="1"/>
    <col min="5890" max="5890" width="12.88671875" style="362" customWidth="1"/>
    <col min="5891" max="5932" width="9.6640625" style="362" customWidth="1"/>
    <col min="5933" max="5933" width="12.6640625" style="362" customWidth="1"/>
    <col min="5934" max="5962" width="9.6640625" style="362" customWidth="1"/>
    <col min="5963" max="6144" width="8.88671875" style="362"/>
    <col min="6145" max="6145" width="38.44140625" style="362" customWidth="1"/>
    <col min="6146" max="6146" width="12.88671875" style="362" customWidth="1"/>
    <col min="6147" max="6188" width="9.6640625" style="362" customWidth="1"/>
    <col min="6189" max="6189" width="12.6640625" style="362" customWidth="1"/>
    <col min="6190" max="6218" width="9.6640625" style="362" customWidth="1"/>
    <col min="6219" max="6400" width="8.88671875" style="362"/>
    <col min="6401" max="6401" width="38.44140625" style="362" customWidth="1"/>
    <col min="6402" max="6402" width="12.88671875" style="362" customWidth="1"/>
    <col min="6403" max="6444" width="9.6640625" style="362" customWidth="1"/>
    <col min="6445" max="6445" width="12.6640625" style="362" customWidth="1"/>
    <col min="6446" max="6474" width="9.6640625" style="362" customWidth="1"/>
    <col min="6475" max="6656" width="8.88671875" style="362"/>
    <col min="6657" max="6657" width="38.44140625" style="362" customWidth="1"/>
    <col min="6658" max="6658" width="12.88671875" style="362" customWidth="1"/>
    <col min="6659" max="6700" width="9.6640625" style="362" customWidth="1"/>
    <col min="6701" max="6701" width="12.6640625" style="362" customWidth="1"/>
    <col min="6702" max="6730" width="9.6640625" style="362" customWidth="1"/>
    <col min="6731" max="6912" width="8.88671875" style="362"/>
    <col min="6913" max="6913" width="38.44140625" style="362" customWidth="1"/>
    <col min="6914" max="6914" width="12.88671875" style="362" customWidth="1"/>
    <col min="6915" max="6956" width="9.6640625" style="362" customWidth="1"/>
    <col min="6957" max="6957" width="12.6640625" style="362" customWidth="1"/>
    <col min="6958" max="6986" width="9.6640625" style="362" customWidth="1"/>
    <col min="6987" max="7168" width="8.88671875" style="362"/>
    <col min="7169" max="7169" width="38.44140625" style="362" customWidth="1"/>
    <col min="7170" max="7170" width="12.88671875" style="362" customWidth="1"/>
    <col min="7171" max="7212" width="9.6640625" style="362" customWidth="1"/>
    <col min="7213" max="7213" width="12.6640625" style="362" customWidth="1"/>
    <col min="7214" max="7242" width="9.6640625" style="362" customWidth="1"/>
    <col min="7243" max="7424" width="8.88671875" style="362"/>
    <col min="7425" max="7425" width="38.44140625" style="362" customWidth="1"/>
    <col min="7426" max="7426" width="12.88671875" style="362" customWidth="1"/>
    <col min="7427" max="7468" width="9.6640625" style="362" customWidth="1"/>
    <col min="7469" max="7469" width="12.6640625" style="362" customWidth="1"/>
    <col min="7470" max="7498" width="9.6640625" style="362" customWidth="1"/>
    <col min="7499" max="7680" width="8.88671875" style="362"/>
    <col min="7681" max="7681" width="38.44140625" style="362" customWidth="1"/>
    <col min="7682" max="7682" width="12.88671875" style="362" customWidth="1"/>
    <col min="7683" max="7724" width="9.6640625" style="362" customWidth="1"/>
    <col min="7725" max="7725" width="12.6640625" style="362" customWidth="1"/>
    <col min="7726" max="7754" width="9.6640625" style="362" customWidth="1"/>
    <col min="7755" max="7936" width="8.88671875" style="362"/>
    <col min="7937" max="7937" width="38.44140625" style="362" customWidth="1"/>
    <col min="7938" max="7938" width="12.88671875" style="362" customWidth="1"/>
    <col min="7939" max="7980" width="9.6640625" style="362" customWidth="1"/>
    <col min="7981" max="7981" width="12.6640625" style="362" customWidth="1"/>
    <col min="7982" max="8010" width="9.6640625" style="362" customWidth="1"/>
    <col min="8011" max="8192" width="8.88671875" style="362"/>
    <col min="8193" max="8193" width="38.44140625" style="362" customWidth="1"/>
    <col min="8194" max="8194" width="12.88671875" style="362" customWidth="1"/>
    <col min="8195" max="8236" width="9.6640625" style="362" customWidth="1"/>
    <col min="8237" max="8237" width="12.6640625" style="362" customWidth="1"/>
    <col min="8238" max="8266" width="9.6640625" style="362" customWidth="1"/>
    <col min="8267" max="8448" width="8.88671875" style="362"/>
    <col min="8449" max="8449" width="38.44140625" style="362" customWidth="1"/>
    <col min="8450" max="8450" width="12.88671875" style="362" customWidth="1"/>
    <col min="8451" max="8492" width="9.6640625" style="362" customWidth="1"/>
    <col min="8493" max="8493" width="12.6640625" style="362" customWidth="1"/>
    <col min="8494" max="8522" width="9.6640625" style="362" customWidth="1"/>
    <col min="8523" max="8704" width="8.88671875" style="362"/>
    <col min="8705" max="8705" width="38.44140625" style="362" customWidth="1"/>
    <col min="8706" max="8706" width="12.88671875" style="362" customWidth="1"/>
    <col min="8707" max="8748" width="9.6640625" style="362" customWidth="1"/>
    <col min="8749" max="8749" width="12.6640625" style="362" customWidth="1"/>
    <col min="8750" max="8778" width="9.6640625" style="362" customWidth="1"/>
    <col min="8779" max="8960" width="8.88671875" style="362"/>
    <col min="8961" max="8961" width="38.44140625" style="362" customWidth="1"/>
    <col min="8962" max="8962" width="12.88671875" style="362" customWidth="1"/>
    <col min="8963" max="9004" width="9.6640625" style="362" customWidth="1"/>
    <col min="9005" max="9005" width="12.6640625" style="362" customWidth="1"/>
    <col min="9006" max="9034" width="9.6640625" style="362" customWidth="1"/>
    <col min="9035" max="9216" width="8.88671875" style="362"/>
    <col min="9217" max="9217" width="38.44140625" style="362" customWidth="1"/>
    <col min="9218" max="9218" width="12.88671875" style="362" customWidth="1"/>
    <col min="9219" max="9260" width="9.6640625" style="362" customWidth="1"/>
    <col min="9261" max="9261" width="12.6640625" style="362" customWidth="1"/>
    <col min="9262" max="9290" width="9.6640625" style="362" customWidth="1"/>
    <col min="9291" max="9472" width="8.88671875" style="362"/>
    <col min="9473" max="9473" width="38.44140625" style="362" customWidth="1"/>
    <col min="9474" max="9474" width="12.88671875" style="362" customWidth="1"/>
    <col min="9475" max="9516" width="9.6640625" style="362" customWidth="1"/>
    <col min="9517" max="9517" width="12.6640625" style="362" customWidth="1"/>
    <col min="9518" max="9546" width="9.6640625" style="362" customWidth="1"/>
    <col min="9547" max="9728" width="8.88671875" style="362"/>
    <col min="9729" max="9729" width="38.44140625" style="362" customWidth="1"/>
    <col min="9730" max="9730" width="12.88671875" style="362" customWidth="1"/>
    <col min="9731" max="9772" width="9.6640625" style="362" customWidth="1"/>
    <col min="9773" max="9773" width="12.6640625" style="362" customWidth="1"/>
    <col min="9774" max="9802" width="9.6640625" style="362" customWidth="1"/>
    <col min="9803" max="9984" width="8.88671875" style="362"/>
    <col min="9985" max="9985" width="38.44140625" style="362" customWidth="1"/>
    <col min="9986" max="9986" width="12.88671875" style="362" customWidth="1"/>
    <col min="9987" max="10028" width="9.6640625" style="362" customWidth="1"/>
    <col min="10029" max="10029" width="12.6640625" style="362" customWidth="1"/>
    <col min="10030" max="10058" width="9.6640625" style="362" customWidth="1"/>
    <col min="10059" max="10240" width="8.88671875" style="362"/>
    <col min="10241" max="10241" width="38.44140625" style="362" customWidth="1"/>
    <col min="10242" max="10242" width="12.88671875" style="362" customWidth="1"/>
    <col min="10243" max="10284" width="9.6640625" style="362" customWidth="1"/>
    <col min="10285" max="10285" width="12.6640625" style="362" customWidth="1"/>
    <col min="10286" max="10314" width="9.6640625" style="362" customWidth="1"/>
    <col min="10315" max="10496" width="8.88671875" style="362"/>
    <col min="10497" max="10497" width="38.44140625" style="362" customWidth="1"/>
    <col min="10498" max="10498" width="12.88671875" style="362" customWidth="1"/>
    <col min="10499" max="10540" width="9.6640625" style="362" customWidth="1"/>
    <col min="10541" max="10541" width="12.6640625" style="362" customWidth="1"/>
    <col min="10542" max="10570" width="9.6640625" style="362" customWidth="1"/>
    <col min="10571" max="10752" width="8.88671875" style="362"/>
    <col min="10753" max="10753" width="38.44140625" style="362" customWidth="1"/>
    <col min="10754" max="10754" width="12.88671875" style="362" customWidth="1"/>
    <col min="10755" max="10796" width="9.6640625" style="362" customWidth="1"/>
    <col min="10797" max="10797" width="12.6640625" style="362" customWidth="1"/>
    <col min="10798" max="10826" width="9.6640625" style="362" customWidth="1"/>
    <col min="10827" max="11008" width="8.88671875" style="362"/>
    <col min="11009" max="11009" width="38.44140625" style="362" customWidth="1"/>
    <col min="11010" max="11010" width="12.88671875" style="362" customWidth="1"/>
    <col min="11011" max="11052" width="9.6640625" style="362" customWidth="1"/>
    <col min="11053" max="11053" width="12.6640625" style="362" customWidth="1"/>
    <col min="11054" max="11082" width="9.6640625" style="362" customWidth="1"/>
    <col min="11083" max="11264" width="8.88671875" style="362"/>
    <col min="11265" max="11265" width="38.44140625" style="362" customWidth="1"/>
    <col min="11266" max="11266" width="12.88671875" style="362" customWidth="1"/>
    <col min="11267" max="11308" width="9.6640625" style="362" customWidth="1"/>
    <col min="11309" max="11309" width="12.6640625" style="362" customWidth="1"/>
    <col min="11310" max="11338" width="9.6640625" style="362" customWidth="1"/>
    <col min="11339" max="11520" width="8.88671875" style="362"/>
    <col min="11521" max="11521" width="38.44140625" style="362" customWidth="1"/>
    <col min="11522" max="11522" width="12.88671875" style="362" customWidth="1"/>
    <col min="11523" max="11564" width="9.6640625" style="362" customWidth="1"/>
    <col min="11565" max="11565" width="12.6640625" style="362" customWidth="1"/>
    <col min="11566" max="11594" width="9.6640625" style="362" customWidth="1"/>
    <col min="11595" max="11776" width="8.88671875" style="362"/>
    <col min="11777" max="11777" width="38.44140625" style="362" customWidth="1"/>
    <col min="11778" max="11778" width="12.88671875" style="362" customWidth="1"/>
    <col min="11779" max="11820" width="9.6640625" style="362" customWidth="1"/>
    <col min="11821" max="11821" width="12.6640625" style="362" customWidth="1"/>
    <col min="11822" max="11850" width="9.6640625" style="362" customWidth="1"/>
    <col min="11851" max="12032" width="8.88671875" style="362"/>
    <col min="12033" max="12033" width="38.44140625" style="362" customWidth="1"/>
    <col min="12034" max="12034" width="12.88671875" style="362" customWidth="1"/>
    <col min="12035" max="12076" width="9.6640625" style="362" customWidth="1"/>
    <col min="12077" max="12077" width="12.6640625" style="362" customWidth="1"/>
    <col min="12078" max="12106" width="9.6640625" style="362" customWidth="1"/>
    <col min="12107" max="12288" width="8.88671875" style="362"/>
    <col min="12289" max="12289" width="38.44140625" style="362" customWidth="1"/>
    <col min="12290" max="12290" width="12.88671875" style="362" customWidth="1"/>
    <col min="12291" max="12332" width="9.6640625" style="362" customWidth="1"/>
    <col min="12333" max="12333" width="12.6640625" style="362" customWidth="1"/>
    <col min="12334" max="12362" width="9.6640625" style="362" customWidth="1"/>
    <col min="12363" max="12544" width="8.88671875" style="362"/>
    <col min="12545" max="12545" width="38.44140625" style="362" customWidth="1"/>
    <col min="12546" max="12546" width="12.88671875" style="362" customWidth="1"/>
    <col min="12547" max="12588" width="9.6640625" style="362" customWidth="1"/>
    <col min="12589" max="12589" width="12.6640625" style="362" customWidth="1"/>
    <col min="12590" max="12618" width="9.6640625" style="362" customWidth="1"/>
    <col min="12619" max="12800" width="8.88671875" style="362"/>
    <col min="12801" max="12801" width="38.44140625" style="362" customWidth="1"/>
    <col min="12802" max="12802" width="12.88671875" style="362" customWidth="1"/>
    <col min="12803" max="12844" width="9.6640625" style="362" customWidth="1"/>
    <col min="12845" max="12845" width="12.6640625" style="362" customWidth="1"/>
    <col min="12846" max="12874" width="9.6640625" style="362" customWidth="1"/>
    <col min="12875" max="13056" width="8.88671875" style="362"/>
    <col min="13057" max="13057" width="38.44140625" style="362" customWidth="1"/>
    <col min="13058" max="13058" width="12.88671875" style="362" customWidth="1"/>
    <col min="13059" max="13100" width="9.6640625" style="362" customWidth="1"/>
    <col min="13101" max="13101" width="12.6640625" style="362" customWidth="1"/>
    <col min="13102" max="13130" width="9.6640625" style="362" customWidth="1"/>
    <col min="13131" max="13312" width="8.88671875" style="362"/>
    <col min="13313" max="13313" width="38.44140625" style="362" customWidth="1"/>
    <col min="13314" max="13314" width="12.88671875" style="362" customWidth="1"/>
    <col min="13315" max="13356" width="9.6640625" style="362" customWidth="1"/>
    <col min="13357" max="13357" width="12.6640625" style="362" customWidth="1"/>
    <col min="13358" max="13386" width="9.6640625" style="362" customWidth="1"/>
    <col min="13387" max="13568" width="8.88671875" style="362"/>
    <col min="13569" max="13569" width="38.44140625" style="362" customWidth="1"/>
    <col min="13570" max="13570" width="12.88671875" style="362" customWidth="1"/>
    <col min="13571" max="13612" width="9.6640625" style="362" customWidth="1"/>
    <col min="13613" max="13613" width="12.6640625" style="362" customWidth="1"/>
    <col min="13614" max="13642" width="9.6640625" style="362" customWidth="1"/>
    <col min="13643" max="13824" width="8.88671875" style="362"/>
    <col min="13825" max="13825" width="38.44140625" style="362" customWidth="1"/>
    <col min="13826" max="13826" width="12.88671875" style="362" customWidth="1"/>
    <col min="13827" max="13868" width="9.6640625" style="362" customWidth="1"/>
    <col min="13869" max="13869" width="12.6640625" style="362" customWidth="1"/>
    <col min="13870" max="13898" width="9.6640625" style="362" customWidth="1"/>
    <col min="13899" max="14080" width="8.88671875" style="362"/>
    <col min="14081" max="14081" width="38.44140625" style="362" customWidth="1"/>
    <col min="14082" max="14082" width="12.88671875" style="362" customWidth="1"/>
    <col min="14083" max="14124" width="9.6640625" style="362" customWidth="1"/>
    <col min="14125" max="14125" width="12.6640625" style="362" customWidth="1"/>
    <col min="14126" max="14154" width="9.6640625" style="362" customWidth="1"/>
    <col min="14155" max="14336" width="8.88671875" style="362"/>
    <col min="14337" max="14337" width="38.44140625" style="362" customWidth="1"/>
    <col min="14338" max="14338" width="12.88671875" style="362" customWidth="1"/>
    <col min="14339" max="14380" width="9.6640625" style="362" customWidth="1"/>
    <col min="14381" max="14381" width="12.6640625" style="362" customWidth="1"/>
    <col min="14382" max="14410" width="9.6640625" style="362" customWidth="1"/>
    <col min="14411" max="14592" width="8.88671875" style="362"/>
    <col min="14593" max="14593" width="38.44140625" style="362" customWidth="1"/>
    <col min="14594" max="14594" width="12.88671875" style="362" customWidth="1"/>
    <col min="14595" max="14636" width="9.6640625" style="362" customWidth="1"/>
    <col min="14637" max="14637" width="12.6640625" style="362" customWidth="1"/>
    <col min="14638" max="14666" width="9.6640625" style="362" customWidth="1"/>
    <col min="14667" max="14848" width="8.88671875" style="362"/>
    <col min="14849" max="14849" width="38.44140625" style="362" customWidth="1"/>
    <col min="14850" max="14850" width="12.88671875" style="362" customWidth="1"/>
    <col min="14851" max="14892" width="9.6640625" style="362" customWidth="1"/>
    <col min="14893" max="14893" width="12.6640625" style="362" customWidth="1"/>
    <col min="14894" max="14922" width="9.6640625" style="362" customWidth="1"/>
    <col min="14923" max="15104" width="8.88671875" style="362"/>
    <col min="15105" max="15105" width="38.44140625" style="362" customWidth="1"/>
    <col min="15106" max="15106" width="12.88671875" style="362" customWidth="1"/>
    <col min="15107" max="15148" width="9.6640625" style="362" customWidth="1"/>
    <col min="15149" max="15149" width="12.6640625" style="362" customWidth="1"/>
    <col min="15150" max="15178" width="9.6640625" style="362" customWidth="1"/>
    <col min="15179" max="15360" width="8.88671875" style="362"/>
    <col min="15361" max="15361" width="38.44140625" style="362" customWidth="1"/>
    <col min="15362" max="15362" width="12.88671875" style="362" customWidth="1"/>
    <col min="15363" max="15404" width="9.6640625" style="362" customWidth="1"/>
    <col min="15405" max="15405" width="12.6640625" style="362" customWidth="1"/>
    <col min="15406" max="15434" width="9.6640625" style="362" customWidth="1"/>
    <col min="15435" max="15616" width="8.88671875" style="362"/>
    <col min="15617" max="15617" width="38.44140625" style="362" customWidth="1"/>
    <col min="15618" max="15618" width="12.88671875" style="362" customWidth="1"/>
    <col min="15619" max="15660" width="9.6640625" style="362" customWidth="1"/>
    <col min="15661" max="15661" width="12.6640625" style="362" customWidth="1"/>
    <col min="15662" max="15690" width="9.6640625" style="362" customWidth="1"/>
    <col min="15691" max="15872" width="8.88671875" style="362"/>
    <col min="15873" max="15873" width="38.44140625" style="362" customWidth="1"/>
    <col min="15874" max="15874" width="12.88671875" style="362" customWidth="1"/>
    <col min="15875" max="15916" width="9.6640625" style="362" customWidth="1"/>
    <col min="15917" max="15917" width="12.6640625" style="362" customWidth="1"/>
    <col min="15918" max="15946" width="9.6640625" style="362" customWidth="1"/>
    <col min="15947" max="16128" width="8.88671875" style="362"/>
    <col min="16129" max="16129" width="38.44140625" style="362" customWidth="1"/>
    <col min="16130" max="16130" width="12.88671875" style="362" customWidth="1"/>
    <col min="16131" max="16172" width="9.6640625" style="362" customWidth="1"/>
    <col min="16173" max="16173" width="12.6640625" style="362" customWidth="1"/>
    <col min="16174" max="16202" width="9.6640625" style="362" customWidth="1"/>
    <col min="16203" max="16384" width="8.88671875" style="362"/>
  </cols>
  <sheetData>
    <row r="1" spans="1:75" ht="17.399999999999999" x14ac:dyDescent="0.3">
      <c r="A1" s="546" t="s">
        <v>22</v>
      </c>
      <c r="B1" s="547"/>
    </row>
    <row r="2" spans="1:75" ht="15.6" x14ac:dyDescent="0.3">
      <c r="A2" s="548" t="s">
        <v>226</v>
      </c>
      <c r="B2" s="549"/>
    </row>
    <row r="3" spans="1:75" ht="14.4" thickBot="1" x14ac:dyDescent="0.3">
      <c r="A3" s="550" t="s">
        <v>24</v>
      </c>
      <c r="B3" s="551"/>
    </row>
    <row r="6" spans="1:75" x14ac:dyDescent="0.25">
      <c r="AO6" s="364" t="s">
        <v>27</v>
      </c>
      <c r="AP6" s="364" t="s">
        <v>27</v>
      </c>
      <c r="AQ6" s="364" t="s">
        <v>27</v>
      </c>
      <c r="AR6" s="364" t="s">
        <v>27</v>
      </c>
      <c r="AS6" s="365" t="s">
        <v>28</v>
      </c>
      <c r="AT6" s="366" t="s">
        <v>28</v>
      </c>
      <c r="AU6" s="366" t="s">
        <v>28</v>
      </c>
      <c r="AV6" s="365" t="s">
        <v>28</v>
      </c>
      <c r="AW6" s="367" t="s">
        <v>29</v>
      </c>
      <c r="AX6" s="368" t="s">
        <v>29</v>
      </c>
      <c r="AY6" s="368" t="s">
        <v>29</v>
      </c>
      <c r="AZ6" s="368" t="s">
        <v>29</v>
      </c>
      <c r="BA6" s="369" t="s">
        <v>30</v>
      </c>
      <c r="BB6" s="369" t="s">
        <v>30</v>
      </c>
      <c r="BC6" s="369" t="s">
        <v>30</v>
      </c>
      <c r="BD6" s="369" t="s">
        <v>30</v>
      </c>
      <c r="BE6" s="370" t="s">
        <v>31</v>
      </c>
      <c r="BF6" s="370" t="s">
        <v>31</v>
      </c>
      <c r="BG6" s="370" t="s">
        <v>31</v>
      </c>
      <c r="BH6" s="370" t="s">
        <v>31</v>
      </c>
      <c r="BI6" s="371" t="s">
        <v>32</v>
      </c>
      <c r="BJ6" s="371" t="s">
        <v>32</v>
      </c>
      <c r="BK6" s="371" t="s">
        <v>32</v>
      </c>
      <c r="BL6" s="371" t="s">
        <v>32</v>
      </c>
    </row>
    <row r="7" spans="1:75" s="363" customFormat="1" x14ac:dyDescent="0.25">
      <c r="B7" s="363" t="s">
        <v>33</v>
      </c>
      <c r="C7" s="372" t="s">
        <v>34</v>
      </c>
      <c r="D7" s="372" t="s">
        <v>35</v>
      </c>
      <c r="E7" s="372" t="s">
        <v>36</v>
      </c>
      <c r="F7" s="372" t="s">
        <v>37</v>
      </c>
      <c r="G7" s="372" t="s">
        <v>38</v>
      </c>
      <c r="H7" s="372" t="s">
        <v>39</v>
      </c>
      <c r="I7" s="372" t="s">
        <v>40</v>
      </c>
      <c r="J7" s="372" t="s">
        <v>41</v>
      </c>
      <c r="K7" s="372" t="s">
        <v>42</v>
      </c>
      <c r="L7" s="372" t="s">
        <v>43</v>
      </c>
      <c r="M7" s="372" t="s">
        <v>44</v>
      </c>
      <c r="N7" s="372" t="s">
        <v>45</v>
      </c>
      <c r="O7" s="372" t="s">
        <v>46</v>
      </c>
      <c r="P7" s="372" t="s">
        <v>47</v>
      </c>
      <c r="Q7" s="372" t="s">
        <v>48</v>
      </c>
      <c r="R7" s="372" t="s">
        <v>49</v>
      </c>
      <c r="S7" s="372" t="s">
        <v>50</v>
      </c>
      <c r="T7" s="372" t="s">
        <v>51</v>
      </c>
      <c r="U7" s="372" t="s">
        <v>52</v>
      </c>
      <c r="V7" s="372" t="s">
        <v>53</v>
      </c>
      <c r="W7" s="372" t="s">
        <v>54</v>
      </c>
      <c r="X7" s="372" t="s">
        <v>55</v>
      </c>
      <c r="Y7" s="372" t="s">
        <v>56</v>
      </c>
      <c r="Z7" s="372" t="s">
        <v>57</v>
      </c>
      <c r="AA7" s="372" t="s">
        <v>58</v>
      </c>
      <c r="AB7" s="372" t="s">
        <v>59</v>
      </c>
      <c r="AC7" s="372" t="s">
        <v>60</v>
      </c>
      <c r="AD7" s="372" t="s">
        <v>61</v>
      </c>
      <c r="AE7" s="372" t="s">
        <v>62</v>
      </c>
      <c r="AF7" s="372" t="s">
        <v>63</v>
      </c>
      <c r="AG7" s="372" t="s">
        <v>64</v>
      </c>
      <c r="AH7" s="372" t="s">
        <v>65</v>
      </c>
      <c r="AI7" s="372" t="s">
        <v>66</v>
      </c>
      <c r="AJ7" s="372" t="s">
        <v>67</v>
      </c>
      <c r="AK7" s="372" t="s">
        <v>68</v>
      </c>
      <c r="AL7" s="372" t="s">
        <v>69</v>
      </c>
      <c r="AM7" s="372" t="s">
        <v>70</v>
      </c>
      <c r="AN7" s="372" t="s">
        <v>71</v>
      </c>
      <c r="AO7" s="372" t="s">
        <v>72</v>
      </c>
      <c r="AP7" s="372" t="s">
        <v>73</v>
      </c>
      <c r="AQ7" s="372" t="s">
        <v>74</v>
      </c>
      <c r="AR7" s="372" t="s">
        <v>75</v>
      </c>
      <c r="AS7" s="372" t="s">
        <v>76</v>
      </c>
      <c r="AT7" s="372" t="s">
        <v>77</v>
      </c>
      <c r="AU7" s="363" t="s">
        <v>78</v>
      </c>
      <c r="AV7" s="363" t="s">
        <v>79</v>
      </c>
      <c r="AW7" s="363" t="s">
        <v>80</v>
      </c>
      <c r="AX7" s="363" t="s">
        <v>81</v>
      </c>
      <c r="AY7" s="363" t="s">
        <v>82</v>
      </c>
      <c r="AZ7" s="363" t="s">
        <v>83</v>
      </c>
      <c r="BA7" s="363" t="s">
        <v>84</v>
      </c>
      <c r="BB7" s="363" t="s">
        <v>85</v>
      </c>
      <c r="BC7" s="363" t="s">
        <v>86</v>
      </c>
      <c r="BD7" s="363" t="s">
        <v>87</v>
      </c>
      <c r="BE7" s="363" t="s">
        <v>88</v>
      </c>
      <c r="BF7" s="363" t="s">
        <v>89</v>
      </c>
      <c r="BG7" s="363" t="s">
        <v>90</v>
      </c>
      <c r="BH7" s="363" t="s">
        <v>91</v>
      </c>
      <c r="BI7" s="363" t="s">
        <v>92</v>
      </c>
      <c r="BJ7" s="363" t="s">
        <v>93</v>
      </c>
      <c r="BK7" s="363" t="s">
        <v>94</v>
      </c>
      <c r="BL7" s="363" t="s">
        <v>95</v>
      </c>
      <c r="BM7" s="363" t="s">
        <v>96</v>
      </c>
      <c r="BN7" s="363" t="s">
        <v>97</v>
      </c>
      <c r="BO7" s="363" t="s">
        <v>98</v>
      </c>
      <c r="BP7" s="363" t="s">
        <v>99</v>
      </c>
      <c r="BQ7" s="363" t="s">
        <v>100</v>
      </c>
      <c r="BR7" s="363" t="s">
        <v>101</v>
      </c>
      <c r="BS7" s="363" t="s">
        <v>102</v>
      </c>
      <c r="BT7" s="363" t="s">
        <v>103</v>
      </c>
      <c r="BU7" s="363" t="s">
        <v>104</v>
      </c>
      <c r="BV7" s="363" t="s">
        <v>105</v>
      </c>
      <c r="BW7" s="363" t="s">
        <v>106</v>
      </c>
    </row>
    <row r="8" spans="1:75" x14ac:dyDescent="0.25">
      <c r="A8" s="363" t="s">
        <v>107</v>
      </c>
      <c r="B8" s="363" t="s">
        <v>108</v>
      </c>
      <c r="C8" s="373">
        <v>2.036</v>
      </c>
      <c r="D8" s="373">
        <v>2.0609999999999999</v>
      </c>
      <c r="E8" s="373">
        <v>2.0659999999999998</v>
      </c>
      <c r="F8" s="373">
        <v>2.0880000000000001</v>
      </c>
      <c r="G8" s="373">
        <v>2.105</v>
      </c>
      <c r="H8" s="373">
        <v>2.1160000000000001</v>
      </c>
      <c r="I8" s="373">
        <v>2.15</v>
      </c>
      <c r="J8" s="373">
        <v>2.17</v>
      </c>
      <c r="K8" s="373">
        <v>2.1880000000000002</v>
      </c>
      <c r="L8" s="373">
        <v>2.2149999999999999</v>
      </c>
      <c r="M8" s="373">
        <v>2.2349999999999999</v>
      </c>
      <c r="N8" s="373">
        <v>2.222</v>
      </c>
      <c r="O8" s="373">
        <v>2.2349999999999999</v>
      </c>
      <c r="P8" s="373">
        <v>2.262</v>
      </c>
      <c r="Q8" s="373">
        <v>2.2749999999999999</v>
      </c>
      <c r="R8" s="373">
        <v>2.3029999999999999</v>
      </c>
      <c r="S8" s="373">
        <v>2.3220000000000001</v>
      </c>
      <c r="T8" s="373">
        <v>2.363</v>
      </c>
      <c r="U8" s="373">
        <v>2.403</v>
      </c>
      <c r="V8" s="373">
        <v>2.3519999999999999</v>
      </c>
      <c r="W8" s="373">
        <v>2.3460000000000001</v>
      </c>
      <c r="X8" s="373">
        <v>2.351</v>
      </c>
      <c r="Y8" s="373">
        <v>2.371</v>
      </c>
      <c r="Z8" s="373">
        <v>2.3849999999999998</v>
      </c>
      <c r="AA8" s="373">
        <v>2.3849999999999998</v>
      </c>
      <c r="AB8" s="373">
        <v>2.3860000000000001</v>
      </c>
      <c r="AC8" s="373">
        <v>2.4009999999999998</v>
      </c>
      <c r="AD8" s="373">
        <v>2.4239999999999999</v>
      </c>
      <c r="AE8" s="373">
        <v>2.4369999999999998</v>
      </c>
      <c r="AF8" s="373">
        <v>2.4809999999999999</v>
      </c>
      <c r="AG8" s="373">
        <v>2.492</v>
      </c>
      <c r="AH8" s="373">
        <v>2.4990000000000001</v>
      </c>
      <c r="AI8" s="373">
        <v>2.52</v>
      </c>
      <c r="AJ8" s="373">
        <v>2.524</v>
      </c>
      <c r="AK8" s="373">
        <v>2.5329999999999999</v>
      </c>
      <c r="AL8" s="373">
        <v>2.5499999999999998</v>
      </c>
      <c r="AM8" s="373">
        <v>2.5630000000000002</v>
      </c>
      <c r="AN8" s="373">
        <v>2.5590000000000002</v>
      </c>
      <c r="AO8" s="373">
        <v>2.5750000000000002</v>
      </c>
      <c r="AP8" s="373">
        <v>2.589</v>
      </c>
      <c r="AQ8" s="373">
        <v>2.6059999999999999</v>
      </c>
      <c r="AR8" s="373">
        <v>2.6139999999999999</v>
      </c>
      <c r="AS8" s="373">
        <v>2.6160000000000001</v>
      </c>
      <c r="AT8" s="373">
        <v>2.6190000000000002</v>
      </c>
      <c r="AU8" s="362">
        <v>2.6219999999999999</v>
      </c>
      <c r="AV8" s="362">
        <v>2.63</v>
      </c>
      <c r="AW8" s="362">
        <v>2.6240000000000001</v>
      </c>
      <c r="AX8" s="362">
        <v>2.6259999999999999</v>
      </c>
      <c r="AY8" s="362">
        <v>2.6240000000000001</v>
      </c>
      <c r="AZ8" s="362">
        <v>2.6269999999999998</v>
      </c>
      <c r="BA8" s="362">
        <v>2.6429999999999998</v>
      </c>
      <c r="BB8" s="362">
        <v>2.6669999999999998</v>
      </c>
      <c r="BC8" s="362">
        <v>2.6749999999999998</v>
      </c>
      <c r="BD8" s="362">
        <v>2.6920000000000002</v>
      </c>
      <c r="BE8" s="362">
        <v>2.7130000000000001</v>
      </c>
      <c r="BF8" s="362">
        <v>2.7250000000000001</v>
      </c>
      <c r="BG8" s="362">
        <v>2.7440000000000002</v>
      </c>
      <c r="BH8" s="362">
        <v>2.7639999999999998</v>
      </c>
      <c r="BI8" s="362">
        <v>2.7829999999999999</v>
      </c>
      <c r="BJ8" s="362">
        <v>2.802</v>
      </c>
      <c r="BK8" s="362">
        <v>2.82</v>
      </c>
      <c r="BL8" s="362">
        <v>2.8380000000000001</v>
      </c>
      <c r="BM8" s="362">
        <v>2.8559999999999999</v>
      </c>
      <c r="BN8" s="362">
        <v>2.875</v>
      </c>
      <c r="BO8" s="362">
        <v>2.8940000000000001</v>
      </c>
      <c r="BP8" s="362">
        <v>2.9129999999999998</v>
      </c>
      <c r="BQ8" s="362">
        <v>2.9329999999999998</v>
      </c>
      <c r="BR8" s="362">
        <v>2.9529999999999998</v>
      </c>
      <c r="BS8" s="362">
        <v>2.972</v>
      </c>
      <c r="BT8" s="362">
        <v>2.9929999999999999</v>
      </c>
      <c r="BU8" s="362">
        <v>3.0150000000000001</v>
      </c>
      <c r="BV8" s="362">
        <v>3.0339999999999998</v>
      </c>
    </row>
    <row r="9" spans="1:75" x14ac:dyDescent="0.25">
      <c r="A9" s="363" t="s">
        <v>109</v>
      </c>
      <c r="B9" s="363" t="s">
        <v>110</v>
      </c>
      <c r="C9" s="373">
        <v>2.036</v>
      </c>
      <c r="D9" s="373">
        <v>2.0609999999999999</v>
      </c>
      <c r="E9" s="373">
        <v>2.0659999999999998</v>
      </c>
      <c r="F9" s="373">
        <v>2.0880000000000001</v>
      </c>
      <c r="G9" s="373">
        <v>2.105</v>
      </c>
      <c r="H9" s="373">
        <v>2.1160000000000001</v>
      </c>
      <c r="I9" s="373">
        <v>2.15</v>
      </c>
      <c r="J9" s="373">
        <v>2.17</v>
      </c>
      <c r="K9" s="373">
        <v>2.1880000000000002</v>
      </c>
      <c r="L9" s="373">
        <v>2.2149999999999999</v>
      </c>
      <c r="M9" s="373">
        <v>2.2349999999999999</v>
      </c>
      <c r="N9" s="373">
        <v>2.222</v>
      </c>
      <c r="O9" s="373">
        <v>2.2349999999999999</v>
      </c>
      <c r="P9" s="373">
        <v>2.262</v>
      </c>
      <c r="Q9" s="373">
        <v>2.2749999999999999</v>
      </c>
      <c r="R9" s="373">
        <v>2.3029999999999999</v>
      </c>
      <c r="S9" s="373">
        <v>2.3220000000000001</v>
      </c>
      <c r="T9" s="373">
        <v>2.363</v>
      </c>
      <c r="U9" s="373">
        <v>2.403</v>
      </c>
      <c r="V9" s="373">
        <v>2.3519999999999999</v>
      </c>
      <c r="W9" s="373">
        <v>2.3460000000000001</v>
      </c>
      <c r="X9" s="373">
        <v>2.351</v>
      </c>
      <c r="Y9" s="373">
        <v>2.371</v>
      </c>
      <c r="Z9" s="373">
        <v>2.3849999999999998</v>
      </c>
      <c r="AA9" s="373">
        <v>2.3849999999999998</v>
      </c>
      <c r="AB9" s="373">
        <v>2.3860000000000001</v>
      </c>
      <c r="AC9" s="373">
        <v>2.4009999999999998</v>
      </c>
      <c r="AD9" s="373">
        <v>2.4239999999999999</v>
      </c>
      <c r="AE9" s="373">
        <v>2.4369999999999998</v>
      </c>
      <c r="AF9" s="373">
        <v>2.4809999999999999</v>
      </c>
      <c r="AG9" s="373">
        <v>2.492</v>
      </c>
      <c r="AH9" s="373">
        <v>2.4990000000000001</v>
      </c>
      <c r="AI9" s="373">
        <v>2.52</v>
      </c>
      <c r="AJ9" s="373">
        <v>2.524</v>
      </c>
      <c r="AK9" s="373">
        <v>2.5329999999999999</v>
      </c>
      <c r="AL9" s="373">
        <v>2.5499999999999998</v>
      </c>
      <c r="AM9" s="373">
        <v>2.5630000000000002</v>
      </c>
      <c r="AN9" s="373">
        <v>2.5590000000000002</v>
      </c>
      <c r="AO9" s="373">
        <v>2.5750000000000002</v>
      </c>
      <c r="AP9" s="373">
        <v>2.589</v>
      </c>
      <c r="AQ9" s="373">
        <v>2.6059999999999999</v>
      </c>
      <c r="AR9" s="373">
        <v>2.6139999999999999</v>
      </c>
      <c r="AS9" s="373">
        <v>2.6160000000000001</v>
      </c>
      <c r="AT9" s="373">
        <v>2.6190000000000002</v>
      </c>
      <c r="AU9" s="362">
        <v>2.6219999999999999</v>
      </c>
      <c r="AV9" s="362">
        <v>2.63</v>
      </c>
      <c r="AW9" s="362">
        <v>2.6240000000000001</v>
      </c>
      <c r="AX9" s="362">
        <v>2.6259999999999999</v>
      </c>
      <c r="AY9" s="362">
        <v>2.6240000000000001</v>
      </c>
      <c r="AZ9" s="362">
        <v>2.6230000000000002</v>
      </c>
      <c r="BA9" s="362">
        <v>2.6339999999999999</v>
      </c>
      <c r="BB9" s="362">
        <v>2.6520000000000001</v>
      </c>
      <c r="BC9" s="362">
        <v>2.6589999999999998</v>
      </c>
      <c r="BD9" s="362">
        <v>2.6709999999999998</v>
      </c>
      <c r="BE9" s="362">
        <v>2.6869999999999998</v>
      </c>
      <c r="BF9" s="362">
        <v>2.6960000000000002</v>
      </c>
      <c r="BG9" s="362">
        <v>2.7120000000000002</v>
      </c>
      <c r="BH9" s="362">
        <v>2.7269999999999999</v>
      </c>
      <c r="BI9" s="362">
        <v>2.7429999999999999</v>
      </c>
      <c r="BJ9" s="362">
        <v>2.7589999999999999</v>
      </c>
      <c r="BK9" s="362">
        <v>2.7759999999999998</v>
      </c>
      <c r="BL9" s="362">
        <v>2.7919999999999998</v>
      </c>
      <c r="BM9" s="362">
        <v>2.8090000000000002</v>
      </c>
      <c r="BN9" s="362">
        <v>2.827</v>
      </c>
      <c r="BO9" s="362">
        <v>2.8450000000000002</v>
      </c>
      <c r="BP9" s="362">
        <v>2.863</v>
      </c>
      <c r="BQ9" s="362">
        <v>2.8809999999999998</v>
      </c>
      <c r="BR9" s="362">
        <v>2.9</v>
      </c>
      <c r="BS9" s="362">
        <v>2.92</v>
      </c>
      <c r="BT9" s="362">
        <v>2.9390000000000001</v>
      </c>
      <c r="BU9" s="362">
        <v>2.96</v>
      </c>
      <c r="BV9" s="362">
        <v>2.9790000000000001</v>
      </c>
    </row>
    <row r="10" spans="1:75" x14ac:dyDescent="0.25">
      <c r="A10" s="363" t="s">
        <v>111</v>
      </c>
      <c r="B10" s="363" t="s">
        <v>112</v>
      </c>
      <c r="C10" s="373">
        <v>2.036</v>
      </c>
      <c r="D10" s="373">
        <v>2.0609999999999999</v>
      </c>
      <c r="E10" s="373">
        <v>2.0659999999999998</v>
      </c>
      <c r="F10" s="373">
        <v>2.0880000000000001</v>
      </c>
      <c r="G10" s="373">
        <v>2.105</v>
      </c>
      <c r="H10" s="373">
        <v>2.1160000000000001</v>
      </c>
      <c r="I10" s="373">
        <v>2.15</v>
      </c>
      <c r="J10" s="373">
        <v>2.17</v>
      </c>
      <c r="K10" s="373">
        <v>2.1880000000000002</v>
      </c>
      <c r="L10" s="373">
        <v>2.2149999999999999</v>
      </c>
      <c r="M10" s="373">
        <v>2.2349999999999999</v>
      </c>
      <c r="N10" s="373">
        <v>2.222</v>
      </c>
      <c r="O10" s="373">
        <v>2.2349999999999999</v>
      </c>
      <c r="P10" s="373">
        <v>2.262</v>
      </c>
      <c r="Q10" s="373">
        <v>2.2749999999999999</v>
      </c>
      <c r="R10" s="373">
        <v>2.3029999999999999</v>
      </c>
      <c r="S10" s="373">
        <v>2.3220000000000001</v>
      </c>
      <c r="T10" s="373">
        <v>2.363</v>
      </c>
      <c r="U10" s="373">
        <v>2.403</v>
      </c>
      <c r="V10" s="373">
        <v>2.3519999999999999</v>
      </c>
      <c r="W10" s="373">
        <v>2.3460000000000001</v>
      </c>
      <c r="X10" s="373">
        <v>2.351</v>
      </c>
      <c r="Y10" s="373">
        <v>2.371</v>
      </c>
      <c r="Z10" s="373">
        <v>2.3849999999999998</v>
      </c>
      <c r="AA10" s="373">
        <v>2.3849999999999998</v>
      </c>
      <c r="AB10" s="373">
        <v>2.3860000000000001</v>
      </c>
      <c r="AC10" s="373">
        <v>2.4009999999999998</v>
      </c>
      <c r="AD10" s="373">
        <v>2.4239999999999999</v>
      </c>
      <c r="AE10" s="373">
        <v>2.4369999999999998</v>
      </c>
      <c r="AF10" s="373">
        <v>2.4809999999999999</v>
      </c>
      <c r="AG10" s="373">
        <v>2.492</v>
      </c>
      <c r="AH10" s="373">
        <v>2.4990000000000001</v>
      </c>
      <c r="AI10" s="373">
        <v>2.52</v>
      </c>
      <c r="AJ10" s="373">
        <v>2.524</v>
      </c>
      <c r="AK10" s="373">
        <v>2.5329999999999999</v>
      </c>
      <c r="AL10" s="373">
        <v>2.5499999999999998</v>
      </c>
      <c r="AM10" s="373">
        <v>2.5630000000000002</v>
      </c>
      <c r="AN10" s="373">
        <v>2.5590000000000002</v>
      </c>
      <c r="AO10" s="373">
        <v>2.5750000000000002</v>
      </c>
      <c r="AP10" s="373">
        <v>2.589</v>
      </c>
      <c r="AQ10" s="373">
        <v>2.6059999999999999</v>
      </c>
      <c r="AR10" s="373">
        <v>2.6139999999999999</v>
      </c>
      <c r="AS10" s="373">
        <v>2.6160000000000001</v>
      </c>
      <c r="AT10" s="373">
        <v>2.6190000000000002</v>
      </c>
      <c r="AU10" s="362">
        <v>2.6219999999999999</v>
      </c>
      <c r="AV10" s="362">
        <v>2.63</v>
      </c>
      <c r="AW10" s="362">
        <v>2.6240000000000001</v>
      </c>
      <c r="AX10" s="362">
        <v>2.6259999999999999</v>
      </c>
      <c r="AY10" s="362">
        <v>2.6240000000000001</v>
      </c>
      <c r="AZ10" s="362">
        <v>2.629</v>
      </c>
      <c r="BA10" s="362">
        <v>2.6469999999999998</v>
      </c>
      <c r="BB10" s="362">
        <v>2.6749999999999998</v>
      </c>
      <c r="BC10" s="362">
        <v>2.6850000000000001</v>
      </c>
      <c r="BD10" s="362">
        <v>2.7069999999999999</v>
      </c>
      <c r="BE10" s="362">
        <v>2.734</v>
      </c>
      <c r="BF10" s="362">
        <v>2.75</v>
      </c>
      <c r="BG10" s="362">
        <v>2.774</v>
      </c>
      <c r="BH10" s="362">
        <v>2.8</v>
      </c>
      <c r="BI10" s="362">
        <v>2.8239999999999998</v>
      </c>
      <c r="BJ10" s="362">
        <v>2.8490000000000002</v>
      </c>
      <c r="BK10" s="362">
        <v>2.8730000000000002</v>
      </c>
      <c r="BL10" s="362">
        <v>2.8980000000000001</v>
      </c>
      <c r="BM10" s="362">
        <v>2.923</v>
      </c>
      <c r="BN10" s="362">
        <v>2.9489999999999998</v>
      </c>
      <c r="BO10" s="362">
        <v>2.9750000000000001</v>
      </c>
      <c r="BP10" s="362">
        <v>3.0030000000000001</v>
      </c>
      <c r="BQ10" s="362">
        <v>3.0310000000000001</v>
      </c>
      <c r="BR10" s="362">
        <v>3.0590000000000002</v>
      </c>
      <c r="BS10" s="362">
        <v>3.0880000000000001</v>
      </c>
      <c r="BT10" s="362">
        <v>3.1179999999999999</v>
      </c>
      <c r="BU10" s="362">
        <v>3.149</v>
      </c>
      <c r="BV10" s="362">
        <v>3.1779999999999999</v>
      </c>
    </row>
    <row r="12" spans="1:75" x14ac:dyDescent="0.25"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  <c r="O12" s="374"/>
      <c r="P12" s="374"/>
      <c r="Q12" s="374"/>
      <c r="R12" s="374"/>
      <c r="S12" s="374"/>
      <c r="T12" s="374"/>
      <c r="U12" s="374"/>
      <c r="V12" s="374"/>
      <c r="W12" s="374"/>
      <c r="X12" s="374"/>
      <c r="Y12" s="374"/>
      <c r="Z12" s="374"/>
      <c r="AA12" s="374"/>
      <c r="AB12" s="374"/>
      <c r="AC12" s="374"/>
      <c r="AD12" s="374"/>
      <c r="AE12" s="374"/>
      <c r="AF12" s="374"/>
      <c r="AG12" s="374"/>
      <c r="AH12" s="374"/>
      <c r="AI12" s="374"/>
      <c r="AJ12" s="374"/>
      <c r="AK12" s="374"/>
      <c r="AL12" s="374"/>
      <c r="AM12" s="374"/>
      <c r="AN12" s="374"/>
      <c r="AO12" s="374"/>
      <c r="AP12" s="374"/>
      <c r="AQ12" s="374"/>
      <c r="AR12" s="374"/>
      <c r="AS12" s="374"/>
      <c r="AT12" s="374"/>
    </row>
    <row r="13" spans="1:75" x14ac:dyDescent="0.25"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374"/>
      <c r="AO13" s="374"/>
      <c r="AP13" s="374"/>
      <c r="AQ13" s="374"/>
      <c r="AR13" s="374"/>
      <c r="AS13" s="374"/>
      <c r="AT13" s="374"/>
    </row>
    <row r="14" spans="1:75" x14ac:dyDescent="0.25"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N14" s="373"/>
      <c r="O14" s="373"/>
      <c r="P14" s="373"/>
      <c r="Q14" s="373"/>
      <c r="R14" s="373"/>
      <c r="S14" s="373"/>
      <c r="T14" s="373"/>
      <c r="U14" s="373"/>
      <c r="V14" s="373"/>
      <c r="W14" s="373"/>
      <c r="X14" s="373"/>
      <c r="Y14" s="373"/>
      <c r="Z14" s="373"/>
      <c r="AA14" s="373"/>
      <c r="AB14" s="373"/>
      <c r="AC14" s="373"/>
      <c r="AD14" s="373"/>
      <c r="AE14" s="373"/>
      <c r="AF14" s="373"/>
      <c r="AG14" s="373"/>
      <c r="AH14" s="373"/>
      <c r="AI14" s="373"/>
      <c r="AJ14" s="373"/>
      <c r="AK14" s="373"/>
      <c r="AL14" s="373"/>
      <c r="AM14" s="373"/>
      <c r="AN14" s="373"/>
      <c r="AO14" s="373"/>
      <c r="AP14" s="373"/>
      <c r="AQ14" s="373"/>
      <c r="AR14" s="373"/>
      <c r="AS14" s="373"/>
      <c r="AT14" s="373"/>
    </row>
    <row r="15" spans="1:75" x14ac:dyDescent="0.25">
      <c r="C15" s="373"/>
      <c r="D15" s="373"/>
      <c r="E15" s="373"/>
      <c r="F15" s="373"/>
      <c r="G15" s="373"/>
      <c r="H15" s="373"/>
      <c r="I15" s="373"/>
      <c r="J15" s="373"/>
      <c r="K15" s="373"/>
      <c r="L15" s="373"/>
      <c r="M15" s="373"/>
      <c r="N15" s="373"/>
      <c r="O15" s="373"/>
      <c r="P15" s="373"/>
      <c r="Q15" s="373"/>
      <c r="R15" s="373"/>
      <c r="S15" s="373"/>
      <c r="T15" s="373"/>
      <c r="U15" s="373"/>
      <c r="V15" s="373"/>
      <c r="W15" s="373"/>
      <c r="X15" s="373"/>
      <c r="Y15" s="373"/>
      <c r="Z15" s="373"/>
      <c r="AA15" s="373"/>
      <c r="AB15" s="373"/>
      <c r="AC15" s="373"/>
      <c r="AD15" s="373"/>
      <c r="AE15" s="373"/>
      <c r="AF15" s="373"/>
      <c r="AG15" s="373"/>
      <c r="AH15" s="373"/>
      <c r="AI15" s="373"/>
      <c r="AJ15" s="373"/>
      <c r="AK15" s="373"/>
      <c r="AL15" s="373"/>
      <c r="AM15" s="373"/>
      <c r="AN15" s="373"/>
      <c r="AO15" s="373"/>
      <c r="AP15" s="373"/>
      <c r="AQ15" s="373"/>
      <c r="AR15" s="373"/>
      <c r="AS15" s="373"/>
      <c r="AT15" s="373"/>
    </row>
    <row r="16" spans="1:75" hidden="1" x14ac:dyDescent="0.25"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  <c r="X16" s="373"/>
      <c r="Y16" s="373"/>
      <c r="Z16" s="373"/>
      <c r="AA16" s="373"/>
      <c r="AB16" s="373"/>
      <c r="AC16" s="373"/>
      <c r="AD16" s="373"/>
      <c r="AE16" s="373"/>
      <c r="AF16" s="373"/>
      <c r="AG16" s="373"/>
      <c r="AH16" s="373"/>
      <c r="AI16" s="373"/>
      <c r="AJ16" s="373"/>
      <c r="AK16" s="373"/>
      <c r="AL16" s="373"/>
      <c r="AM16" s="373"/>
      <c r="AN16" s="373"/>
      <c r="AO16" s="373"/>
      <c r="AP16" s="373"/>
      <c r="AQ16" s="373"/>
      <c r="AR16" s="373"/>
      <c r="AS16" s="70" t="s">
        <v>120</v>
      </c>
      <c r="AT16" s="71"/>
      <c r="AU16" s="71"/>
      <c r="AV16" s="72" t="s">
        <v>201</v>
      </c>
      <c r="AW16" s="73"/>
      <c r="AX16" s="73"/>
      <c r="AY16" s="73"/>
      <c r="AZ16" s="73"/>
      <c r="BA16" s="73"/>
      <c r="BB16" s="71"/>
      <c r="BC16" s="71"/>
      <c r="BD16" s="71"/>
    </row>
    <row r="17" spans="3:56" hidden="1" x14ac:dyDescent="0.25">
      <c r="C17" s="375"/>
      <c r="D17" s="375"/>
      <c r="E17" s="375"/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5"/>
      <c r="W17" s="375"/>
      <c r="X17" s="375"/>
      <c r="Y17" s="375"/>
      <c r="Z17" s="375"/>
      <c r="AA17" s="375"/>
      <c r="AB17" s="375"/>
      <c r="AC17" s="375"/>
      <c r="AD17" s="375"/>
      <c r="AE17" s="375"/>
      <c r="AF17" s="375"/>
      <c r="AG17" s="375"/>
      <c r="AH17" s="375"/>
      <c r="AI17" s="375"/>
      <c r="AJ17" s="375"/>
      <c r="AK17" s="375"/>
      <c r="AL17" s="375"/>
      <c r="AM17" s="375"/>
      <c r="AN17" s="375"/>
      <c r="AO17" s="375"/>
      <c r="AP17" s="375"/>
      <c r="AS17" s="74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6"/>
    </row>
    <row r="18" spans="3:56" hidden="1" x14ac:dyDescent="0.25">
      <c r="AS18" s="77"/>
      <c r="AT18" s="78" t="s">
        <v>115</v>
      </c>
      <c r="AU18" s="79" t="s">
        <v>29</v>
      </c>
      <c r="AV18" s="79"/>
      <c r="AW18" s="79"/>
      <c r="AX18" s="79"/>
      <c r="AY18" s="79"/>
      <c r="AZ18" s="79"/>
      <c r="BA18" s="79"/>
      <c r="BB18" s="79"/>
      <c r="BC18" s="79"/>
      <c r="BD18" s="80"/>
    </row>
    <row r="19" spans="3:56" hidden="1" x14ac:dyDescent="0.25">
      <c r="AS19" s="77"/>
      <c r="AT19" s="79"/>
      <c r="AU19" s="363" t="s">
        <v>80</v>
      </c>
      <c r="AV19" s="363" t="s">
        <v>81</v>
      </c>
      <c r="AW19" s="363" t="s">
        <v>82</v>
      </c>
      <c r="AX19" s="363" t="s">
        <v>83</v>
      </c>
      <c r="AY19" s="79"/>
      <c r="AZ19" s="79"/>
      <c r="BA19" s="79"/>
      <c r="BB19" s="79"/>
      <c r="BC19" s="79"/>
      <c r="BD19" s="82" t="s">
        <v>117</v>
      </c>
    </row>
    <row r="20" spans="3:56" hidden="1" x14ac:dyDescent="0.25">
      <c r="AS20" s="77"/>
      <c r="AT20" s="79"/>
      <c r="AU20" s="362">
        <v>2.6240000000000001</v>
      </c>
      <c r="AV20" s="362">
        <v>2.6259999999999999</v>
      </c>
      <c r="AW20" s="362">
        <v>2.6240000000000001</v>
      </c>
      <c r="AX20" s="362">
        <v>2.6230000000000002</v>
      </c>
      <c r="AY20" s="79"/>
      <c r="AZ20" s="79"/>
      <c r="BA20" s="79"/>
      <c r="BB20" s="79"/>
      <c r="BC20" s="79"/>
      <c r="BD20" s="84">
        <f>AVERAGE(AU20:AX20)</f>
        <v>2.62425</v>
      </c>
    </row>
    <row r="21" spans="3:56" hidden="1" x14ac:dyDescent="0.25">
      <c r="AS21" s="77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83"/>
    </row>
    <row r="22" spans="3:56" hidden="1" x14ac:dyDescent="0.25">
      <c r="AS22" s="77"/>
      <c r="AT22" s="78" t="s">
        <v>118</v>
      </c>
      <c r="AU22" s="79" t="s">
        <v>129</v>
      </c>
      <c r="AV22" s="79"/>
      <c r="AW22" s="79"/>
      <c r="AX22" s="79"/>
      <c r="AY22" s="79"/>
      <c r="AZ22" s="79"/>
      <c r="BA22" s="79"/>
      <c r="BB22" s="79"/>
      <c r="BC22" s="79"/>
      <c r="BD22" s="83"/>
    </row>
    <row r="23" spans="3:56" hidden="1" x14ac:dyDescent="0.25">
      <c r="AS23" s="77"/>
      <c r="AT23" s="79"/>
      <c r="AU23" s="56" t="s">
        <v>86</v>
      </c>
      <c r="AV23" s="56" t="s">
        <v>87</v>
      </c>
      <c r="AW23" s="56" t="s">
        <v>88</v>
      </c>
      <c r="AX23" s="56" t="s">
        <v>89</v>
      </c>
      <c r="AY23" s="56" t="s">
        <v>90</v>
      </c>
      <c r="AZ23" s="56" t="s">
        <v>91</v>
      </c>
      <c r="BA23" s="56" t="s">
        <v>92</v>
      </c>
      <c r="BB23" s="56" t="s">
        <v>93</v>
      </c>
      <c r="BC23" s="79"/>
      <c r="BD23" s="83"/>
    </row>
    <row r="24" spans="3:56" hidden="1" x14ac:dyDescent="0.25">
      <c r="AS24" s="77"/>
      <c r="AT24" s="79"/>
      <c r="AU24" s="362">
        <f>BC9</f>
        <v>2.6589999999999998</v>
      </c>
      <c r="AV24" s="362">
        <f t="shared" ref="AV24:BB24" si="0">BD9</f>
        <v>2.6709999999999998</v>
      </c>
      <c r="AW24" s="362">
        <f t="shared" si="0"/>
        <v>2.6869999999999998</v>
      </c>
      <c r="AX24" s="362">
        <f t="shared" si="0"/>
        <v>2.6960000000000002</v>
      </c>
      <c r="AY24" s="362">
        <f t="shared" si="0"/>
        <v>2.7120000000000002</v>
      </c>
      <c r="AZ24" s="362">
        <f t="shared" si="0"/>
        <v>2.7269999999999999</v>
      </c>
      <c r="BA24" s="362">
        <f t="shared" si="0"/>
        <v>2.7429999999999999</v>
      </c>
      <c r="BB24" s="362">
        <f t="shared" si="0"/>
        <v>2.7589999999999999</v>
      </c>
      <c r="BC24" s="79"/>
      <c r="BD24" s="84">
        <f>AVERAGE(AU24:BB24)</f>
        <v>2.7067499999999995</v>
      </c>
    </row>
    <row r="25" spans="3:56" hidden="1" x14ac:dyDescent="0.25">
      <c r="AS25" s="77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83"/>
    </row>
    <row r="26" spans="3:56" hidden="1" x14ac:dyDescent="0.25">
      <c r="AS26" s="77"/>
      <c r="AT26" s="79"/>
      <c r="AU26" s="79"/>
      <c r="AV26" s="79"/>
      <c r="AW26" s="79"/>
      <c r="AX26" s="79"/>
      <c r="AY26" s="79"/>
      <c r="AZ26" s="79"/>
      <c r="BA26" s="79"/>
      <c r="BB26" s="79"/>
      <c r="BC26" s="85" t="s">
        <v>20</v>
      </c>
      <c r="BD26" s="376">
        <f>(BD24-BD20)/BD20</f>
        <v>3.1437553586738907E-2</v>
      </c>
    </row>
    <row r="27" spans="3:56" hidden="1" x14ac:dyDescent="0.25">
      <c r="AS27" s="87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9"/>
    </row>
    <row r="28" spans="3:56" hidden="1" x14ac:dyDescent="0.25"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71"/>
      <c r="BD28" s="71"/>
    </row>
    <row r="29" spans="3:56" hidden="1" x14ac:dyDescent="0.25"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</row>
    <row r="30" spans="3:56" x14ac:dyDescent="0.25">
      <c r="AS30" s="70" t="s">
        <v>120</v>
      </c>
      <c r="AT30" s="71"/>
      <c r="AU30" s="71"/>
      <c r="AV30" s="72" t="s">
        <v>247</v>
      </c>
      <c r="AW30" s="73"/>
      <c r="AX30" s="73"/>
      <c r="AY30" s="73"/>
      <c r="AZ30" s="73"/>
      <c r="BA30" s="73"/>
      <c r="BB30" s="71"/>
      <c r="BC30" s="71"/>
      <c r="BD30" s="71"/>
    </row>
    <row r="31" spans="3:56" x14ac:dyDescent="0.25">
      <c r="AS31" s="74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6"/>
    </row>
    <row r="32" spans="3:56" x14ac:dyDescent="0.25">
      <c r="AS32" s="77"/>
      <c r="AT32" s="78" t="s">
        <v>115</v>
      </c>
      <c r="AU32" s="79" t="s">
        <v>29</v>
      </c>
      <c r="AV32" s="79"/>
      <c r="AW32" s="79"/>
      <c r="AX32" s="79"/>
      <c r="AY32" s="79"/>
      <c r="AZ32" s="79"/>
      <c r="BA32" s="79"/>
      <c r="BB32" s="79"/>
      <c r="BC32" s="79"/>
      <c r="BD32" s="80"/>
    </row>
    <row r="33" spans="45:56" x14ac:dyDescent="0.25">
      <c r="AS33" s="77"/>
      <c r="AT33" s="79"/>
      <c r="AU33" s="56" t="s">
        <v>80</v>
      </c>
      <c r="AV33" s="56" t="s">
        <v>81</v>
      </c>
      <c r="AW33" s="56" t="s">
        <v>82</v>
      </c>
      <c r="AX33" s="56" t="s">
        <v>83</v>
      </c>
      <c r="AY33" s="79"/>
      <c r="AZ33" s="79"/>
      <c r="BA33" s="79"/>
      <c r="BB33" s="79"/>
      <c r="BC33" s="79"/>
      <c r="BD33" s="82" t="s">
        <v>117</v>
      </c>
    </row>
    <row r="34" spans="45:56" x14ac:dyDescent="0.25">
      <c r="AS34" s="77"/>
      <c r="AT34" s="79"/>
      <c r="AU34" s="377">
        <f>AW9</f>
        <v>2.6240000000000001</v>
      </c>
      <c r="AV34" s="377">
        <f t="shared" ref="AV34:AX34" si="1">AX9</f>
        <v>2.6259999999999999</v>
      </c>
      <c r="AW34" s="377">
        <f t="shared" si="1"/>
        <v>2.6240000000000001</v>
      </c>
      <c r="AX34" s="377">
        <f t="shared" si="1"/>
        <v>2.6230000000000002</v>
      </c>
      <c r="AY34" s="79"/>
      <c r="AZ34" s="79"/>
      <c r="BA34" s="79"/>
      <c r="BB34" s="79"/>
      <c r="BC34" s="79"/>
      <c r="BD34" s="84">
        <f>AVERAGE(AU34:AX34)</f>
        <v>2.62425</v>
      </c>
    </row>
    <row r="35" spans="45:56" x14ac:dyDescent="0.25">
      <c r="AS35" s="77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83"/>
    </row>
    <row r="36" spans="45:56" x14ac:dyDescent="0.25">
      <c r="AS36" s="77"/>
      <c r="AT36" s="78" t="s">
        <v>118</v>
      </c>
      <c r="AU36" s="79" t="s">
        <v>248</v>
      </c>
      <c r="AV36" s="79"/>
      <c r="AW36" s="79"/>
      <c r="AX36" s="79"/>
      <c r="AY36" s="79"/>
      <c r="AZ36" s="79"/>
      <c r="BA36" s="79"/>
      <c r="BB36" s="79"/>
      <c r="BC36" s="79"/>
      <c r="BD36" s="83"/>
    </row>
    <row r="37" spans="45:56" x14ac:dyDescent="0.25">
      <c r="AS37" s="77"/>
      <c r="AT37" s="79"/>
      <c r="AU37" s="363" t="s">
        <v>88</v>
      </c>
      <c r="AV37" s="363" t="s">
        <v>89</v>
      </c>
      <c r="AW37" s="363" t="s">
        <v>90</v>
      </c>
      <c r="AX37" s="363" t="s">
        <v>91</v>
      </c>
      <c r="AY37" s="363" t="s">
        <v>92</v>
      </c>
      <c r="AZ37" s="363" t="s">
        <v>93</v>
      </c>
      <c r="BA37" s="363" t="s">
        <v>94</v>
      </c>
      <c r="BB37" s="363" t="s">
        <v>95</v>
      </c>
      <c r="BC37" s="79"/>
      <c r="BD37" s="83"/>
    </row>
    <row r="38" spans="45:56" x14ac:dyDescent="0.25">
      <c r="AS38" s="77"/>
      <c r="AT38" s="79"/>
      <c r="AU38" s="377">
        <f>BE9</f>
        <v>2.6869999999999998</v>
      </c>
      <c r="AV38" s="377">
        <f t="shared" ref="AV38:BB38" si="2">BF9</f>
        <v>2.6960000000000002</v>
      </c>
      <c r="AW38" s="377">
        <f t="shared" si="2"/>
        <v>2.7120000000000002</v>
      </c>
      <c r="AX38" s="377">
        <f t="shared" si="2"/>
        <v>2.7269999999999999</v>
      </c>
      <c r="AY38" s="377">
        <f t="shared" si="2"/>
        <v>2.7429999999999999</v>
      </c>
      <c r="AZ38" s="377">
        <f t="shared" si="2"/>
        <v>2.7589999999999999</v>
      </c>
      <c r="BA38" s="377">
        <f t="shared" si="2"/>
        <v>2.7759999999999998</v>
      </c>
      <c r="BB38" s="377">
        <f t="shared" si="2"/>
        <v>2.7919999999999998</v>
      </c>
      <c r="BC38" s="79"/>
      <c r="BD38" s="84">
        <f>AVERAGE(AU38:BB38)</f>
        <v>2.7365000000000004</v>
      </c>
    </row>
    <row r="39" spans="45:56" x14ac:dyDescent="0.25">
      <c r="AS39" s="77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83"/>
    </row>
    <row r="40" spans="45:56" x14ac:dyDescent="0.25">
      <c r="AS40" s="77"/>
      <c r="AT40" s="79"/>
      <c r="AU40" s="79"/>
      <c r="AV40" s="79"/>
      <c r="AW40" s="79"/>
      <c r="AX40" s="79"/>
      <c r="AY40" s="79"/>
      <c r="AZ40" s="79"/>
      <c r="BA40" s="79"/>
      <c r="BB40" s="79"/>
      <c r="BC40" s="85" t="s">
        <v>20</v>
      </c>
      <c r="BD40" s="376">
        <f>(BD38-BD34)/BD34</f>
        <v>4.2774125940745131E-2</v>
      </c>
    </row>
    <row r="41" spans="45:56" x14ac:dyDescent="0.25">
      <c r="AS41" s="87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9"/>
    </row>
  </sheetData>
  <mergeCells count="3">
    <mergeCell ref="A1:B1"/>
    <mergeCell ref="A2:B2"/>
    <mergeCell ref="A3:B3"/>
  </mergeCells>
  <pageMargins left="0.25" right="0.2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zoomScale="80" zoomScaleNormal="80" workbookViewId="0">
      <selection activeCell="G34" sqref="G34"/>
    </sheetView>
  </sheetViews>
  <sheetFormatPr defaultRowHeight="14.4" x14ac:dyDescent="0.3"/>
  <cols>
    <col min="1" max="2" width="20.44140625" customWidth="1"/>
    <col min="3" max="3" width="22.88671875" customWidth="1"/>
    <col min="4" max="5" width="11.33203125" bestFit="1" customWidth="1"/>
    <col min="6" max="6" width="20.6640625" customWidth="1"/>
    <col min="7" max="7" width="12.109375" customWidth="1"/>
    <col min="8" max="8" width="15.6640625" customWidth="1"/>
    <col min="9" max="9" width="13.33203125" bestFit="1" customWidth="1"/>
    <col min="10" max="10" width="11.33203125" style="214" customWidth="1"/>
    <col min="11" max="11" width="25.33203125" customWidth="1"/>
    <col min="13" max="14" width="13.109375" customWidth="1"/>
  </cols>
  <sheetData>
    <row r="1" spans="1:17" ht="15" thickBot="1" x14ac:dyDescent="0.35">
      <c r="A1" s="510" t="s">
        <v>170</v>
      </c>
      <c r="B1" s="510"/>
      <c r="C1" s="510"/>
      <c r="F1" s="510" t="s">
        <v>169</v>
      </c>
      <c r="G1" s="510"/>
      <c r="H1" s="510"/>
      <c r="K1" s="398" t="s">
        <v>254</v>
      </c>
      <c r="L1" s="398"/>
      <c r="M1" s="398"/>
      <c r="N1" s="398"/>
    </row>
    <row r="2" spans="1:17" x14ac:dyDescent="0.3">
      <c r="A2" s="2"/>
      <c r="B2" s="2" t="s">
        <v>1</v>
      </c>
      <c r="C2" s="2" t="s">
        <v>172</v>
      </c>
      <c r="D2" s="214"/>
      <c r="F2" s="2"/>
      <c r="G2" s="2" t="s">
        <v>1</v>
      </c>
      <c r="H2" s="2" t="s">
        <v>172</v>
      </c>
      <c r="L2" t="s">
        <v>173</v>
      </c>
      <c r="M2" t="s">
        <v>174</v>
      </c>
      <c r="N2" t="s">
        <v>162</v>
      </c>
    </row>
    <row r="3" spans="1:17" x14ac:dyDescent="0.3">
      <c r="A3" s="179" t="s">
        <v>171</v>
      </c>
      <c r="B3" s="179"/>
      <c r="C3" s="180"/>
      <c r="F3" s="179" t="s">
        <v>171</v>
      </c>
      <c r="G3" s="183">
        <v>0.13</v>
      </c>
      <c r="H3" s="181">
        <v>9461</v>
      </c>
      <c r="I3" s="387"/>
      <c r="J3" s="387"/>
      <c r="K3" t="str">
        <f>A3</f>
        <v>Manager</v>
      </c>
      <c r="L3">
        <f>G3</f>
        <v>0.13</v>
      </c>
      <c r="M3" s="399">
        <f>H3</f>
        <v>9461</v>
      </c>
      <c r="N3" s="90">
        <f>M3/L3</f>
        <v>72776.923076923078</v>
      </c>
    </row>
    <row r="4" spans="1:17" x14ac:dyDescent="0.3">
      <c r="A4" s="104" t="s">
        <v>137</v>
      </c>
      <c r="B4" s="104">
        <v>2.7</v>
      </c>
      <c r="C4" s="91">
        <v>85163</v>
      </c>
      <c r="D4" s="387"/>
      <c r="F4" s="104" t="s">
        <v>137</v>
      </c>
      <c r="G4" s="104">
        <v>0.75</v>
      </c>
      <c r="H4" s="91">
        <v>25953</v>
      </c>
      <c r="I4" s="387"/>
      <c r="J4" s="387"/>
      <c r="K4" t="s">
        <v>255</v>
      </c>
      <c r="L4">
        <f>G5+B5+G4+B4</f>
        <v>3.7</v>
      </c>
      <c r="M4" s="399">
        <f>H5+C5+C4+H4</f>
        <v>124079</v>
      </c>
      <c r="N4" s="90">
        <f t="shared" ref="N4:N5" si="0">M4/L4</f>
        <v>33534.864864864867</v>
      </c>
      <c r="P4" s="389"/>
    </row>
    <row r="5" spans="1:17" ht="15" thickBot="1" x14ac:dyDescent="0.35">
      <c r="A5" s="104" t="s">
        <v>179</v>
      </c>
      <c r="B5" s="104">
        <v>0.25</v>
      </c>
      <c r="C5" s="91">
        <v>12963</v>
      </c>
      <c r="D5" s="387"/>
      <c r="F5" s="104" t="str">
        <f>A5</f>
        <v>Specialized Staff</v>
      </c>
      <c r="G5" s="104"/>
      <c r="H5" s="91"/>
      <c r="I5" s="387"/>
      <c r="J5" s="387"/>
      <c r="K5" t="str">
        <f>A6</f>
        <v>Clerical</v>
      </c>
      <c r="L5" s="117">
        <f>G6+B6</f>
        <v>0.24</v>
      </c>
      <c r="M5" s="399">
        <f>H6+C6</f>
        <v>7909</v>
      </c>
      <c r="N5" s="90">
        <f t="shared" si="0"/>
        <v>32954.166666666672</v>
      </c>
    </row>
    <row r="6" spans="1:17" ht="15.6" thickTop="1" thickBot="1" x14ac:dyDescent="0.35">
      <c r="A6" s="104" t="s">
        <v>123</v>
      </c>
      <c r="B6" s="117">
        <v>0.16</v>
      </c>
      <c r="C6" s="114">
        <v>5400</v>
      </c>
      <c r="D6" s="387"/>
      <c r="E6" s="387"/>
      <c r="F6" s="104" t="s">
        <v>123</v>
      </c>
      <c r="G6" s="117">
        <v>0.08</v>
      </c>
      <c r="H6" s="114">
        <v>2509</v>
      </c>
      <c r="I6" s="387"/>
      <c r="J6" s="387"/>
      <c r="L6">
        <f>SUM(L3:L5)</f>
        <v>4.07</v>
      </c>
    </row>
    <row r="7" spans="1:17" ht="15" thickTop="1" x14ac:dyDescent="0.3">
      <c r="A7" s="104"/>
      <c r="B7" s="104">
        <f>SUM(B4:B6)</f>
        <v>3.1100000000000003</v>
      </c>
      <c r="C7" s="91">
        <f>SUM(C4:C6)</f>
        <v>103526</v>
      </c>
      <c r="F7" s="104"/>
      <c r="G7" s="104">
        <f>SUM(G3:G6)</f>
        <v>0.96</v>
      </c>
      <c r="H7" s="91">
        <f>SUM(H3:H6)</f>
        <v>37923</v>
      </c>
    </row>
    <row r="8" spans="1:17" x14ac:dyDescent="0.3">
      <c r="A8" s="104"/>
      <c r="B8" s="104"/>
      <c r="C8" s="91"/>
      <c r="F8" s="104"/>
      <c r="G8" s="104"/>
      <c r="H8" s="91"/>
      <c r="K8" t="s">
        <v>2</v>
      </c>
      <c r="M8" s="115">
        <f>N8/SUM(H7+C7)</f>
        <v>0.23010413647321651</v>
      </c>
      <c r="N8" s="184">
        <f>(H9+C9)</f>
        <v>32548</v>
      </c>
    </row>
    <row r="9" spans="1:17" ht="15" thickBot="1" x14ac:dyDescent="0.35">
      <c r="A9" s="104" t="s">
        <v>2</v>
      </c>
      <c r="B9" s="182">
        <f>C9/C7</f>
        <v>0.18680331510924791</v>
      </c>
      <c r="C9" s="114">
        <f>19339</f>
        <v>19339</v>
      </c>
      <c r="F9" s="104" t="s">
        <v>2</v>
      </c>
      <c r="G9" s="182">
        <f>H9/H7</f>
        <v>0.34831105134087492</v>
      </c>
      <c r="H9" s="114">
        <f>3800+9409</f>
        <v>13209</v>
      </c>
      <c r="P9" s="389"/>
      <c r="Q9" s="386"/>
    </row>
    <row r="10" spans="1:17" ht="15" thickTop="1" x14ac:dyDescent="0.3">
      <c r="A10" s="104"/>
      <c r="B10" s="104"/>
      <c r="C10" s="91">
        <f>C9+C7</f>
        <v>122865</v>
      </c>
      <c r="F10" s="104"/>
      <c r="G10" s="104"/>
      <c r="H10" s="91">
        <f>H9+H7</f>
        <v>51132</v>
      </c>
      <c r="M10" t="s">
        <v>175</v>
      </c>
    </row>
    <row r="11" spans="1:17" x14ac:dyDescent="0.3">
      <c r="A11" s="104"/>
      <c r="B11" s="2" t="s">
        <v>162</v>
      </c>
      <c r="C11" s="91"/>
      <c r="F11" s="104"/>
      <c r="G11" s="2" t="s">
        <v>162</v>
      </c>
      <c r="H11" s="91"/>
      <c r="K11" s="214" t="str">
        <f>F12</f>
        <v>Occupancy</v>
      </c>
      <c r="L11" s="214"/>
      <c r="M11" s="90">
        <f>G12/G7</f>
        <v>4009.3315972222226</v>
      </c>
    </row>
    <row r="12" spans="1:17" x14ac:dyDescent="0.3">
      <c r="A12" s="104" t="s">
        <v>138</v>
      </c>
      <c r="B12" s="91">
        <f>C12/$B$4</f>
        <v>1518.5185185185185</v>
      </c>
      <c r="C12" s="474">
        <v>4100</v>
      </c>
      <c r="D12" s="387"/>
      <c r="F12" s="104" t="s">
        <v>4</v>
      </c>
      <c r="G12" s="91">
        <f>H12/$G$7</f>
        <v>3848.9583333333335</v>
      </c>
      <c r="H12" s="474">
        <v>3695</v>
      </c>
      <c r="I12" s="387"/>
      <c r="K12" s="104" t="s">
        <v>138</v>
      </c>
      <c r="M12" s="90">
        <f>C12/B7</f>
        <v>1318.3279742765271</v>
      </c>
    </row>
    <row r="13" spans="1:17" x14ac:dyDescent="0.3">
      <c r="A13" s="104" t="s">
        <v>125</v>
      </c>
      <c r="B13" s="91">
        <f t="shared" ref="B13:B14" si="1">C13/$B$4</f>
        <v>3148.1481481481478</v>
      </c>
      <c r="C13" s="475">
        <v>8500</v>
      </c>
      <c r="D13" s="387"/>
      <c r="F13" s="104" t="s">
        <v>125</v>
      </c>
      <c r="G13" s="91">
        <f t="shared" ref="G13:G14" si="2">H13/$G$7</f>
        <v>9895.8333333333339</v>
      </c>
      <c r="H13" s="475">
        <v>9500</v>
      </c>
      <c r="I13" s="387"/>
      <c r="K13" s="104" t="s">
        <v>125</v>
      </c>
      <c r="M13" s="90">
        <f t="shared" ref="M13:M14" si="3">(C13+H13)/$L$6</f>
        <v>4422.6044226044223</v>
      </c>
    </row>
    <row r="14" spans="1:17" x14ac:dyDescent="0.3">
      <c r="A14" s="104" t="s">
        <v>126</v>
      </c>
      <c r="B14" s="91">
        <f t="shared" si="1"/>
        <v>296.2962962962963</v>
      </c>
      <c r="C14" s="476">
        <v>800</v>
      </c>
      <c r="D14" s="387"/>
      <c r="E14" s="214" t="s">
        <v>266</v>
      </c>
      <c r="F14" s="104" t="s">
        <v>126</v>
      </c>
      <c r="G14" s="91">
        <f t="shared" si="2"/>
        <v>468.75</v>
      </c>
      <c r="H14" s="476">
        <v>450</v>
      </c>
      <c r="I14" s="387"/>
      <c r="J14" s="214" t="s">
        <v>266</v>
      </c>
      <c r="K14" s="104" t="s">
        <v>126</v>
      </c>
      <c r="M14" s="90">
        <f t="shared" si="3"/>
        <v>307.12530712530713</v>
      </c>
    </row>
    <row r="15" spans="1:17" ht="15" thickBot="1" x14ac:dyDescent="0.35">
      <c r="A15" s="104"/>
      <c r="B15" s="91"/>
      <c r="C15" s="114"/>
      <c r="D15" s="477">
        <f>SUM(C12:C14)</f>
        <v>13400</v>
      </c>
      <c r="E15">
        <f>D15/17</f>
        <v>788.23529411764707</v>
      </c>
      <c r="F15" s="104"/>
      <c r="G15" s="91"/>
      <c r="H15" s="114"/>
      <c r="I15" s="478">
        <f>SUM(H12:H14)</f>
        <v>13645</v>
      </c>
      <c r="J15" s="214">
        <f>I15/10</f>
        <v>1364.5</v>
      </c>
      <c r="K15" s="104"/>
      <c r="M15" s="90"/>
    </row>
    <row r="16" spans="1:17" ht="15" thickTop="1" x14ac:dyDescent="0.3">
      <c r="A16" s="104"/>
      <c r="B16" s="104"/>
      <c r="C16" s="91">
        <f>C10+SUM(C12:C14)</f>
        <v>136265</v>
      </c>
      <c r="F16" s="104"/>
      <c r="G16" s="104"/>
      <c r="H16" s="91">
        <f>H10+SUM(H12:H14)</f>
        <v>64777</v>
      </c>
    </row>
    <row r="17" spans="1:14" x14ac:dyDescent="0.3">
      <c r="A17" s="104"/>
      <c r="B17" s="104"/>
      <c r="C17" s="91"/>
      <c r="F17" s="104"/>
      <c r="G17" s="104"/>
      <c r="H17" s="91"/>
      <c r="N17" s="184">
        <f>SUM(H18+C18)</f>
        <v>62725.124100000001</v>
      </c>
    </row>
    <row r="18" spans="1:14" ht="15" thickBot="1" x14ac:dyDescent="0.35">
      <c r="A18" s="104" t="s">
        <v>5</v>
      </c>
      <c r="B18" s="182">
        <v>0.38150000000000001</v>
      </c>
      <c r="C18" s="114">
        <f>C16*B18</f>
        <v>51985.097500000003</v>
      </c>
      <c r="F18" s="104" t="s">
        <v>5</v>
      </c>
      <c r="G18" s="182">
        <v>0.1658</v>
      </c>
      <c r="H18" s="114">
        <f>H16*G18</f>
        <v>10740.026600000001</v>
      </c>
      <c r="I18" s="388"/>
      <c r="K18" t="s">
        <v>5</v>
      </c>
      <c r="M18" s="115">
        <f>N17/SUM(H16+C16)</f>
        <v>0.31200009997910882</v>
      </c>
    </row>
    <row r="19" spans="1:14" ht="15" thickTop="1" x14ac:dyDescent="0.3">
      <c r="A19" s="104"/>
      <c r="B19" s="104"/>
      <c r="C19" s="200">
        <f>C16+C18</f>
        <v>188250.0975</v>
      </c>
      <c r="F19" s="104"/>
      <c r="G19" s="104"/>
      <c r="H19" s="200">
        <f>H16+H18</f>
        <v>75517.026599999997</v>
      </c>
    </row>
    <row r="24" spans="1:14" x14ac:dyDescent="0.3">
      <c r="A24" t="s">
        <v>30</v>
      </c>
      <c r="B24" t="s">
        <v>259</v>
      </c>
      <c r="C24" t="s">
        <v>265</v>
      </c>
      <c r="F24" t="s">
        <v>262</v>
      </c>
      <c r="G24" s="214" t="s">
        <v>260</v>
      </c>
    </row>
    <row r="25" spans="1:14" x14ac:dyDescent="0.3">
      <c r="C25" t="s">
        <v>264</v>
      </c>
      <c r="G25" s="214" t="s">
        <v>261</v>
      </c>
    </row>
    <row r="26" spans="1:14" x14ac:dyDescent="0.3">
      <c r="C26" t="s">
        <v>263</v>
      </c>
    </row>
    <row r="27" spans="1:14" x14ac:dyDescent="0.3">
      <c r="E27" s="354"/>
    </row>
  </sheetData>
  <mergeCells count="2">
    <mergeCell ref="A1:C1"/>
    <mergeCell ref="F1:H1"/>
  </mergeCells>
  <pageMargins left="0.7" right="0.7" top="0.75" bottom="0.75" header="0.3" footer="0.3"/>
  <pageSetup scale="59" orientation="landscape" r:id="rId1"/>
  <ignoredErrors>
    <ignoredError sqref="L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0"/>
  <sheetViews>
    <sheetView topLeftCell="BB1" workbookViewId="0">
      <selection activeCell="BC31" sqref="BC31"/>
    </sheetView>
  </sheetViews>
  <sheetFormatPr defaultRowHeight="13.2" x14ac:dyDescent="0.25"/>
  <cols>
    <col min="1" max="1" width="38.44140625" style="491" customWidth="1"/>
    <col min="2" max="2" width="12.88671875" style="492" customWidth="1"/>
    <col min="3" max="74" width="10.33203125" style="491" customWidth="1"/>
    <col min="75" max="256" width="8.88671875" style="491"/>
    <col min="257" max="257" width="38.44140625" style="491" customWidth="1"/>
    <col min="258" max="258" width="12.88671875" style="491" customWidth="1"/>
    <col min="259" max="330" width="10.33203125" style="491" customWidth="1"/>
    <col min="331" max="512" width="8.88671875" style="491"/>
    <col min="513" max="513" width="38.44140625" style="491" customWidth="1"/>
    <col min="514" max="514" width="12.88671875" style="491" customWidth="1"/>
    <col min="515" max="586" width="10.33203125" style="491" customWidth="1"/>
    <col min="587" max="768" width="8.88671875" style="491"/>
    <col min="769" max="769" width="38.44140625" style="491" customWidth="1"/>
    <col min="770" max="770" width="12.88671875" style="491" customWidth="1"/>
    <col min="771" max="842" width="10.33203125" style="491" customWidth="1"/>
    <col min="843" max="1024" width="8.88671875" style="491"/>
    <col min="1025" max="1025" width="38.44140625" style="491" customWidth="1"/>
    <col min="1026" max="1026" width="12.88671875" style="491" customWidth="1"/>
    <col min="1027" max="1098" width="10.33203125" style="491" customWidth="1"/>
    <col min="1099" max="1280" width="8.88671875" style="491"/>
    <col min="1281" max="1281" width="38.44140625" style="491" customWidth="1"/>
    <col min="1282" max="1282" width="12.88671875" style="491" customWidth="1"/>
    <col min="1283" max="1354" width="10.33203125" style="491" customWidth="1"/>
    <col min="1355" max="1536" width="8.88671875" style="491"/>
    <col min="1537" max="1537" width="38.44140625" style="491" customWidth="1"/>
    <col min="1538" max="1538" width="12.88671875" style="491" customWidth="1"/>
    <col min="1539" max="1610" width="10.33203125" style="491" customWidth="1"/>
    <col min="1611" max="1792" width="8.88671875" style="491"/>
    <col min="1793" max="1793" width="38.44140625" style="491" customWidth="1"/>
    <col min="1794" max="1794" width="12.88671875" style="491" customWidth="1"/>
    <col min="1795" max="1866" width="10.33203125" style="491" customWidth="1"/>
    <col min="1867" max="2048" width="8.88671875" style="491"/>
    <col min="2049" max="2049" width="38.44140625" style="491" customWidth="1"/>
    <col min="2050" max="2050" width="12.88671875" style="491" customWidth="1"/>
    <col min="2051" max="2122" width="10.33203125" style="491" customWidth="1"/>
    <col min="2123" max="2304" width="8.88671875" style="491"/>
    <col min="2305" max="2305" width="38.44140625" style="491" customWidth="1"/>
    <col min="2306" max="2306" width="12.88671875" style="491" customWidth="1"/>
    <col min="2307" max="2378" width="10.33203125" style="491" customWidth="1"/>
    <col min="2379" max="2560" width="8.88671875" style="491"/>
    <col min="2561" max="2561" width="38.44140625" style="491" customWidth="1"/>
    <col min="2562" max="2562" width="12.88671875" style="491" customWidth="1"/>
    <col min="2563" max="2634" width="10.33203125" style="491" customWidth="1"/>
    <col min="2635" max="2816" width="8.88671875" style="491"/>
    <col min="2817" max="2817" width="38.44140625" style="491" customWidth="1"/>
    <col min="2818" max="2818" width="12.88671875" style="491" customWidth="1"/>
    <col min="2819" max="2890" width="10.33203125" style="491" customWidth="1"/>
    <col min="2891" max="3072" width="8.88671875" style="491"/>
    <col min="3073" max="3073" width="38.44140625" style="491" customWidth="1"/>
    <col min="3074" max="3074" width="12.88671875" style="491" customWidth="1"/>
    <col min="3075" max="3146" width="10.33203125" style="491" customWidth="1"/>
    <col min="3147" max="3328" width="8.88671875" style="491"/>
    <col min="3329" max="3329" width="38.44140625" style="491" customWidth="1"/>
    <col min="3330" max="3330" width="12.88671875" style="491" customWidth="1"/>
    <col min="3331" max="3402" width="10.33203125" style="491" customWidth="1"/>
    <col min="3403" max="3584" width="8.88671875" style="491"/>
    <col min="3585" max="3585" width="38.44140625" style="491" customWidth="1"/>
    <col min="3586" max="3586" width="12.88671875" style="491" customWidth="1"/>
    <col min="3587" max="3658" width="10.33203125" style="491" customWidth="1"/>
    <col min="3659" max="3840" width="8.88671875" style="491"/>
    <col min="3841" max="3841" width="38.44140625" style="491" customWidth="1"/>
    <col min="3842" max="3842" width="12.88671875" style="491" customWidth="1"/>
    <col min="3843" max="3914" width="10.33203125" style="491" customWidth="1"/>
    <col min="3915" max="4096" width="8.88671875" style="491"/>
    <col min="4097" max="4097" width="38.44140625" style="491" customWidth="1"/>
    <col min="4098" max="4098" width="12.88671875" style="491" customWidth="1"/>
    <col min="4099" max="4170" width="10.33203125" style="491" customWidth="1"/>
    <col min="4171" max="4352" width="8.88671875" style="491"/>
    <col min="4353" max="4353" width="38.44140625" style="491" customWidth="1"/>
    <col min="4354" max="4354" width="12.88671875" style="491" customWidth="1"/>
    <col min="4355" max="4426" width="10.33203125" style="491" customWidth="1"/>
    <col min="4427" max="4608" width="8.88671875" style="491"/>
    <col min="4609" max="4609" width="38.44140625" style="491" customWidth="1"/>
    <col min="4610" max="4610" width="12.88671875" style="491" customWidth="1"/>
    <col min="4611" max="4682" width="10.33203125" style="491" customWidth="1"/>
    <col min="4683" max="4864" width="8.88671875" style="491"/>
    <col min="4865" max="4865" width="38.44140625" style="491" customWidth="1"/>
    <col min="4866" max="4866" width="12.88671875" style="491" customWidth="1"/>
    <col min="4867" max="4938" width="10.33203125" style="491" customWidth="1"/>
    <col min="4939" max="5120" width="8.88671875" style="491"/>
    <col min="5121" max="5121" width="38.44140625" style="491" customWidth="1"/>
    <col min="5122" max="5122" width="12.88671875" style="491" customWidth="1"/>
    <col min="5123" max="5194" width="10.33203125" style="491" customWidth="1"/>
    <col min="5195" max="5376" width="8.88671875" style="491"/>
    <col min="5377" max="5377" width="38.44140625" style="491" customWidth="1"/>
    <col min="5378" max="5378" width="12.88671875" style="491" customWidth="1"/>
    <col min="5379" max="5450" width="10.33203125" style="491" customWidth="1"/>
    <col min="5451" max="5632" width="8.88671875" style="491"/>
    <col min="5633" max="5633" width="38.44140625" style="491" customWidth="1"/>
    <col min="5634" max="5634" width="12.88671875" style="491" customWidth="1"/>
    <col min="5635" max="5706" width="10.33203125" style="491" customWidth="1"/>
    <col min="5707" max="5888" width="8.88671875" style="491"/>
    <col min="5889" max="5889" width="38.44140625" style="491" customWidth="1"/>
    <col min="5890" max="5890" width="12.88671875" style="491" customWidth="1"/>
    <col min="5891" max="5962" width="10.33203125" style="491" customWidth="1"/>
    <col min="5963" max="6144" width="8.88671875" style="491"/>
    <col min="6145" max="6145" width="38.44140625" style="491" customWidth="1"/>
    <col min="6146" max="6146" width="12.88671875" style="491" customWidth="1"/>
    <col min="6147" max="6218" width="10.33203125" style="491" customWidth="1"/>
    <col min="6219" max="6400" width="8.88671875" style="491"/>
    <col min="6401" max="6401" width="38.44140625" style="491" customWidth="1"/>
    <col min="6402" max="6402" width="12.88671875" style="491" customWidth="1"/>
    <col min="6403" max="6474" width="10.33203125" style="491" customWidth="1"/>
    <col min="6475" max="6656" width="8.88671875" style="491"/>
    <col min="6657" max="6657" width="38.44140625" style="491" customWidth="1"/>
    <col min="6658" max="6658" width="12.88671875" style="491" customWidth="1"/>
    <col min="6659" max="6730" width="10.33203125" style="491" customWidth="1"/>
    <col min="6731" max="6912" width="8.88671875" style="491"/>
    <col min="6913" max="6913" width="38.44140625" style="491" customWidth="1"/>
    <col min="6914" max="6914" width="12.88671875" style="491" customWidth="1"/>
    <col min="6915" max="6986" width="10.33203125" style="491" customWidth="1"/>
    <col min="6987" max="7168" width="8.88671875" style="491"/>
    <col min="7169" max="7169" width="38.44140625" style="491" customWidth="1"/>
    <col min="7170" max="7170" width="12.88671875" style="491" customWidth="1"/>
    <col min="7171" max="7242" width="10.33203125" style="491" customWidth="1"/>
    <col min="7243" max="7424" width="8.88671875" style="491"/>
    <col min="7425" max="7425" width="38.44140625" style="491" customWidth="1"/>
    <col min="7426" max="7426" width="12.88671875" style="491" customWidth="1"/>
    <col min="7427" max="7498" width="10.33203125" style="491" customWidth="1"/>
    <col min="7499" max="7680" width="8.88671875" style="491"/>
    <col min="7681" max="7681" width="38.44140625" style="491" customWidth="1"/>
    <col min="7682" max="7682" width="12.88671875" style="491" customWidth="1"/>
    <col min="7683" max="7754" width="10.33203125" style="491" customWidth="1"/>
    <col min="7755" max="7936" width="8.88671875" style="491"/>
    <col min="7937" max="7937" width="38.44140625" style="491" customWidth="1"/>
    <col min="7938" max="7938" width="12.88671875" style="491" customWidth="1"/>
    <col min="7939" max="8010" width="10.33203125" style="491" customWidth="1"/>
    <col min="8011" max="8192" width="8.88671875" style="491"/>
    <col min="8193" max="8193" width="38.44140625" style="491" customWidth="1"/>
    <col min="8194" max="8194" width="12.88671875" style="491" customWidth="1"/>
    <col min="8195" max="8266" width="10.33203125" style="491" customWidth="1"/>
    <col min="8267" max="8448" width="8.88671875" style="491"/>
    <col min="8449" max="8449" width="38.44140625" style="491" customWidth="1"/>
    <col min="8450" max="8450" width="12.88671875" style="491" customWidth="1"/>
    <col min="8451" max="8522" width="10.33203125" style="491" customWidth="1"/>
    <col min="8523" max="8704" width="8.88671875" style="491"/>
    <col min="8705" max="8705" width="38.44140625" style="491" customWidth="1"/>
    <col min="8706" max="8706" width="12.88671875" style="491" customWidth="1"/>
    <col min="8707" max="8778" width="10.33203125" style="491" customWidth="1"/>
    <col min="8779" max="8960" width="8.88671875" style="491"/>
    <col min="8961" max="8961" width="38.44140625" style="491" customWidth="1"/>
    <col min="8962" max="8962" width="12.88671875" style="491" customWidth="1"/>
    <col min="8963" max="9034" width="10.33203125" style="491" customWidth="1"/>
    <col min="9035" max="9216" width="8.88671875" style="491"/>
    <col min="9217" max="9217" width="38.44140625" style="491" customWidth="1"/>
    <col min="9218" max="9218" width="12.88671875" style="491" customWidth="1"/>
    <col min="9219" max="9290" width="10.33203125" style="491" customWidth="1"/>
    <col min="9291" max="9472" width="8.88671875" style="491"/>
    <col min="9473" max="9473" width="38.44140625" style="491" customWidth="1"/>
    <col min="9474" max="9474" width="12.88671875" style="491" customWidth="1"/>
    <col min="9475" max="9546" width="10.33203125" style="491" customWidth="1"/>
    <col min="9547" max="9728" width="8.88671875" style="491"/>
    <col min="9729" max="9729" width="38.44140625" style="491" customWidth="1"/>
    <col min="9730" max="9730" width="12.88671875" style="491" customWidth="1"/>
    <col min="9731" max="9802" width="10.33203125" style="491" customWidth="1"/>
    <col min="9803" max="9984" width="8.88671875" style="491"/>
    <col min="9985" max="9985" width="38.44140625" style="491" customWidth="1"/>
    <col min="9986" max="9986" width="12.88671875" style="491" customWidth="1"/>
    <col min="9987" max="10058" width="10.33203125" style="491" customWidth="1"/>
    <col min="10059" max="10240" width="8.88671875" style="491"/>
    <col min="10241" max="10241" width="38.44140625" style="491" customWidth="1"/>
    <col min="10242" max="10242" width="12.88671875" style="491" customWidth="1"/>
    <col min="10243" max="10314" width="10.33203125" style="491" customWidth="1"/>
    <col min="10315" max="10496" width="8.88671875" style="491"/>
    <col min="10497" max="10497" width="38.44140625" style="491" customWidth="1"/>
    <col min="10498" max="10498" width="12.88671875" style="491" customWidth="1"/>
    <col min="10499" max="10570" width="10.33203125" style="491" customWidth="1"/>
    <col min="10571" max="10752" width="8.88671875" style="491"/>
    <col min="10753" max="10753" width="38.44140625" style="491" customWidth="1"/>
    <col min="10754" max="10754" width="12.88671875" style="491" customWidth="1"/>
    <col min="10755" max="10826" width="10.33203125" style="491" customWidth="1"/>
    <col min="10827" max="11008" width="8.88671875" style="491"/>
    <col min="11009" max="11009" width="38.44140625" style="491" customWidth="1"/>
    <col min="11010" max="11010" width="12.88671875" style="491" customWidth="1"/>
    <col min="11011" max="11082" width="10.33203125" style="491" customWidth="1"/>
    <col min="11083" max="11264" width="8.88671875" style="491"/>
    <col min="11265" max="11265" width="38.44140625" style="491" customWidth="1"/>
    <col min="11266" max="11266" width="12.88671875" style="491" customWidth="1"/>
    <col min="11267" max="11338" width="10.33203125" style="491" customWidth="1"/>
    <col min="11339" max="11520" width="8.88671875" style="491"/>
    <col min="11521" max="11521" width="38.44140625" style="491" customWidth="1"/>
    <col min="11522" max="11522" width="12.88671875" style="491" customWidth="1"/>
    <col min="11523" max="11594" width="10.33203125" style="491" customWidth="1"/>
    <col min="11595" max="11776" width="8.88671875" style="491"/>
    <col min="11777" max="11777" width="38.44140625" style="491" customWidth="1"/>
    <col min="11778" max="11778" width="12.88671875" style="491" customWidth="1"/>
    <col min="11779" max="11850" width="10.33203125" style="491" customWidth="1"/>
    <col min="11851" max="12032" width="8.88671875" style="491"/>
    <col min="12033" max="12033" width="38.44140625" style="491" customWidth="1"/>
    <col min="12034" max="12034" width="12.88671875" style="491" customWidth="1"/>
    <col min="12035" max="12106" width="10.33203125" style="491" customWidth="1"/>
    <col min="12107" max="12288" width="8.88671875" style="491"/>
    <col min="12289" max="12289" width="38.44140625" style="491" customWidth="1"/>
    <col min="12290" max="12290" width="12.88671875" style="491" customWidth="1"/>
    <col min="12291" max="12362" width="10.33203125" style="491" customWidth="1"/>
    <col min="12363" max="12544" width="8.88671875" style="491"/>
    <col min="12545" max="12545" width="38.44140625" style="491" customWidth="1"/>
    <col min="12546" max="12546" width="12.88671875" style="491" customWidth="1"/>
    <col min="12547" max="12618" width="10.33203125" style="491" customWidth="1"/>
    <col min="12619" max="12800" width="8.88671875" style="491"/>
    <col min="12801" max="12801" width="38.44140625" style="491" customWidth="1"/>
    <col min="12802" max="12802" width="12.88671875" style="491" customWidth="1"/>
    <col min="12803" max="12874" width="10.33203125" style="491" customWidth="1"/>
    <col min="12875" max="13056" width="8.88671875" style="491"/>
    <col min="13057" max="13057" width="38.44140625" style="491" customWidth="1"/>
    <col min="13058" max="13058" width="12.88671875" style="491" customWidth="1"/>
    <col min="13059" max="13130" width="10.33203125" style="491" customWidth="1"/>
    <col min="13131" max="13312" width="8.88671875" style="491"/>
    <col min="13313" max="13313" width="38.44140625" style="491" customWidth="1"/>
    <col min="13314" max="13314" width="12.88671875" style="491" customWidth="1"/>
    <col min="13315" max="13386" width="10.33203125" style="491" customWidth="1"/>
    <col min="13387" max="13568" width="8.88671875" style="491"/>
    <col min="13569" max="13569" width="38.44140625" style="491" customWidth="1"/>
    <col min="13570" max="13570" width="12.88671875" style="491" customWidth="1"/>
    <col min="13571" max="13642" width="10.33203125" style="491" customWidth="1"/>
    <col min="13643" max="13824" width="8.88671875" style="491"/>
    <col min="13825" max="13825" width="38.44140625" style="491" customWidth="1"/>
    <col min="13826" max="13826" width="12.88671875" style="491" customWidth="1"/>
    <col min="13827" max="13898" width="10.33203125" style="491" customWidth="1"/>
    <col min="13899" max="14080" width="8.88671875" style="491"/>
    <col min="14081" max="14081" width="38.44140625" style="491" customWidth="1"/>
    <col min="14082" max="14082" width="12.88671875" style="491" customWidth="1"/>
    <col min="14083" max="14154" width="10.33203125" style="491" customWidth="1"/>
    <col min="14155" max="14336" width="8.88671875" style="491"/>
    <col min="14337" max="14337" width="38.44140625" style="491" customWidth="1"/>
    <col min="14338" max="14338" width="12.88671875" style="491" customWidth="1"/>
    <col min="14339" max="14410" width="10.33203125" style="491" customWidth="1"/>
    <col min="14411" max="14592" width="8.88671875" style="491"/>
    <col min="14593" max="14593" width="38.44140625" style="491" customWidth="1"/>
    <col min="14594" max="14594" width="12.88671875" style="491" customWidth="1"/>
    <col min="14595" max="14666" width="10.33203125" style="491" customWidth="1"/>
    <col min="14667" max="14848" width="8.88671875" style="491"/>
    <col min="14849" max="14849" width="38.44140625" style="491" customWidth="1"/>
    <col min="14850" max="14850" width="12.88671875" style="491" customWidth="1"/>
    <col min="14851" max="14922" width="10.33203125" style="491" customWidth="1"/>
    <col min="14923" max="15104" width="8.88671875" style="491"/>
    <col min="15105" max="15105" width="38.44140625" style="491" customWidth="1"/>
    <col min="15106" max="15106" width="12.88671875" style="491" customWidth="1"/>
    <col min="15107" max="15178" width="10.33203125" style="491" customWidth="1"/>
    <col min="15179" max="15360" width="8.88671875" style="491"/>
    <col min="15361" max="15361" width="38.44140625" style="491" customWidth="1"/>
    <col min="15362" max="15362" width="12.88671875" style="491" customWidth="1"/>
    <col min="15363" max="15434" width="10.33203125" style="491" customWidth="1"/>
    <col min="15435" max="15616" width="8.88671875" style="491"/>
    <col min="15617" max="15617" width="38.44140625" style="491" customWidth="1"/>
    <col min="15618" max="15618" width="12.88671875" style="491" customWidth="1"/>
    <col min="15619" max="15690" width="10.33203125" style="491" customWidth="1"/>
    <col min="15691" max="15872" width="8.88671875" style="491"/>
    <col min="15873" max="15873" width="38.44140625" style="491" customWidth="1"/>
    <col min="15874" max="15874" width="12.88671875" style="491" customWidth="1"/>
    <col min="15875" max="15946" width="10.33203125" style="491" customWidth="1"/>
    <col min="15947" max="16128" width="8.88671875" style="491"/>
    <col min="16129" max="16129" width="38.44140625" style="491" customWidth="1"/>
    <col min="16130" max="16130" width="12.88671875" style="491" customWidth="1"/>
    <col min="16131" max="16202" width="10.33203125" style="491" customWidth="1"/>
    <col min="16203" max="16384" width="8.88671875" style="491"/>
  </cols>
  <sheetData>
    <row r="1" spans="1:75" ht="17.399999999999999" x14ac:dyDescent="0.3">
      <c r="A1" s="552" t="s">
        <v>22</v>
      </c>
      <c r="B1" s="553"/>
    </row>
    <row r="2" spans="1:75" ht="15.6" x14ac:dyDescent="0.3">
      <c r="A2" s="554" t="s">
        <v>271</v>
      </c>
      <c r="B2" s="555"/>
    </row>
    <row r="3" spans="1:75" ht="14.4" thickBot="1" x14ac:dyDescent="0.3">
      <c r="A3" s="556" t="s">
        <v>24</v>
      </c>
      <c r="B3" s="557"/>
    </row>
    <row r="6" spans="1:75" x14ac:dyDescent="0.25">
      <c r="AW6" s="367" t="s">
        <v>29</v>
      </c>
      <c r="AX6" s="368" t="s">
        <v>29</v>
      </c>
      <c r="AY6" s="368" t="s">
        <v>29</v>
      </c>
      <c r="AZ6" s="368" t="s">
        <v>29</v>
      </c>
      <c r="BA6" s="369" t="s">
        <v>30</v>
      </c>
      <c r="BB6" s="369" t="s">
        <v>30</v>
      </c>
      <c r="BC6" s="369" t="s">
        <v>30</v>
      </c>
      <c r="BD6" s="369" t="s">
        <v>30</v>
      </c>
      <c r="BE6" s="370" t="s">
        <v>31</v>
      </c>
      <c r="BF6" s="370" t="s">
        <v>31</v>
      </c>
      <c r="BG6" s="370" t="s">
        <v>31</v>
      </c>
      <c r="BH6" s="370" t="s">
        <v>31</v>
      </c>
      <c r="BI6" s="371" t="s">
        <v>32</v>
      </c>
      <c r="BJ6" s="371" t="s">
        <v>32</v>
      </c>
      <c r="BK6" s="371" t="s">
        <v>32</v>
      </c>
      <c r="BL6" s="371" t="s">
        <v>32</v>
      </c>
      <c r="BM6" s="493" t="s">
        <v>272</v>
      </c>
      <c r="BN6" s="493" t="s">
        <v>272</v>
      </c>
      <c r="BO6" s="493" t="s">
        <v>272</v>
      </c>
      <c r="BP6" s="493" t="s">
        <v>272</v>
      </c>
      <c r="BQ6" s="494" t="s">
        <v>273</v>
      </c>
      <c r="BR6" s="494" t="s">
        <v>273</v>
      </c>
      <c r="BS6" s="494" t="s">
        <v>273</v>
      </c>
      <c r="BT6" s="494" t="s">
        <v>273</v>
      </c>
    </row>
    <row r="7" spans="1:75" s="492" customFormat="1" x14ac:dyDescent="0.25">
      <c r="B7" s="492" t="s">
        <v>33</v>
      </c>
      <c r="C7" s="495" t="s">
        <v>34</v>
      </c>
      <c r="D7" s="495" t="s">
        <v>35</v>
      </c>
      <c r="E7" s="495" t="s">
        <v>36</v>
      </c>
      <c r="F7" s="495" t="s">
        <v>37</v>
      </c>
      <c r="G7" s="495" t="s">
        <v>38</v>
      </c>
      <c r="H7" s="495" t="s">
        <v>39</v>
      </c>
      <c r="I7" s="495" t="s">
        <v>40</v>
      </c>
      <c r="J7" s="495" t="s">
        <v>41</v>
      </c>
      <c r="K7" s="495" t="s">
        <v>42</v>
      </c>
      <c r="L7" s="495" t="s">
        <v>43</v>
      </c>
      <c r="M7" s="495" t="s">
        <v>44</v>
      </c>
      <c r="N7" s="495" t="s">
        <v>45</v>
      </c>
      <c r="O7" s="495" t="s">
        <v>46</v>
      </c>
      <c r="P7" s="495" t="s">
        <v>47</v>
      </c>
      <c r="Q7" s="495" t="s">
        <v>48</v>
      </c>
      <c r="R7" s="495" t="s">
        <v>49</v>
      </c>
      <c r="S7" s="495" t="s">
        <v>50</v>
      </c>
      <c r="T7" s="495" t="s">
        <v>51</v>
      </c>
      <c r="U7" s="495" t="s">
        <v>52</v>
      </c>
      <c r="V7" s="495" t="s">
        <v>53</v>
      </c>
      <c r="W7" s="495" t="s">
        <v>54</v>
      </c>
      <c r="X7" s="495" t="s">
        <v>55</v>
      </c>
      <c r="Y7" s="495" t="s">
        <v>56</v>
      </c>
      <c r="Z7" s="495" t="s">
        <v>57</v>
      </c>
      <c r="AA7" s="495" t="s">
        <v>58</v>
      </c>
      <c r="AB7" s="495" t="s">
        <v>59</v>
      </c>
      <c r="AC7" s="495" t="s">
        <v>60</v>
      </c>
      <c r="AD7" s="495" t="s">
        <v>61</v>
      </c>
      <c r="AE7" s="495" t="s">
        <v>62</v>
      </c>
      <c r="AF7" s="495" t="s">
        <v>63</v>
      </c>
      <c r="AG7" s="495" t="s">
        <v>64</v>
      </c>
      <c r="AH7" s="495" t="s">
        <v>65</v>
      </c>
      <c r="AI7" s="495" t="s">
        <v>66</v>
      </c>
      <c r="AJ7" s="495" t="s">
        <v>67</v>
      </c>
      <c r="AK7" s="495" t="s">
        <v>68</v>
      </c>
      <c r="AL7" s="495" t="s">
        <v>69</v>
      </c>
      <c r="AM7" s="495" t="s">
        <v>70</v>
      </c>
      <c r="AN7" s="495" t="s">
        <v>71</v>
      </c>
      <c r="AO7" s="495" t="s">
        <v>72</v>
      </c>
      <c r="AP7" s="495" t="s">
        <v>73</v>
      </c>
      <c r="AQ7" s="495" t="s">
        <v>74</v>
      </c>
      <c r="AR7" s="495" t="s">
        <v>75</v>
      </c>
      <c r="AS7" s="495" t="s">
        <v>76</v>
      </c>
      <c r="AT7" s="495" t="s">
        <v>77</v>
      </c>
      <c r="AU7" s="492" t="s">
        <v>78</v>
      </c>
      <c r="AV7" s="492" t="s">
        <v>79</v>
      </c>
      <c r="AW7" s="492" t="s">
        <v>80</v>
      </c>
      <c r="AX7" s="492" t="s">
        <v>81</v>
      </c>
      <c r="AY7" s="492" t="s">
        <v>82</v>
      </c>
      <c r="AZ7" s="492" t="s">
        <v>83</v>
      </c>
      <c r="BA7" s="492" t="s">
        <v>84</v>
      </c>
      <c r="BB7" s="492" t="s">
        <v>85</v>
      </c>
      <c r="BC7" s="492" t="s">
        <v>86</v>
      </c>
      <c r="BD7" s="492" t="s">
        <v>87</v>
      </c>
      <c r="BE7" s="492" t="s">
        <v>88</v>
      </c>
      <c r="BF7" s="492" t="s">
        <v>89</v>
      </c>
      <c r="BG7" s="492" t="s">
        <v>90</v>
      </c>
      <c r="BH7" s="492" t="s">
        <v>91</v>
      </c>
      <c r="BI7" s="492" t="s">
        <v>92</v>
      </c>
      <c r="BJ7" s="492" t="s">
        <v>93</v>
      </c>
      <c r="BK7" s="492" t="s">
        <v>94</v>
      </c>
      <c r="BL7" s="492" t="s">
        <v>95</v>
      </c>
      <c r="BM7" s="492" t="s">
        <v>96</v>
      </c>
      <c r="BN7" s="492" t="s">
        <v>97</v>
      </c>
      <c r="BO7" s="492" t="s">
        <v>98</v>
      </c>
      <c r="BP7" s="492" t="s">
        <v>99</v>
      </c>
      <c r="BQ7" s="492" t="s">
        <v>100</v>
      </c>
      <c r="BR7" s="492" t="s">
        <v>101</v>
      </c>
      <c r="BS7" s="492" t="s">
        <v>102</v>
      </c>
      <c r="BT7" s="492" t="s">
        <v>103</v>
      </c>
      <c r="BU7" s="492" t="s">
        <v>104</v>
      </c>
      <c r="BV7" s="492" t="s">
        <v>105</v>
      </c>
      <c r="BW7" s="492" t="s">
        <v>106</v>
      </c>
    </row>
    <row r="8" spans="1:75" x14ac:dyDescent="0.25">
      <c r="A8" s="492" t="s">
        <v>107</v>
      </c>
      <c r="B8" s="492" t="s">
        <v>108</v>
      </c>
      <c r="C8" s="496">
        <v>2.0350000000000001</v>
      </c>
      <c r="D8" s="496">
        <v>2.06</v>
      </c>
      <c r="E8" s="496">
        <v>2.0640000000000001</v>
      </c>
      <c r="F8" s="496">
        <v>2.0870000000000002</v>
      </c>
      <c r="G8" s="496">
        <v>2.1040000000000001</v>
      </c>
      <c r="H8" s="496">
        <v>2.1150000000000002</v>
      </c>
      <c r="I8" s="496">
        <v>2.1480000000000001</v>
      </c>
      <c r="J8" s="496">
        <v>2.169</v>
      </c>
      <c r="K8" s="496">
        <v>2.1869999999999998</v>
      </c>
      <c r="L8" s="496">
        <v>2.214</v>
      </c>
      <c r="M8" s="496">
        <v>2.2330000000000001</v>
      </c>
      <c r="N8" s="496">
        <v>2.2210000000000001</v>
      </c>
      <c r="O8" s="496">
        <v>2.234</v>
      </c>
      <c r="P8" s="496">
        <v>2.2599999999999998</v>
      </c>
      <c r="Q8" s="496">
        <v>2.274</v>
      </c>
      <c r="R8" s="496">
        <v>2.3010000000000002</v>
      </c>
      <c r="S8" s="496">
        <v>2.3210000000000002</v>
      </c>
      <c r="T8" s="496">
        <v>2.3620000000000001</v>
      </c>
      <c r="U8" s="496">
        <v>2.4020000000000001</v>
      </c>
      <c r="V8" s="496">
        <v>2.351</v>
      </c>
      <c r="W8" s="496">
        <v>2.3439999999999999</v>
      </c>
      <c r="X8" s="496">
        <v>2.3479999999999999</v>
      </c>
      <c r="Y8" s="496">
        <v>2.3690000000000002</v>
      </c>
      <c r="Z8" s="496">
        <v>2.383</v>
      </c>
      <c r="AA8" s="496">
        <v>2.383</v>
      </c>
      <c r="AB8" s="496">
        <v>2.3839999999999999</v>
      </c>
      <c r="AC8" s="496">
        <v>2.399</v>
      </c>
      <c r="AD8" s="496">
        <v>2.4220000000000002</v>
      </c>
      <c r="AE8" s="496">
        <v>2.4350000000000001</v>
      </c>
      <c r="AF8" s="496">
        <v>2.4780000000000002</v>
      </c>
      <c r="AG8" s="496">
        <v>2.4889999999999999</v>
      </c>
      <c r="AH8" s="496">
        <v>2.4969999999999999</v>
      </c>
      <c r="AI8" s="496">
        <v>2.5169999999999999</v>
      </c>
      <c r="AJ8" s="496">
        <v>2.52</v>
      </c>
      <c r="AK8" s="496">
        <v>2.5299999999999998</v>
      </c>
      <c r="AL8" s="496">
        <v>2.5489999999999999</v>
      </c>
      <c r="AM8" s="496">
        <v>2.5579999999999998</v>
      </c>
      <c r="AN8" s="496">
        <v>2.5539999999999998</v>
      </c>
      <c r="AO8" s="496">
        <v>2.5739999999999998</v>
      </c>
      <c r="AP8" s="496">
        <v>2.589</v>
      </c>
      <c r="AQ8" s="496">
        <v>2.601</v>
      </c>
      <c r="AR8" s="496">
        <v>2.6070000000000002</v>
      </c>
      <c r="AS8" s="496">
        <v>2.6139999999999999</v>
      </c>
      <c r="AT8" s="496">
        <v>2.617</v>
      </c>
      <c r="AU8" s="496">
        <v>2.6190000000000002</v>
      </c>
      <c r="AV8" s="496">
        <v>2.6230000000000002</v>
      </c>
      <c r="AW8" s="496">
        <v>2.621</v>
      </c>
      <c r="AX8" s="496">
        <v>2.629</v>
      </c>
      <c r="AY8" s="496">
        <v>2.6320000000000001</v>
      </c>
      <c r="AZ8" s="496">
        <v>2.6459999999999999</v>
      </c>
      <c r="BA8" s="496">
        <v>2.6659999999999999</v>
      </c>
      <c r="BB8" s="496">
        <v>2.6779999999999999</v>
      </c>
      <c r="BC8" s="496">
        <v>2.6960000000000002</v>
      </c>
      <c r="BD8" s="496">
        <v>2.694</v>
      </c>
      <c r="BE8" s="496">
        <v>2.7090000000000001</v>
      </c>
      <c r="BF8" s="496">
        <v>2.7240000000000002</v>
      </c>
      <c r="BG8" s="496">
        <v>2.7349999999999999</v>
      </c>
      <c r="BH8" s="496">
        <v>2.7440000000000002</v>
      </c>
      <c r="BI8" s="496">
        <v>2.76</v>
      </c>
      <c r="BJ8" s="496">
        <v>2.7759999999999998</v>
      </c>
      <c r="BK8" s="496">
        <v>2.7909999999999999</v>
      </c>
      <c r="BL8" s="496">
        <v>2.8090000000000002</v>
      </c>
      <c r="BM8" s="496">
        <v>2.8239999999999998</v>
      </c>
      <c r="BN8" s="496">
        <v>2.8460000000000001</v>
      </c>
      <c r="BO8" s="496">
        <v>2.8660000000000001</v>
      </c>
      <c r="BP8" s="496">
        <v>2.8849999999999998</v>
      </c>
      <c r="BQ8" s="496">
        <v>2.9049999999999998</v>
      </c>
      <c r="BR8" s="496">
        <v>2.9239999999999999</v>
      </c>
      <c r="BS8" s="496">
        <v>2.9420000000000002</v>
      </c>
      <c r="BT8" s="496">
        <v>2.96</v>
      </c>
      <c r="BU8" s="496">
        <v>2.9790000000000001</v>
      </c>
      <c r="BV8" s="496">
        <v>2.9980000000000002</v>
      </c>
    </row>
    <row r="9" spans="1:75" x14ac:dyDescent="0.25">
      <c r="A9" s="492" t="s">
        <v>109</v>
      </c>
      <c r="B9" s="492" t="s">
        <v>110</v>
      </c>
      <c r="C9" s="496">
        <v>2.0350000000000001</v>
      </c>
      <c r="D9" s="496">
        <v>2.06</v>
      </c>
      <c r="E9" s="496">
        <v>2.0640000000000001</v>
      </c>
      <c r="F9" s="496">
        <v>2.0870000000000002</v>
      </c>
      <c r="G9" s="496">
        <v>2.1040000000000001</v>
      </c>
      <c r="H9" s="496">
        <v>2.1150000000000002</v>
      </c>
      <c r="I9" s="496">
        <v>2.1480000000000001</v>
      </c>
      <c r="J9" s="496">
        <v>2.169</v>
      </c>
      <c r="K9" s="496">
        <v>2.1869999999999998</v>
      </c>
      <c r="L9" s="496">
        <v>2.214</v>
      </c>
      <c r="M9" s="496">
        <v>2.2330000000000001</v>
      </c>
      <c r="N9" s="496">
        <v>2.2210000000000001</v>
      </c>
      <c r="O9" s="496">
        <v>2.234</v>
      </c>
      <c r="P9" s="496">
        <v>2.2599999999999998</v>
      </c>
      <c r="Q9" s="496">
        <v>2.274</v>
      </c>
      <c r="R9" s="496">
        <v>2.3010000000000002</v>
      </c>
      <c r="S9" s="496">
        <v>2.3210000000000002</v>
      </c>
      <c r="T9" s="496">
        <v>2.3620000000000001</v>
      </c>
      <c r="U9" s="496">
        <v>2.4020000000000001</v>
      </c>
      <c r="V9" s="496">
        <v>2.351</v>
      </c>
      <c r="W9" s="496">
        <v>2.3439999999999999</v>
      </c>
      <c r="X9" s="496">
        <v>2.3479999999999999</v>
      </c>
      <c r="Y9" s="496">
        <v>2.3690000000000002</v>
      </c>
      <c r="Z9" s="496">
        <v>2.383</v>
      </c>
      <c r="AA9" s="496">
        <v>2.383</v>
      </c>
      <c r="AB9" s="496">
        <v>2.3839999999999999</v>
      </c>
      <c r="AC9" s="496">
        <v>2.399</v>
      </c>
      <c r="AD9" s="496">
        <v>2.4220000000000002</v>
      </c>
      <c r="AE9" s="496">
        <v>2.4350000000000001</v>
      </c>
      <c r="AF9" s="496">
        <v>2.4780000000000002</v>
      </c>
      <c r="AG9" s="496">
        <v>2.4889999999999999</v>
      </c>
      <c r="AH9" s="496">
        <v>2.4969999999999999</v>
      </c>
      <c r="AI9" s="496">
        <v>2.5169999999999999</v>
      </c>
      <c r="AJ9" s="496">
        <v>2.52</v>
      </c>
      <c r="AK9" s="496">
        <v>2.5299999999999998</v>
      </c>
      <c r="AL9" s="496">
        <v>2.5489999999999999</v>
      </c>
      <c r="AM9" s="496">
        <v>2.5579999999999998</v>
      </c>
      <c r="AN9" s="496">
        <v>2.5539999999999998</v>
      </c>
      <c r="AO9" s="496">
        <v>2.5739999999999998</v>
      </c>
      <c r="AP9" s="496">
        <v>2.589</v>
      </c>
      <c r="AQ9" s="496">
        <v>2.601</v>
      </c>
      <c r="AR9" s="496">
        <v>2.6070000000000002</v>
      </c>
      <c r="AS9" s="496">
        <v>2.6139999999999999</v>
      </c>
      <c r="AT9" s="496">
        <v>2.617</v>
      </c>
      <c r="AU9" s="496">
        <v>2.6190000000000002</v>
      </c>
      <c r="AV9" s="496">
        <v>2.6230000000000002</v>
      </c>
      <c r="AW9" s="496">
        <v>2.621</v>
      </c>
      <c r="AX9" s="496">
        <v>2.629</v>
      </c>
      <c r="AY9" s="496">
        <v>2.6320000000000001</v>
      </c>
      <c r="AZ9" s="496">
        <v>2.6459999999999999</v>
      </c>
      <c r="BA9" s="496">
        <v>2.6659999999999999</v>
      </c>
      <c r="BB9" s="496">
        <v>2.6779999999999999</v>
      </c>
      <c r="BC9" s="496">
        <v>2.6960000000000002</v>
      </c>
      <c r="BD9" s="496">
        <v>2.694</v>
      </c>
      <c r="BE9" s="496">
        <v>2.7090000000000001</v>
      </c>
      <c r="BF9" s="496">
        <v>2.7240000000000002</v>
      </c>
      <c r="BG9" s="496">
        <v>2.7349999999999999</v>
      </c>
      <c r="BH9" s="496">
        <v>2.742</v>
      </c>
      <c r="BI9" s="496">
        <v>2.7549999999999999</v>
      </c>
      <c r="BJ9" s="496">
        <v>2.7690000000000001</v>
      </c>
      <c r="BK9" s="496">
        <v>2.782</v>
      </c>
      <c r="BL9" s="496">
        <v>2.798</v>
      </c>
      <c r="BM9" s="496">
        <v>2.81</v>
      </c>
      <c r="BN9" s="496">
        <v>2.831</v>
      </c>
      <c r="BO9" s="496">
        <v>2.8490000000000002</v>
      </c>
      <c r="BP9" s="496">
        <v>2.8660000000000001</v>
      </c>
      <c r="BQ9" s="496">
        <v>2.883</v>
      </c>
      <c r="BR9" s="496">
        <v>2.899</v>
      </c>
      <c r="BS9" s="496">
        <v>2.915</v>
      </c>
      <c r="BT9" s="496">
        <v>2.931</v>
      </c>
      <c r="BU9" s="496">
        <v>2.9470000000000001</v>
      </c>
      <c r="BV9" s="496">
        <v>2.9620000000000002</v>
      </c>
    </row>
    <row r="10" spans="1:75" x14ac:dyDescent="0.25">
      <c r="A10" s="492" t="s">
        <v>111</v>
      </c>
      <c r="B10" s="492" t="s">
        <v>112</v>
      </c>
      <c r="C10" s="496">
        <v>2.0350000000000001</v>
      </c>
      <c r="D10" s="496">
        <v>2.06</v>
      </c>
      <c r="E10" s="496">
        <v>2.0640000000000001</v>
      </c>
      <c r="F10" s="496">
        <v>2.0870000000000002</v>
      </c>
      <c r="G10" s="496">
        <v>2.1040000000000001</v>
      </c>
      <c r="H10" s="496">
        <v>2.1150000000000002</v>
      </c>
      <c r="I10" s="496">
        <v>2.1480000000000001</v>
      </c>
      <c r="J10" s="496">
        <v>2.169</v>
      </c>
      <c r="K10" s="496">
        <v>2.1869999999999998</v>
      </c>
      <c r="L10" s="496">
        <v>2.214</v>
      </c>
      <c r="M10" s="496">
        <v>2.2330000000000001</v>
      </c>
      <c r="N10" s="496">
        <v>2.2210000000000001</v>
      </c>
      <c r="O10" s="496">
        <v>2.234</v>
      </c>
      <c r="P10" s="496">
        <v>2.2599999999999998</v>
      </c>
      <c r="Q10" s="496">
        <v>2.274</v>
      </c>
      <c r="R10" s="496">
        <v>2.3010000000000002</v>
      </c>
      <c r="S10" s="496">
        <v>2.3210000000000002</v>
      </c>
      <c r="T10" s="496">
        <v>2.3620000000000001</v>
      </c>
      <c r="U10" s="496">
        <v>2.4020000000000001</v>
      </c>
      <c r="V10" s="496">
        <v>2.351</v>
      </c>
      <c r="W10" s="496">
        <v>2.3439999999999999</v>
      </c>
      <c r="X10" s="496">
        <v>2.3479999999999999</v>
      </c>
      <c r="Y10" s="496">
        <v>2.3690000000000002</v>
      </c>
      <c r="Z10" s="496">
        <v>2.383</v>
      </c>
      <c r="AA10" s="496">
        <v>2.383</v>
      </c>
      <c r="AB10" s="496">
        <v>2.3839999999999999</v>
      </c>
      <c r="AC10" s="496">
        <v>2.399</v>
      </c>
      <c r="AD10" s="496">
        <v>2.4220000000000002</v>
      </c>
      <c r="AE10" s="496">
        <v>2.4350000000000001</v>
      </c>
      <c r="AF10" s="496">
        <v>2.4780000000000002</v>
      </c>
      <c r="AG10" s="496">
        <v>2.4889999999999999</v>
      </c>
      <c r="AH10" s="496">
        <v>2.4969999999999999</v>
      </c>
      <c r="AI10" s="496">
        <v>2.5169999999999999</v>
      </c>
      <c r="AJ10" s="496">
        <v>2.52</v>
      </c>
      <c r="AK10" s="496">
        <v>2.5299999999999998</v>
      </c>
      <c r="AL10" s="496">
        <v>2.5489999999999999</v>
      </c>
      <c r="AM10" s="496">
        <v>2.5579999999999998</v>
      </c>
      <c r="AN10" s="496">
        <v>2.5539999999999998</v>
      </c>
      <c r="AO10" s="496">
        <v>2.5739999999999998</v>
      </c>
      <c r="AP10" s="496">
        <v>2.589</v>
      </c>
      <c r="AQ10" s="496">
        <v>2.601</v>
      </c>
      <c r="AR10" s="496">
        <v>2.6070000000000002</v>
      </c>
      <c r="AS10" s="496">
        <v>2.6139999999999999</v>
      </c>
      <c r="AT10" s="496">
        <v>2.617</v>
      </c>
      <c r="AU10" s="496">
        <v>2.6190000000000002</v>
      </c>
      <c r="AV10" s="496">
        <v>2.6230000000000002</v>
      </c>
      <c r="AW10" s="496">
        <v>2.621</v>
      </c>
      <c r="AX10" s="496">
        <v>2.629</v>
      </c>
      <c r="AY10" s="496">
        <v>2.6320000000000001</v>
      </c>
      <c r="AZ10" s="496">
        <v>2.6459999999999999</v>
      </c>
      <c r="BA10" s="496">
        <v>2.6659999999999999</v>
      </c>
      <c r="BB10" s="496">
        <v>2.6779999999999999</v>
      </c>
      <c r="BC10" s="496">
        <v>2.6960000000000002</v>
      </c>
      <c r="BD10" s="496">
        <v>2.694</v>
      </c>
      <c r="BE10" s="496">
        <v>2.7090000000000001</v>
      </c>
      <c r="BF10" s="496">
        <v>2.7240000000000002</v>
      </c>
      <c r="BG10" s="496">
        <v>2.7349999999999999</v>
      </c>
      <c r="BH10" s="496">
        <v>2.7480000000000002</v>
      </c>
      <c r="BI10" s="496">
        <v>2.766</v>
      </c>
      <c r="BJ10" s="496">
        <v>2.7839999999999998</v>
      </c>
      <c r="BK10" s="496">
        <v>2.802</v>
      </c>
      <c r="BL10" s="496">
        <v>2.823</v>
      </c>
      <c r="BM10" s="496">
        <v>2.843</v>
      </c>
      <c r="BN10" s="496">
        <v>2.8690000000000002</v>
      </c>
      <c r="BO10" s="496">
        <v>2.895</v>
      </c>
      <c r="BP10" s="496">
        <v>2.919</v>
      </c>
      <c r="BQ10" s="496">
        <v>2.9449999999999998</v>
      </c>
      <c r="BR10" s="496">
        <v>2.97</v>
      </c>
      <c r="BS10" s="496">
        <v>2.9950000000000001</v>
      </c>
      <c r="BT10" s="496">
        <v>3.02</v>
      </c>
      <c r="BU10" s="496">
        <v>3.0470000000000002</v>
      </c>
      <c r="BV10" s="496">
        <v>3.0739999999999998</v>
      </c>
    </row>
    <row r="12" spans="1:75" x14ac:dyDescent="0.25">
      <c r="C12" s="497"/>
      <c r="D12" s="497"/>
      <c r="E12" s="497"/>
      <c r="F12" s="497"/>
      <c r="G12" s="497"/>
      <c r="H12" s="497"/>
      <c r="I12" s="497"/>
      <c r="J12" s="497"/>
      <c r="K12" s="497"/>
      <c r="L12" s="497"/>
      <c r="M12" s="497"/>
      <c r="N12" s="497"/>
      <c r="O12" s="497"/>
      <c r="P12" s="497"/>
      <c r="Q12" s="497"/>
      <c r="R12" s="497"/>
      <c r="S12" s="497"/>
      <c r="T12" s="497"/>
      <c r="U12" s="497"/>
      <c r="V12" s="497"/>
      <c r="W12" s="497"/>
      <c r="X12" s="497"/>
      <c r="Y12" s="497"/>
      <c r="Z12" s="497"/>
      <c r="AA12" s="497"/>
      <c r="AB12" s="497"/>
      <c r="AC12" s="497"/>
      <c r="AD12" s="497"/>
      <c r="AE12" s="497"/>
      <c r="AF12" s="497"/>
      <c r="AG12" s="497"/>
      <c r="AH12" s="497"/>
      <c r="AI12" s="497"/>
      <c r="AJ12" s="497"/>
      <c r="AK12" s="497"/>
      <c r="AL12" s="497"/>
      <c r="AM12" s="497"/>
      <c r="AN12" s="497"/>
      <c r="AO12" s="497"/>
      <c r="AP12" s="497"/>
      <c r="AQ12" s="497"/>
      <c r="AR12" s="497"/>
      <c r="AS12" s="497"/>
      <c r="AT12" s="497"/>
    </row>
    <row r="13" spans="1:75" x14ac:dyDescent="0.25">
      <c r="C13" s="496"/>
      <c r="D13" s="496"/>
      <c r="E13" s="496"/>
      <c r="F13" s="496"/>
      <c r="G13" s="496"/>
      <c r="H13" s="496"/>
      <c r="I13" s="496"/>
      <c r="J13" s="496"/>
      <c r="K13" s="496"/>
      <c r="L13" s="496"/>
      <c r="M13" s="496"/>
      <c r="N13" s="496"/>
      <c r="O13" s="496"/>
      <c r="P13" s="496"/>
      <c r="Q13" s="496"/>
      <c r="R13" s="496"/>
      <c r="S13" s="496"/>
      <c r="T13" s="496"/>
      <c r="U13" s="496"/>
      <c r="V13" s="496"/>
      <c r="W13" s="496"/>
      <c r="X13" s="496"/>
      <c r="Y13" s="496"/>
      <c r="Z13" s="496"/>
      <c r="AA13" s="496"/>
      <c r="AB13" s="496"/>
      <c r="AC13" s="496"/>
      <c r="AD13" s="496"/>
      <c r="AE13" s="496"/>
      <c r="AF13" s="496"/>
      <c r="AG13" s="496"/>
      <c r="AH13" s="496"/>
      <c r="AI13" s="496"/>
      <c r="AJ13" s="496"/>
      <c r="AK13" s="496"/>
      <c r="AL13" s="496"/>
      <c r="AM13" s="496"/>
      <c r="AN13" s="496"/>
      <c r="AO13" s="496"/>
      <c r="AP13" s="496"/>
      <c r="AQ13" s="496"/>
      <c r="AR13" s="496"/>
      <c r="AS13" s="496"/>
      <c r="AT13" s="496"/>
      <c r="BI13" s="491" t="s">
        <v>274</v>
      </c>
    </row>
    <row r="14" spans="1:75" x14ac:dyDescent="0.25">
      <c r="C14" s="496"/>
      <c r="D14" s="496"/>
      <c r="E14" s="496"/>
      <c r="F14" s="496"/>
      <c r="G14" s="496"/>
      <c r="H14" s="496"/>
      <c r="I14" s="496"/>
      <c r="J14" s="496"/>
      <c r="K14" s="496"/>
      <c r="L14" s="496"/>
      <c r="M14" s="496"/>
      <c r="N14" s="496"/>
      <c r="O14" s="496"/>
      <c r="P14" s="496"/>
      <c r="Q14" s="496"/>
      <c r="R14" s="496"/>
      <c r="S14" s="496"/>
      <c r="T14" s="496"/>
      <c r="U14" s="496"/>
      <c r="V14" s="496"/>
      <c r="W14" s="496"/>
      <c r="X14" s="496"/>
      <c r="Y14" s="496"/>
      <c r="Z14" s="496"/>
      <c r="AA14" s="496"/>
      <c r="AB14" s="496"/>
      <c r="AC14" s="496"/>
      <c r="AD14" s="496"/>
      <c r="AE14" s="496"/>
      <c r="AF14" s="496"/>
      <c r="AG14" s="496"/>
      <c r="AH14" s="496"/>
      <c r="AI14" s="496"/>
      <c r="AJ14" s="496"/>
      <c r="AK14" s="496"/>
      <c r="AL14" s="496"/>
      <c r="AM14" s="496"/>
      <c r="AN14" s="496"/>
      <c r="AO14" s="496"/>
      <c r="AP14" s="496"/>
      <c r="AQ14" s="496"/>
      <c r="AR14" s="496"/>
      <c r="AS14" s="496"/>
      <c r="AT14" s="496"/>
    </row>
    <row r="15" spans="1:75" x14ac:dyDescent="0.25">
      <c r="C15" s="496"/>
      <c r="D15" s="496"/>
      <c r="E15" s="496"/>
      <c r="F15" s="496"/>
      <c r="G15" s="496"/>
      <c r="H15" s="496"/>
      <c r="I15" s="496"/>
      <c r="J15" s="496"/>
      <c r="K15" s="496"/>
      <c r="L15" s="496"/>
      <c r="M15" s="496"/>
      <c r="N15" s="496"/>
      <c r="O15" s="496"/>
      <c r="P15" s="496"/>
      <c r="Q15" s="496"/>
      <c r="R15" s="496"/>
      <c r="S15" s="496"/>
      <c r="T15" s="496"/>
      <c r="U15" s="496"/>
      <c r="V15" s="496"/>
      <c r="W15" s="496"/>
      <c r="X15" s="496"/>
      <c r="Y15" s="496"/>
      <c r="Z15" s="496"/>
      <c r="AA15" s="496"/>
      <c r="AB15" s="496"/>
      <c r="AC15" s="496"/>
      <c r="AD15" s="496"/>
      <c r="AE15" s="496"/>
      <c r="AF15" s="496"/>
      <c r="AG15" s="496"/>
      <c r="AH15" s="496"/>
      <c r="AI15" s="496"/>
      <c r="AJ15" s="496"/>
      <c r="AK15" s="496"/>
      <c r="AL15" s="496"/>
      <c r="AM15" s="496"/>
      <c r="AN15" s="496"/>
      <c r="AO15" s="496"/>
      <c r="AP15" s="496"/>
      <c r="AQ15" s="496"/>
      <c r="AR15" s="496"/>
      <c r="AS15" s="496"/>
      <c r="AT15" s="496"/>
    </row>
    <row r="16" spans="1:75" x14ac:dyDescent="0.25">
      <c r="C16" s="496"/>
      <c r="D16" s="496"/>
      <c r="E16" s="496"/>
      <c r="F16" s="496"/>
      <c r="G16" s="496"/>
      <c r="H16" s="496"/>
      <c r="I16" s="496"/>
      <c r="J16" s="496"/>
      <c r="K16" s="496"/>
      <c r="L16" s="496"/>
      <c r="M16" s="496"/>
      <c r="N16" s="496"/>
      <c r="O16" s="496"/>
      <c r="P16" s="496"/>
      <c r="Q16" s="496"/>
      <c r="R16" s="496"/>
      <c r="S16" s="496"/>
      <c r="T16" s="496"/>
      <c r="U16" s="496"/>
      <c r="V16" s="496"/>
      <c r="W16" s="496"/>
      <c r="X16" s="496"/>
      <c r="Y16" s="496"/>
      <c r="Z16" s="496"/>
      <c r="AA16" s="496"/>
      <c r="AB16" s="496"/>
      <c r="AC16" s="496"/>
      <c r="AD16" s="496"/>
      <c r="AE16" s="496"/>
      <c r="AF16" s="496"/>
      <c r="AG16" s="496"/>
      <c r="AH16" s="496"/>
      <c r="AI16" s="496"/>
      <c r="AJ16" s="496"/>
      <c r="AK16" s="496"/>
      <c r="AL16" s="496"/>
      <c r="AM16" s="496"/>
      <c r="AN16" s="496"/>
      <c r="AO16" s="496"/>
      <c r="AP16" s="496"/>
      <c r="AQ16" s="496"/>
      <c r="AR16" s="496"/>
      <c r="AS16" s="496"/>
      <c r="AT16" s="496"/>
    </row>
    <row r="17" spans="3:69" x14ac:dyDescent="0.25">
      <c r="C17" s="498"/>
      <c r="D17" s="498"/>
      <c r="E17" s="498"/>
      <c r="F17" s="498"/>
      <c r="G17" s="498"/>
      <c r="H17" s="498"/>
      <c r="I17" s="498"/>
      <c r="J17" s="498"/>
      <c r="K17" s="498"/>
      <c r="L17" s="498"/>
      <c r="M17" s="498"/>
      <c r="N17" s="498"/>
      <c r="O17" s="498"/>
      <c r="P17" s="498"/>
      <c r="Q17" s="498"/>
      <c r="R17" s="498"/>
      <c r="S17" s="498"/>
      <c r="T17" s="498"/>
      <c r="U17" s="498"/>
      <c r="V17" s="498"/>
      <c r="W17" s="498"/>
      <c r="X17" s="498"/>
      <c r="Y17" s="498"/>
      <c r="Z17" s="498"/>
      <c r="AA17" s="498"/>
      <c r="AB17" s="498"/>
      <c r="AC17" s="498"/>
      <c r="AD17" s="498"/>
      <c r="AE17" s="498"/>
      <c r="AF17" s="498"/>
      <c r="AG17" s="498"/>
      <c r="AH17" s="498"/>
      <c r="AI17" s="498"/>
      <c r="AJ17" s="498"/>
      <c r="AK17" s="498"/>
      <c r="AL17" s="498"/>
      <c r="AM17" s="498"/>
      <c r="AN17" s="498"/>
      <c r="AO17" s="498"/>
      <c r="AP17" s="498"/>
      <c r="BF17" s="70" t="s">
        <v>113</v>
      </c>
      <c r="BG17" s="71"/>
      <c r="BH17" s="71"/>
      <c r="BI17" s="72" t="s">
        <v>275</v>
      </c>
      <c r="BJ17" s="73"/>
      <c r="BK17" s="73"/>
      <c r="BL17" s="73"/>
      <c r="BM17" s="73"/>
      <c r="BN17" s="73"/>
      <c r="BO17" s="71"/>
      <c r="BP17" s="71"/>
      <c r="BQ17" s="71"/>
    </row>
    <row r="18" spans="3:69" x14ac:dyDescent="0.25">
      <c r="BF18" s="74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6"/>
    </row>
    <row r="19" spans="3:69" x14ac:dyDescent="0.25">
      <c r="BF19" s="77"/>
      <c r="BG19" s="78" t="s">
        <v>115</v>
      </c>
      <c r="BH19" s="79" t="s">
        <v>276</v>
      </c>
      <c r="BI19" s="79"/>
      <c r="BJ19" s="79"/>
      <c r="BK19" s="79"/>
      <c r="BL19" s="79"/>
      <c r="BM19" s="79"/>
      <c r="BN19" s="79"/>
      <c r="BO19" s="79"/>
      <c r="BP19" s="79"/>
      <c r="BQ19" s="80"/>
    </row>
    <row r="20" spans="3:69" x14ac:dyDescent="0.25">
      <c r="BF20" s="77"/>
      <c r="BG20" s="79"/>
      <c r="BH20" s="492" t="s">
        <v>277</v>
      </c>
      <c r="BI20" s="79"/>
      <c r="BJ20" s="79"/>
      <c r="BK20" s="79"/>
      <c r="BL20" s="79"/>
      <c r="BM20" s="79"/>
      <c r="BN20" s="79"/>
      <c r="BO20" s="79"/>
      <c r="BP20" s="79"/>
      <c r="BQ20" s="82" t="s">
        <v>117</v>
      </c>
    </row>
    <row r="21" spans="3:69" x14ac:dyDescent="0.25">
      <c r="BF21" s="77"/>
      <c r="BG21" s="79"/>
      <c r="BH21" s="496">
        <f>BL9</f>
        <v>2.798</v>
      </c>
      <c r="BI21" s="79"/>
      <c r="BJ21" s="79"/>
      <c r="BK21" s="79"/>
      <c r="BL21" s="79"/>
      <c r="BM21" s="79"/>
      <c r="BN21" s="79"/>
      <c r="BO21" s="79"/>
      <c r="BP21" s="79"/>
      <c r="BQ21" s="84">
        <f>BH21</f>
        <v>2.798</v>
      </c>
    </row>
    <row r="22" spans="3:69" x14ac:dyDescent="0.25">
      <c r="BF22" s="77"/>
      <c r="BG22" s="79"/>
      <c r="BH22" s="79"/>
      <c r="BI22" s="79"/>
      <c r="BJ22" s="79"/>
      <c r="BK22" s="79"/>
      <c r="BL22" s="79"/>
      <c r="BM22" s="79"/>
      <c r="BN22" s="79"/>
      <c r="BO22" s="79"/>
      <c r="BP22" s="79"/>
      <c r="BQ22" s="83"/>
    </row>
    <row r="23" spans="3:69" x14ac:dyDescent="0.25">
      <c r="BF23" s="77"/>
      <c r="BG23" s="78" t="s">
        <v>118</v>
      </c>
      <c r="BH23" s="79" t="s">
        <v>278</v>
      </c>
      <c r="BI23" s="79"/>
      <c r="BJ23" s="79"/>
      <c r="BK23" s="79"/>
      <c r="BL23" s="79"/>
      <c r="BM23" s="79"/>
      <c r="BN23" s="79"/>
      <c r="BO23" s="79"/>
      <c r="BP23" s="79"/>
      <c r="BQ23" s="83"/>
    </row>
    <row r="24" spans="3:69" x14ac:dyDescent="0.25">
      <c r="BF24" s="77"/>
      <c r="BG24" s="79"/>
      <c r="BH24" s="492" t="str">
        <f>BM7</f>
        <v>2019Q3</v>
      </c>
      <c r="BI24" s="492" t="str">
        <f t="shared" ref="BI24:BO24" si="0">BN7</f>
        <v>2019Q4</v>
      </c>
      <c r="BJ24" s="492" t="str">
        <f t="shared" si="0"/>
        <v>2020Q1</v>
      </c>
      <c r="BK24" s="492" t="str">
        <f t="shared" si="0"/>
        <v>2020Q2</v>
      </c>
      <c r="BL24" s="492" t="str">
        <f t="shared" si="0"/>
        <v>2020Q3</v>
      </c>
      <c r="BM24" s="492" t="str">
        <f t="shared" si="0"/>
        <v>2020Q4</v>
      </c>
      <c r="BN24" s="492" t="str">
        <f t="shared" si="0"/>
        <v>2021Q1</v>
      </c>
      <c r="BO24" s="492" t="str">
        <f t="shared" si="0"/>
        <v>2021Q2</v>
      </c>
      <c r="BP24" s="79"/>
      <c r="BQ24" s="83"/>
    </row>
    <row r="25" spans="3:69" x14ac:dyDescent="0.25">
      <c r="BF25" s="77"/>
      <c r="BG25" s="79"/>
      <c r="BH25" s="496">
        <f>BM9</f>
        <v>2.81</v>
      </c>
      <c r="BI25" s="496">
        <f t="shared" ref="BI25:BO25" si="1">BN9</f>
        <v>2.831</v>
      </c>
      <c r="BJ25" s="496">
        <f t="shared" si="1"/>
        <v>2.8490000000000002</v>
      </c>
      <c r="BK25" s="496">
        <f t="shared" si="1"/>
        <v>2.8660000000000001</v>
      </c>
      <c r="BL25" s="496">
        <f t="shared" si="1"/>
        <v>2.883</v>
      </c>
      <c r="BM25" s="496">
        <f t="shared" si="1"/>
        <v>2.899</v>
      </c>
      <c r="BN25" s="496">
        <f t="shared" si="1"/>
        <v>2.915</v>
      </c>
      <c r="BO25" s="496">
        <f t="shared" si="1"/>
        <v>2.931</v>
      </c>
      <c r="BP25" s="79"/>
      <c r="BQ25" s="84">
        <f>AVERAGE(BH25:BO25)</f>
        <v>2.8730000000000002</v>
      </c>
    </row>
    <row r="26" spans="3:69" x14ac:dyDescent="0.25">
      <c r="BF26" s="77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83"/>
    </row>
    <row r="27" spans="3:69" x14ac:dyDescent="0.25">
      <c r="BF27" s="77"/>
      <c r="BG27" s="79"/>
      <c r="BH27" s="79"/>
      <c r="BI27" s="79"/>
      <c r="BJ27" s="79"/>
      <c r="BK27" s="79"/>
      <c r="BL27" s="79"/>
      <c r="BM27" s="79"/>
      <c r="BN27" s="79"/>
      <c r="BO27" s="79"/>
      <c r="BP27" s="85" t="s">
        <v>20</v>
      </c>
      <c r="BQ27" s="376">
        <f>(BQ25-BQ21)/BQ21</f>
        <v>2.6804860614724868E-2</v>
      </c>
    </row>
    <row r="28" spans="3:69" x14ac:dyDescent="0.25">
      <c r="BF28" s="87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9"/>
    </row>
    <row r="29" spans="3:69" x14ac:dyDescent="0.25"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</row>
    <row r="30" spans="3:69" x14ac:dyDescent="0.25"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</row>
  </sheetData>
  <mergeCells count="3">
    <mergeCell ref="A1:B1"/>
    <mergeCell ref="A2:B2"/>
    <mergeCell ref="A3:B3"/>
  </mergeCells>
  <pageMargins left="0.25" right="0.25" top="0.75" bottom="0.75" header="0.3" footer="0.3"/>
  <pageSetup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L28"/>
  <sheetViews>
    <sheetView workbookViewId="0">
      <selection activeCell="F15" sqref="F15"/>
    </sheetView>
  </sheetViews>
  <sheetFormatPr defaultRowHeight="14.4" x14ac:dyDescent="0.3"/>
  <cols>
    <col min="1" max="1" width="2.88671875" customWidth="1"/>
    <col min="2" max="2" width="32.33203125" customWidth="1"/>
    <col min="3" max="3" width="11.5546875" style="90" customWidth="1"/>
    <col min="5" max="5" width="18.88671875" style="1" customWidth="1"/>
    <col min="6" max="6" width="14.5546875" style="1" customWidth="1"/>
    <col min="7" max="7" width="28.109375" style="1" bestFit="1" customWidth="1"/>
    <col min="8" max="8" width="8.88671875" style="1"/>
    <col min="9" max="9" width="18.88671875" style="1" customWidth="1"/>
    <col min="12" max="12" width="15.33203125" customWidth="1"/>
  </cols>
  <sheetData>
    <row r="1" spans="2:12" ht="15" thickBot="1" x14ac:dyDescent="0.35">
      <c r="B1" s="510" t="s">
        <v>202</v>
      </c>
      <c r="C1" s="510"/>
    </row>
    <row r="2" spans="2:12" ht="15" thickBot="1" x14ac:dyDescent="0.35">
      <c r="B2" s="94" t="s">
        <v>121</v>
      </c>
      <c r="C2" s="95">
        <v>40386</v>
      </c>
      <c r="E2" s="511" t="s">
        <v>6</v>
      </c>
      <c r="F2" s="512"/>
      <c r="G2" s="513"/>
      <c r="I2" s="518" t="s">
        <v>196</v>
      </c>
      <c r="J2" s="519"/>
      <c r="K2" s="519"/>
      <c r="L2" s="520"/>
    </row>
    <row r="3" spans="2:12" ht="15" thickBot="1" x14ac:dyDescent="0.35">
      <c r="B3" s="96" t="s">
        <v>122</v>
      </c>
      <c r="C3" s="97">
        <v>101726</v>
      </c>
      <c r="E3" s="522" t="s">
        <v>196</v>
      </c>
      <c r="F3" s="523"/>
      <c r="G3" s="524"/>
      <c r="I3" s="518" t="s">
        <v>130</v>
      </c>
      <c r="J3" s="519"/>
      <c r="K3" s="519"/>
      <c r="L3" s="520"/>
    </row>
    <row r="4" spans="2:12" ht="15" thickBot="1" x14ac:dyDescent="0.35">
      <c r="B4" s="96"/>
      <c r="C4" s="98"/>
      <c r="E4" s="514" t="s">
        <v>7</v>
      </c>
      <c r="F4" s="515"/>
      <c r="G4" s="3" t="s">
        <v>8</v>
      </c>
      <c r="I4" s="4"/>
      <c r="J4" s="521"/>
      <c r="K4" s="521"/>
      <c r="L4" s="5"/>
    </row>
    <row r="5" spans="2:12" ht="15" thickTop="1" x14ac:dyDescent="0.3">
      <c r="B5" s="96"/>
      <c r="C5" s="97">
        <f>SUM(C2:C4)</f>
        <v>142112</v>
      </c>
      <c r="E5" s="6" t="str">
        <f>B2</f>
        <v>Social Worker</v>
      </c>
      <c r="F5" s="209">
        <f>C2</f>
        <v>40386</v>
      </c>
      <c r="G5" s="21" t="s">
        <v>199</v>
      </c>
      <c r="I5" s="7" t="s">
        <v>9</v>
      </c>
      <c r="J5" s="8" t="s">
        <v>10</v>
      </c>
      <c r="K5" s="8" t="s">
        <v>1</v>
      </c>
      <c r="L5" s="9" t="s">
        <v>11</v>
      </c>
    </row>
    <row r="6" spans="2:12" x14ac:dyDescent="0.3">
      <c r="B6" s="96"/>
      <c r="C6" s="97"/>
      <c r="E6" s="10" t="s">
        <v>200</v>
      </c>
      <c r="F6" s="11">
        <f>C3/3</f>
        <v>33908.666666666664</v>
      </c>
      <c r="G6" s="21" t="s">
        <v>199</v>
      </c>
      <c r="I6" s="12" t="str">
        <f>E9</f>
        <v>Social Worker</v>
      </c>
      <c r="J6" s="13">
        <f>F5</f>
        <v>40386</v>
      </c>
      <c r="K6" s="14">
        <f>F9</f>
        <v>1</v>
      </c>
      <c r="L6" s="15">
        <f>J6*K6</f>
        <v>40386</v>
      </c>
    </row>
    <row r="7" spans="2:12" ht="15" thickBot="1" x14ac:dyDescent="0.35">
      <c r="B7" s="96" t="s">
        <v>2</v>
      </c>
      <c r="C7" s="98">
        <f>14353+24728</f>
        <v>39081</v>
      </c>
      <c r="E7" s="16"/>
      <c r="F7" s="17"/>
      <c r="G7" s="21"/>
      <c r="I7" s="18" t="str">
        <f>E10</f>
        <v>Direct Care Staff II</v>
      </c>
      <c r="J7" s="13">
        <f>F6</f>
        <v>33908.666666666664</v>
      </c>
      <c r="K7" s="14">
        <f>F10</f>
        <v>3</v>
      </c>
      <c r="L7" s="15">
        <f>J7*K7</f>
        <v>101726</v>
      </c>
    </row>
    <row r="8" spans="2:12" ht="15" thickTop="1" x14ac:dyDescent="0.3">
      <c r="B8" s="96"/>
      <c r="C8" s="97">
        <f>C7+C5</f>
        <v>181193</v>
      </c>
      <c r="E8" s="19"/>
      <c r="F8" s="20" t="s">
        <v>12</v>
      </c>
      <c r="G8" s="21"/>
      <c r="I8" s="12"/>
      <c r="J8" s="13"/>
      <c r="K8" s="14"/>
      <c r="L8" s="15"/>
    </row>
    <row r="9" spans="2:12" x14ac:dyDescent="0.3">
      <c r="B9" s="96"/>
      <c r="C9" s="97"/>
      <c r="E9" s="6" t="str">
        <f>E5</f>
        <v>Social Worker</v>
      </c>
      <c r="F9" s="22">
        <v>1</v>
      </c>
      <c r="G9" s="21" t="s">
        <v>199</v>
      </c>
      <c r="I9" s="23" t="s">
        <v>3</v>
      </c>
      <c r="J9" s="24"/>
      <c r="K9" s="25">
        <f>SUM(K6:K8)</f>
        <v>4</v>
      </c>
      <c r="L9" s="26">
        <f>SUM(L6:L8)</f>
        <v>142112</v>
      </c>
    </row>
    <row r="10" spans="2:12" x14ac:dyDescent="0.3">
      <c r="B10" s="96" t="s">
        <v>124</v>
      </c>
      <c r="C10" s="97">
        <v>20425</v>
      </c>
      <c r="E10" s="10" t="str">
        <f>E6</f>
        <v>Direct Care Staff II</v>
      </c>
      <c r="F10" s="22">
        <v>3</v>
      </c>
      <c r="G10" s="21" t="s">
        <v>199</v>
      </c>
      <c r="I10" s="27"/>
      <c r="J10" s="28"/>
      <c r="K10" s="29"/>
      <c r="L10" s="30"/>
    </row>
    <row r="11" spans="2:12" x14ac:dyDescent="0.3">
      <c r="B11" s="96" t="s">
        <v>198</v>
      </c>
      <c r="C11" s="97">
        <v>507</v>
      </c>
      <c r="E11" s="16"/>
      <c r="F11" s="31"/>
      <c r="G11" s="21" t="s">
        <v>199</v>
      </c>
      <c r="I11" s="32" t="s">
        <v>13</v>
      </c>
      <c r="J11" s="33">
        <f>F14</f>
        <v>0.27500000000000002</v>
      </c>
      <c r="K11" s="28"/>
      <c r="L11" s="15">
        <f>J11*L9</f>
        <v>39080.800000000003</v>
      </c>
    </row>
    <row r="12" spans="2:12" x14ac:dyDescent="0.3">
      <c r="B12" s="96" t="s">
        <v>125</v>
      </c>
      <c r="C12" s="97">
        <v>9390</v>
      </c>
      <c r="E12" s="516"/>
      <c r="F12" s="517"/>
      <c r="G12" s="21"/>
      <c r="I12" s="23" t="s">
        <v>14</v>
      </c>
      <c r="J12" s="24"/>
      <c r="K12" s="34"/>
      <c r="L12" s="26">
        <f>SUM(L9:L11)</f>
        <v>181192.8</v>
      </c>
    </row>
    <row r="13" spans="2:12" x14ac:dyDescent="0.3">
      <c r="B13" s="96" t="s">
        <v>126</v>
      </c>
      <c r="C13" s="97">
        <v>2420</v>
      </c>
      <c r="E13" s="19" t="s">
        <v>4</v>
      </c>
      <c r="F13" s="35">
        <f>C10</f>
        <v>20425</v>
      </c>
      <c r="G13" s="21" t="s">
        <v>199</v>
      </c>
      <c r="I13" s="27" t="str">
        <f>E13</f>
        <v>Occupancy</v>
      </c>
      <c r="J13" s="29"/>
      <c r="K13" s="36"/>
      <c r="L13" s="37">
        <f>F13</f>
        <v>20425</v>
      </c>
    </row>
    <row r="14" spans="2:12" ht="15" thickBot="1" x14ac:dyDescent="0.35">
      <c r="B14" s="96" t="s">
        <v>0</v>
      </c>
      <c r="C14" s="98">
        <v>8347</v>
      </c>
      <c r="E14" s="10" t="s">
        <v>15</v>
      </c>
      <c r="F14" s="38">
        <v>0.27500000000000002</v>
      </c>
      <c r="G14" s="21" t="s">
        <v>232</v>
      </c>
      <c r="I14" s="27" t="str">
        <f>E16</f>
        <v>Staff Travel</v>
      </c>
      <c r="J14" s="29"/>
      <c r="K14" s="36"/>
      <c r="L14" s="37">
        <f>F16</f>
        <v>9390</v>
      </c>
    </row>
    <row r="15" spans="2:12" ht="15" thickTop="1" x14ac:dyDescent="0.3">
      <c r="B15" s="96"/>
      <c r="C15" s="97">
        <f>C8+SUM(C10:C14)</f>
        <v>222282</v>
      </c>
      <c r="E15" s="39" t="s">
        <v>127</v>
      </c>
      <c r="F15" s="210">
        <f>C11+C13+C14</f>
        <v>11274</v>
      </c>
      <c r="G15" s="21" t="s">
        <v>199</v>
      </c>
      <c r="I15" s="32" t="str">
        <f>E15</f>
        <v xml:space="preserve">Other Program Expenses </v>
      </c>
      <c r="J15" s="29"/>
      <c r="K15" s="36"/>
      <c r="L15" s="15">
        <f>F15</f>
        <v>11274</v>
      </c>
    </row>
    <row r="16" spans="2:12" x14ac:dyDescent="0.3">
      <c r="B16" s="96" t="s">
        <v>233</v>
      </c>
      <c r="C16" s="97">
        <v>42945</v>
      </c>
      <c r="E16" s="39" t="s">
        <v>125</v>
      </c>
      <c r="F16" s="210">
        <f>C12</f>
        <v>9390</v>
      </c>
      <c r="G16" s="21" t="s">
        <v>199</v>
      </c>
      <c r="I16" s="23" t="s">
        <v>17</v>
      </c>
      <c r="J16" s="24"/>
      <c r="K16" s="24"/>
      <c r="L16" s="26">
        <f>SUM(L12:L15)</f>
        <v>222281.8</v>
      </c>
    </row>
    <row r="17" spans="2:12" ht="15" thickBot="1" x14ac:dyDescent="0.35">
      <c r="B17" s="96" t="s">
        <v>5</v>
      </c>
      <c r="C17" s="98">
        <v>70272</v>
      </c>
      <c r="E17" s="6" t="s">
        <v>16</v>
      </c>
      <c r="F17" s="38">
        <f>C17/C15</f>
        <v>0.31613895862013119</v>
      </c>
      <c r="G17" s="21" t="s">
        <v>199</v>
      </c>
      <c r="I17" s="32" t="s">
        <v>16</v>
      </c>
      <c r="J17" s="33">
        <f>F17</f>
        <v>0.31613895862013119</v>
      </c>
      <c r="K17" s="28"/>
      <c r="L17" s="15">
        <f>J17*L16</f>
        <v>70271.936772208268</v>
      </c>
    </row>
    <row r="18" spans="2:12" ht="15.6" thickTop="1" thickBot="1" x14ac:dyDescent="0.35">
      <c r="B18" s="99"/>
      <c r="C18" s="100">
        <f>C15+C17-C16</f>
        <v>249609</v>
      </c>
      <c r="E18" s="40" t="s">
        <v>18</v>
      </c>
      <c r="F18" s="41">
        <f>'CAF Sp 2016'!BD26</f>
        <v>3.1437553586738907E-2</v>
      </c>
      <c r="G18" s="93" t="s">
        <v>231</v>
      </c>
      <c r="I18" s="32"/>
      <c r="J18" s="33"/>
      <c r="K18" s="28"/>
      <c r="L18" s="15"/>
    </row>
    <row r="19" spans="2:12" ht="15" thickBot="1" x14ac:dyDescent="0.35">
      <c r="I19" s="42" t="s">
        <v>19</v>
      </c>
      <c r="J19" s="43"/>
      <c r="K19" s="43"/>
      <c r="L19" s="44">
        <f>SUM(L16:L17)</f>
        <v>292553.73677220824</v>
      </c>
    </row>
    <row r="20" spans="2:12" ht="15" thickTop="1" x14ac:dyDescent="0.3">
      <c r="I20" s="32" t="s">
        <v>20</v>
      </c>
      <c r="J20" s="45">
        <f>F18</f>
        <v>3.1437553586738907E-2</v>
      </c>
      <c r="K20" s="28"/>
      <c r="L20" s="46">
        <f>L19+(L19*J20)</f>
        <v>301750.91054898524</v>
      </c>
    </row>
    <row r="21" spans="2:12" x14ac:dyDescent="0.3">
      <c r="C21" s="378"/>
      <c r="I21" s="32"/>
      <c r="J21" s="28"/>
      <c r="K21" s="28"/>
      <c r="L21" s="47" t="s">
        <v>21</v>
      </c>
    </row>
    <row r="22" spans="2:12" ht="15" thickBot="1" x14ac:dyDescent="0.35">
      <c r="I22" s="48" t="s">
        <v>131</v>
      </c>
      <c r="J22" s="49"/>
      <c r="K22" s="50"/>
      <c r="L22" s="92">
        <f>L20/12</f>
        <v>25145.909212415438</v>
      </c>
    </row>
    <row r="24" spans="2:12" ht="15" thickBot="1" x14ac:dyDescent="0.35">
      <c r="C24" s="101"/>
      <c r="D24" s="1"/>
    </row>
    <row r="25" spans="2:12" x14ac:dyDescent="0.3">
      <c r="B25" s="525" t="s">
        <v>140</v>
      </c>
      <c r="C25" s="526"/>
      <c r="D25" s="526"/>
      <c r="E25" s="526"/>
      <c r="F25" s="526"/>
      <c r="G25" s="526"/>
      <c r="H25" s="527"/>
      <c r="K25" s="90"/>
    </row>
    <row r="26" spans="2:12" x14ac:dyDescent="0.3">
      <c r="B26" s="103"/>
      <c r="C26" s="104"/>
      <c r="D26" s="105"/>
      <c r="E26" s="105"/>
      <c r="F26" s="105"/>
      <c r="G26" s="105"/>
      <c r="H26" s="107"/>
      <c r="J26" s="1"/>
    </row>
    <row r="27" spans="2:12" s="198" customFormat="1" ht="24.75" x14ac:dyDescent="0.25">
      <c r="B27" s="202" t="s">
        <v>135</v>
      </c>
      <c r="C27" s="203"/>
      <c r="D27" s="203" t="s">
        <v>132</v>
      </c>
      <c r="E27" s="203" t="s">
        <v>133</v>
      </c>
      <c r="F27" s="204" t="s">
        <v>141</v>
      </c>
      <c r="G27" s="204" t="s">
        <v>177</v>
      </c>
      <c r="H27" s="205" t="s">
        <v>136</v>
      </c>
      <c r="I27" s="193"/>
      <c r="J27" s="193"/>
    </row>
    <row r="28" spans="2:12" ht="15.75" thickBot="1" x14ac:dyDescent="0.3">
      <c r="B28" s="201" t="s">
        <v>134</v>
      </c>
      <c r="C28" s="109"/>
      <c r="D28" s="110">
        <f>C18</f>
        <v>249609</v>
      </c>
      <c r="E28" s="110">
        <f>L22*12</f>
        <v>301750.91054898524</v>
      </c>
      <c r="F28" s="112">
        <f>E28-D28</f>
        <v>52141.910548985237</v>
      </c>
      <c r="G28" s="112">
        <f>F28*0.5</f>
        <v>26070.955274492619</v>
      </c>
      <c r="H28" s="111">
        <f>(E28-D28)/D28</f>
        <v>0.2088943529639766</v>
      </c>
      <c r="J28" s="1"/>
    </row>
  </sheetData>
  <mergeCells count="9">
    <mergeCell ref="B25:H25"/>
    <mergeCell ref="B1:C1"/>
    <mergeCell ref="E2:G2"/>
    <mergeCell ref="E4:F4"/>
    <mergeCell ref="E12:F12"/>
    <mergeCell ref="I2:L2"/>
    <mergeCell ref="I3:L3"/>
    <mergeCell ref="J4:K4"/>
    <mergeCell ref="E3:G3"/>
  </mergeCells>
  <pageMargins left="0.25" right="0.25" top="0.75" bottom="0.75" header="0.3" footer="0.3"/>
  <pageSetup scale="76" orientation="landscape" r:id="rId1"/>
  <ignoredErrors>
    <ignoredError sqref="I14 L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2:L34"/>
  <sheetViews>
    <sheetView zoomScale="90" zoomScaleNormal="90" workbookViewId="0">
      <selection activeCell="E6" sqref="E6"/>
    </sheetView>
  </sheetViews>
  <sheetFormatPr defaultRowHeight="14.4" x14ac:dyDescent="0.3"/>
  <cols>
    <col min="1" max="1" width="28.33203125" style="1" customWidth="1"/>
    <col min="2" max="2" width="23.109375" style="1" customWidth="1"/>
    <col min="5" max="5" width="13" customWidth="1"/>
    <col min="6" max="6" width="14.44140625" customWidth="1"/>
    <col min="7" max="7" width="14.33203125" customWidth="1"/>
    <col min="8" max="8" width="19.88671875" customWidth="1"/>
    <col min="9" max="9" width="12.5546875" customWidth="1"/>
    <col min="11" max="11" width="10.6640625" bestFit="1" customWidth="1"/>
  </cols>
  <sheetData>
    <row r="2" spans="2:6" ht="15" thickBot="1" x14ac:dyDescent="0.35">
      <c r="F2" s="147"/>
    </row>
    <row r="3" spans="2:6" ht="15" thickBot="1" x14ac:dyDescent="0.35">
      <c r="B3" s="518" t="s">
        <v>197</v>
      </c>
      <c r="C3" s="519"/>
      <c r="D3" s="519"/>
      <c r="E3" s="520"/>
      <c r="F3" s="199"/>
    </row>
    <row r="4" spans="2:6" ht="15" thickBot="1" x14ac:dyDescent="0.35">
      <c r="B4" s="518" t="s">
        <v>228</v>
      </c>
      <c r="C4" s="519"/>
      <c r="D4" s="519"/>
      <c r="E4" s="520"/>
      <c r="F4" s="199"/>
    </row>
    <row r="5" spans="2:6" x14ac:dyDescent="0.3">
      <c r="B5" s="216"/>
      <c r="C5" s="521" t="s">
        <v>203</v>
      </c>
      <c r="D5" s="521"/>
      <c r="E5" s="217">
        <v>1</v>
      </c>
      <c r="F5" s="185"/>
    </row>
    <row r="6" spans="2:6" x14ac:dyDescent="0.3">
      <c r="B6" s="232" t="s">
        <v>9</v>
      </c>
      <c r="C6" s="186" t="s">
        <v>10</v>
      </c>
      <c r="D6" s="186" t="s">
        <v>1</v>
      </c>
      <c r="E6" s="211" t="s">
        <v>11</v>
      </c>
      <c r="F6" s="186"/>
    </row>
    <row r="7" spans="2:6" x14ac:dyDescent="0.3">
      <c r="B7" s="339" t="s">
        <v>171</v>
      </c>
      <c r="C7" s="314">
        <v>72777</v>
      </c>
      <c r="D7" s="315">
        <v>0.13</v>
      </c>
      <c r="E7" s="340">
        <f>C7*D7</f>
        <v>9461.01</v>
      </c>
      <c r="F7" s="187"/>
    </row>
    <row r="8" spans="2:6" x14ac:dyDescent="0.3">
      <c r="B8" s="223" t="s">
        <v>137</v>
      </c>
      <c r="C8" s="213">
        <v>32208</v>
      </c>
      <c r="D8" s="225">
        <v>3.45</v>
      </c>
      <c r="E8" s="341">
        <f t="shared" ref="E8:E9" si="0">C8*D8</f>
        <v>111117.6</v>
      </c>
      <c r="F8" s="188"/>
    </row>
    <row r="9" spans="2:6" x14ac:dyDescent="0.3">
      <c r="B9" s="223" t="s">
        <v>204</v>
      </c>
      <c r="C9" s="213">
        <v>51852</v>
      </c>
      <c r="D9" s="225">
        <v>0.25</v>
      </c>
      <c r="E9" s="341">
        <f t="shared" si="0"/>
        <v>12963</v>
      </c>
      <c r="F9" s="188"/>
    </row>
    <row r="10" spans="2:6" ht="15" thickBot="1" x14ac:dyDescent="0.35">
      <c r="B10" s="236" t="s">
        <v>123</v>
      </c>
      <c r="C10" s="312">
        <v>32954</v>
      </c>
      <c r="D10" s="313">
        <v>0.24</v>
      </c>
      <c r="E10" s="341">
        <f>C10*D10</f>
        <v>7908.96</v>
      </c>
      <c r="F10" s="189"/>
    </row>
    <row r="11" spans="2:6" ht="15" thickBot="1" x14ac:dyDescent="0.35">
      <c r="B11" s="324" t="s">
        <v>3</v>
      </c>
      <c r="C11" s="325"/>
      <c r="D11" s="326">
        <v>4.07</v>
      </c>
      <c r="E11" s="327">
        <f>SUM(E7:E10)</f>
        <v>141450.56999999998</v>
      </c>
      <c r="F11" s="28"/>
    </row>
    <row r="12" spans="2:6" ht="15" thickBot="1" x14ac:dyDescent="0.35">
      <c r="B12" s="236" t="s">
        <v>13</v>
      </c>
      <c r="C12" s="212">
        <v>0.2301</v>
      </c>
      <c r="D12" s="328"/>
      <c r="E12" s="320">
        <f>E11*C12</f>
        <v>32547.776156999993</v>
      </c>
      <c r="F12" s="189"/>
    </row>
    <row r="13" spans="2:6" x14ac:dyDescent="0.3">
      <c r="B13" s="329" t="s">
        <v>14</v>
      </c>
      <c r="C13" s="330"/>
      <c r="D13" s="331"/>
      <c r="E13" s="332">
        <f>SUM(E11+E12)</f>
        <v>173998.34615699996</v>
      </c>
      <c r="F13" s="189"/>
    </row>
    <row r="14" spans="2:6" x14ac:dyDescent="0.3">
      <c r="B14" s="339" t="s">
        <v>138</v>
      </c>
      <c r="C14" s="333"/>
      <c r="D14" s="334"/>
      <c r="E14" s="342">
        <f>'CSSI Contract Data'!M12*D11</f>
        <v>5365.5948553054659</v>
      </c>
      <c r="F14" s="189"/>
    </row>
    <row r="15" spans="2:6" x14ac:dyDescent="0.3">
      <c r="B15" s="236" t="s">
        <v>125</v>
      </c>
      <c r="C15" s="234"/>
      <c r="D15" s="277"/>
      <c r="E15" s="321">
        <f>'CSSI Contract Data'!M13*'Model Budget old (CSSI)'!D11</f>
        <v>18000</v>
      </c>
      <c r="F15" s="189"/>
    </row>
    <row r="16" spans="2:6" x14ac:dyDescent="0.3">
      <c r="B16" s="236" t="s">
        <v>126</v>
      </c>
      <c r="C16" s="234"/>
      <c r="D16" s="277"/>
      <c r="E16" s="321">
        <f>'CSSI Contract Data'!M14*'Model Budget old (CSSI)'!D11</f>
        <v>1250</v>
      </c>
      <c r="F16" s="189"/>
    </row>
    <row r="17" spans="1:12" ht="15" thickBot="1" x14ac:dyDescent="0.35">
      <c r="B17" s="236" t="s">
        <v>0</v>
      </c>
      <c r="C17" s="234"/>
      <c r="D17" s="234"/>
      <c r="E17" s="321">
        <f>D11*'CSSI Contract Data'!M15</f>
        <v>0</v>
      </c>
      <c r="F17" s="189"/>
      <c r="L17" t="s">
        <v>243</v>
      </c>
    </row>
    <row r="18" spans="1:12" ht="15" thickBot="1" x14ac:dyDescent="0.35">
      <c r="B18" s="337" t="s">
        <v>17</v>
      </c>
      <c r="C18" s="338"/>
      <c r="D18" s="325"/>
      <c r="E18" s="327">
        <f>SUM(E13:E17)</f>
        <v>198613.94101230544</v>
      </c>
      <c r="F18" s="188"/>
      <c r="K18" t="s">
        <v>241</v>
      </c>
    </row>
    <row r="19" spans="1:12" x14ac:dyDescent="0.3">
      <c r="B19" s="343" t="s">
        <v>16</v>
      </c>
      <c r="C19" s="335">
        <v>0.1394</v>
      </c>
      <c r="D19" s="336"/>
      <c r="E19" s="344">
        <f>E18*C19</f>
        <v>27686.783377115378</v>
      </c>
      <c r="F19" s="188"/>
    </row>
    <row r="20" spans="1:12" x14ac:dyDescent="0.3">
      <c r="B20" s="236" t="s">
        <v>19</v>
      </c>
      <c r="C20" s="245"/>
      <c r="D20" s="233"/>
      <c r="E20" s="322">
        <f>E19+E18</f>
        <v>226300.72438942082</v>
      </c>
      <c r="F20" s="190"/>
      <c r="K20" t="s">
        <v>242</v>
      </c>
    </row>
    <row r="21" spans="1:12" x14ac:dyDescent="0.3">
      <c r="B21" s="236" t="s">
        <v>20</v>
      </c>
      <c r="C21" s="212">
        <f>'CAF Sp 2016'!BD40</f>
        <v>4.2774125940745131E-2</v>
      </c>
      <c r="D21" s="233"/>
      <c r="E21" s="323">
        <f>E20*(C21+1)</f>
        <v>235980.54007493574</v>
      </c>
      <c r="F21" s="191"/>
    </row>
    <row r="22" spans="1:12" x14ac:dyDescent="0.3">
      <c r="B22" s="316"/>
      <c r="C22" s="317"/>
      <c r="D22" s="318"/>
      <c r="E22" s="319" t="s">
        <v>21</v>
      </c>
      <c r="F22" s="192"/>
    </row>
    <row r="23" spans="1:12" ht="15" thickBot="1" x14ac:dyDescent="0.35">
      <c r="B23" s="345" t="s">
        <v>227</v>
      </c>
      <c r="C23" s="346"/>
      <c r="D23" s="346"/>
      <c r="E23" s="347">
        <f>E21/E5</f>
        <v>235980.54007493574</v>
      </c>
    </row>
    <row r="27" spans="1:12" ht="15" thickBot="1" x14ac:dyDescent="0.35"/>
    <row r="28" spans="1:12" x14ac:dyDescent="0.3">
      <c r="B28" s="525" t="s">
        <v>140</v>
      </c>
      <c r="C28" s="526"/>
      <c r="D28" s="526"/>
      <c r="E28" s="526"/>
      <c r="F28" s="526"/>
      <c r="G28" s="526"/>
      <c r="H28" s="527"/>
    </row>
    <row r="29" spans="1:12" x14ac:dyDescent="0.3">
      <c r="B29" s="103"/>
      <c r="C29" s="91"/>
      <c r="D29" s="104"/>
      <c r="E29" s="105"/>
      <c r="F29" s="105"/>
      <c r="G29" s="106"/>
      <c r="H29" s="107"/>
    </row>
    <row r="30" spans="1:12" s="198" customFormat="1" ht="40.200000000000003" customHeight="1" x14ac:dyDescent="0.3">
      <c r="A30" s="193"/>
      <c r="B30" s="194" t="s">
        <v>135</v>
      </c>
      <c r="C30" s="195" t="s">
        <v>205</v>
      </c>
      <c r="D30" s="195" t="s">
        <v>132</v>
      </c>
      <c r="E30" s="196" t="s">
        <v>133</v>
      </c>
      <c r="F30" s="196" t="s">
        <v>141</v>
      </c>
      <c r="G30" s="196" t="s">
        <v>177</v>
      </c>
      <c r="H30" s="197" t="s">
        <v>136</v>
      </c>
    </row>
    <row r="31" spans="1:12" ht="15.75" thickBot="1" x14ac:dyDescent="0.3">
      <c r="A31" s="1" t="s">
        <v>240</v>
      </c>
      <c r="B31" s="108" t="s">
        <v>176</v>
      </c>
      <c r="C31" s="311">
        <v>1766</v>
      </c>
      <c r="D31" s="113">
        <v>75516</v>
      </c>
      <c r="E31" s="113">
        <f>C31*E23</f>
        <v>416741633.77233648</v>
      </c>
      <c r="F31" s="112">
        <f>E31-D31</f>
        <v>416666117.77233648</v>
      </c>
      <c r="G31" s="112">
        <f>F31*0.5</f>
        <v>208333058.88616824</v>
      </c>
      <c r="H31" s="111">
        <f>(E31-D31)/D31</f>
        <v>5517.587236775471</v>
      </c>
    </row>
    <row r="32" spans="1:12" ht="15.75" thickBot="1" x14ac:dyDescent="0.3">
      <c r="A32" s="1" t="s">
        <v>244</v>
      </c>
      <c r="B32" s="108" t="s">
        <v>139</v>
      </c>
      <c r="C32" s="311">
        <v>4401</v>
      </c>
      <c r="D32" s="113">
        <v>188143</v>
      </c>
      <c r="E32" s="113">
        <f>C32*E23</f>
        <v>1038550356.8697922</v>
      </c>
      <c r="F32" s="112">
        <f>E32-D32</f>
        <v>1038362213.8697922</v>
      </c>
      <c r="G32" s="112">
        <f>F32*0.5</f>
        <v>519181106.93489611</v>
      </c>
      <c r="H32" s="111">
        <f>(E32-D32)/D32</f>
        <v>5519.0052984686763</v>
      </c>
    </row>
    <row r="33" spans="3:8" ht="15" x14ac:dyDescent="0.25">
      <c r="C33" s="348" t="s">
        <v>178</v>
      </c>
      <c r="D33" s="349">
        <f>SUM(D31:D32)</f>
        <v>263659</v>
      </c>
      <c r="E33" s="349">
        <f>SUM(E31:E32)</f>
        <v>1455291990.6421287</v>
      </c>
      <c r="F33" s="349">
        <f>SUM(F31:F32)</f>
        <v>1455028331.6421287</v>
      </c>
      <c r="G33" s="349">
        <f>SUM(G31:G32)</f>
        <v>727514165.82106435</v>
      </c>
      <c r="H33" s="350">
        <f>(E33-D33)/D33</f>
        <v>5518.5991437505591</v>
      </c>
    </row>
    <row r="34" spans="3:8" ht="15" x14ac:dyDescent="0.25">
      <c r="C34" s="351"/>
      <c r="D34" s="351"/>
      <c r="E34" s="351"/>
      <c r="F34" s="351"/>
      <c r="G34" s="351"/>
      <c r="H34" s="351"/>
    </row>
  </sheetData>
  <mergeCells count="4">
    <mergeCell ref="B28:H28"/>
    <mergeCell ref="B3:E3"/>
    <mergeCell ref="B4:E4"/>
    <mergeCell ref="C5:D5"/>
  </mergeCells>
  <pageMargins left="0.7" right="0.7" top="0.75" bottom="0.75" header="0.3" footer="0.3"/>
  <pageSetup scale="90" orientation="landscape" r:id="rId1"/>
  <ignoredErrors>
    <ignoredError sqref="E33 F33:H33" evalError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U65"/>
  <sheetViews>
    <sheetView topLeftCell="A16" zoomScale="80" zoomScaleNormal="80" workbookViewId="0">
      <selection activeCell="Q62" sqref="Q62"/>
    </sheetView>
  </sheetViews>
  <sheetFormatPr defaultColWidth="8.88671875" defaultRowHeight="14.4" x14ac:dyDescent="0.3"/>
  <cols>
    <col min="1" max="1" width="4.5546875" style="214" customWidth="1"/>
    <col min="2" max="2" width="18.88671875" style="215" customWidth="1"/>
    <col min="3" max="3" width="14.5546875" style="215" customWidth="1"/>
    <col min="4" max="4" width="21" style="215" customWidth="1"/>
    <col min="5" max="5" width="8.44140625" style="215" customWidth="1"/>
    <col min="6" max="6" width="18.88671875" style="215" customWidth="1"/>
    <col min="7" max="7" width="12.5546875" style="214" customWidth="1"/>
    <col min="8" max="8" width="9.6640625" style="214" bestFit="1" customWidth="1"/>
    <col min="9" max="9" width="15.33203125" style="214" customWidth="1"/>
    <col min="10" max="10" width="4.109375" style="214" customWidth="1"/>
    <col min="11" max="11" width="18.88671875" style="215" customWidth="1"/>
    <col min="12" max="12" width="14.44140625" style="214" bestFit="1" customWidth="1"/>
    <col min="13" max="13" width="9.6640625" style="214" bestFit="1" customWidth="1"/>
    <col min="14" max="14" width="15.33203125" style="214" customWidth="1"/>
    <col min="15" max="15" width="4.33203125" style="214" customWidth="1"/>
    <col min="16" max="16" width="18.88671875" style="215" customWidth="1"/>
    <col min="17" max="17" width="11" style="214" bestFit="1" customWidth="1"/>
    <col min="18" max="18" width="9.6640625" style="214" bestFit="1" customWidth="1"/>
    <col min="19" max="19" width="15.33203125" style="214" customWidth="1"/>
    <col min="20" max="16384" width="8.88671875" style="214"/>
  </cols>
  <sheetData>
    <row r="2" spans="2:19" ht="15" thickBot="1" x14ac:dyDescent="0.35"/>
    <row r="3" spans="2:19" ht="15" thickBot="1" x14ac:dyDescent="0.35">
      <c r="B3" s="529" t="s">
        <v>6</v>
      </c>
      <c r="C3" s="530"/>
      <c r="D3" s="531"/>
      <c r="F3" s="518" t="s">
        <v>206</v>
      </c>
      <c r="G3" s="519"/>
      <c r="H3" s="519"/>
      <c r="I3" s="520"/>
      <c r="K3" s="518" t="s">
        <v>206</v>
      </c>
      <c r="L3" s="519"/>
      <c r="M3" s="519"/>
      <c r="N3" s="520"/>
      <c r="P3" s="518" t="s">
        <v>206</v>
      </c>
      <c r="Q3" s="519"/>
      <c r="R3" s="519"/>
      <c r="S3" s="520"/>
    </row>
    <row r="4" spans="2:19" ht="15" thickBot="1" x14ac:dyDescent="0.35">
      <c r="B4" s="532" t="s">
        <v>206</v>
      </c>
      <c r="C4" s="533"/>
      <c r="D4" s="534"/>
      <c r="F4" s="518" t="s">
        <v>212</v>
      </c>
      <c r="G4" s="519"/>
      <c r="H4" s="519"/>
      <c r="I4" s="520"/>
      <c r="K4" s="518" t="s">
        <v>213</v>
      </c>
      <c r="L4" s="519"/>
      <c r="M4" s="519"/>
      <c r="N4" s="520"/>
      <c r="P4" s="518" t="s">
        <v>214</v>
      </c>
      <c r="Q4" s="519"/>
      <c r="R4" s="519"/>
      <c r="S4" s="520"/>
    </row>
    <row r="5" spans="2:19" x14ac:dyDescent="0.3">
      <c r="B5" s="514" t="s">
        <v>7</v>
      </c>
      <c r="C5" s="528"/>
      <c r="D5" s="259" t="s">
        <v>8</v>
      </c>
      <c r="F5" s="216"/>
      <c r="G5" s="521"/>
      <c r="H5" s="521"/>
      <c r="I5" s="217"/>
      <c r="K5" s="216"/>
      <c r="L5" s="521"/>
      <c r="M5" s="521"/>
      <c r="N5" s="217"/>
      <c r="P5" s="216"/>
      <c r="Q5" s="521"/>
      <c r="R5" s="521"/>
      <c r="S5" s="217"/>
    </row>
    <row r="6" spans="2:19" x14ac:dyDescent="0.3">
      <c r="B6" s="218" t="str">
        <f>'ALP Contract Data'!O3</f>
        <v>Program Management</v>
      </c>
      <c r="C6" s="254">
        <f>'ALP Contract Data'!R3</f>
        <v>55176.763485477182</v>
      </c>
      <c r="D6" s="260" t="s">
        <v>128</v>
      </c>
      <c r="F6" s="219" t="s">
        <v>9</v>
      </c>
      <c r="G6" s="220" t="s">
        <v>10</v>
      </c>
      <c r="H6" s="220" t="s">
        <v>1</v>
      </c>
      <c r="I6" s="221" t="s">
        <v>11</v>
      </c>
      <c r="K6" s="219" t="s">
        <v>9</v>
      </c>
      <c r="L6" s="220" t="s">
        <v>10</v>
      </c>
      <c r="M6" s="220" t="s">
        <v>1</v>
      </c>
      <c r="N6" s="221" t="s">
        <v>11</v>
      </c>
      <c r="P6" s="219" t="s">
        <v>9</v>
      </c>
      <c r="Q6" s="220" t="s">
        <v>10</v>
      </c>
      <c r="R6" s="220" t="s">
        <v>1</v>
      </c>
      <c r="S6" s="221" t="s">
        <v>11</v>
      </c>
    </row>
    <row r="7" spans="2:19" x14ac:dyDescent="0.3">
      <c r="B7" s="222" t="str">
        <f>'ALP Contract Data'!O4</f>
        <v>Specialized DC Staff / Counselor</v>
      </c>
      <c r="C7" s="255">
        <f>'ALP Contract Data'!R4</f>
        <v>36685.470085470086</v>
      </c>
      <c r="D7" s="260" t="s">
        <v>128</v>
      </c>
      <c r="F7" s="223" t="str">
        <f>B10</f>
        <v>Program Management</v>
      </c>
      <c r="G7" s="224">
        <f>C6</f>
        <v>55176.763485477182</v>
      </c>
      <c r="H7" s="225">
        <v>0.25</v>
      </c>
      <c r="I7" s="226">
        <f>G7*H7</f>
        <v>13794.190871369296</v>
      </c>
      <c r="K7" s="218" t="str">
        <f>B6</f>
        <v>Program Management</v>
      </c>
      <c r="L7" s="290">
        <f>C6</f>
        <v>55176.763485477182</v>
      </c>
      <c r="M7" s="225">
        <v>0.75</v>
      </c>
      <c r="N7" s="226">
        <f>L7*M7</f>
        <v>41382.572614107885</v>
      </c>
      <c r="P7" s="223" t="str">
        <f>B6</f>
        <v>Program Management</v>
      </c>
      <c r="Q7" s="290">
        <f>C6</f>
        <v>55176.763485477182</v>
      </c>
      <c r="R7" s="225">
        <v>1</v>
      </c>
      <c r="S7" s="226">
        <f>Q7*R7</f>
        <v>55176.763485477182</v>
      </c>
    </row>
    <row r="8" spans="2:19" ht="15" thickBot="1" x14ac:dyDescent="0.35">
      <c r="B8" s="241" t="str">
        <f>'ALP Contract Data'!O5</f>
        <v>Clerical</v>
      </c>
      <c r="C8" s="263">
        <f>'ALP Contract Data'!R5</f>
        <v>24843.137254901962</v>
      </c>
      <c r="D8" s="264" t="s">
        <v>128</v>
      </c>
      <c r="F8" s="227" t="str">
        <f>B11</f>
        <v>Specialized DC Staff / Counselor</v>
      </c>
      <c r="G8" s="224">
        <f>C7</f>
        <v>36685.470085470086</v>
      </c>
      <c r="H8" s="225">
        <v>1.3</v>
      </c>
      <c r="I8" s="226">
        <f>G8*H8</f>
        <v>47691.111111111117</v>
      </c>
      <c r="K8" s="218" t="str">
        <f t="shared" ref="K8:L9" si="0">B7</f>
        <v>Specialized DC Staff / Counselor</v>
      </c>
      <c r="L8" s="290">
        <f t="shared" si="0"/>
        <v>36685.470085470086</v>
      </c>
      <c r="M8" s="225">
        <v>1.75</v>
      </c>
      <c r="N8" s="226">
        <f>L8*M8</f>
        <v>64199.572649572649</v>
      </c>
      <c r="P8" s="223" t="str">
        <f t="shared" ref="P8:Q9" si="1">B7</f>
        <v>Specialized DC Staff / Counselor</v>
      </c>
      <c r="Q8" s="290">
        <f t="shared" si="1"/>
        <v>36685.470085470086</v>
      </c>
      <c r="R8" s="225">
        <v>2.1</v>
      </c>
      <c r="S8" s="226">
        <f>Q8*R8</f>
        <v>77039.487179487187</v>
      </c>
    </row>
    <row r="9" spans="2:19" x14ac:dyDescent="0.3">
      <c r="B9" s="265"/>
      <c r="C9" s="266" t="s">
        <v>12</v>
      </c>
      <c r="D9" s="267"/>
      <c r="F9" s="223" t="str">
        <f>B12</f>
        <v>Clerical</v>
      </c>
      <c r="G9" s="224">
        <f>C8</f>
        <v>24843.137254901962</v>
      </c>
      <c r="H9" s="225">
        <v>0.1</v>
      </c>
      <c r="I9" s="226">
        <f>G9*H9</f>
        <v>2484.3137254901962</v>
      </c>
      <c r="K9" s="218" t="str">
        <f t="shared" si="0"/>
        <v>Clerical</v>
      </c>
      <c r="L9" s="290">
        <f t="shared" si="0"/>
        <v>24843.137254901962</v>
      </c>
      <c r="M9" s="225">
        <v>0.3</v>
      </c>
      <c r="N9" s="226">
        <f>L9*M9</f>
        <v>7452.9411764705883</v>
      </c>
      <c r="P9" s="223" t="str">
        <f t="shared" si="1"/>
        <v>Clerical</v>
      </c>
      <c r="Q9" s="290">
        <f t="shared" si="1"/>
        <v>24843.137254901962</v>
      </c>
      <c r="R9" s="225">
        <v>0.5</v>
      </c>
      <c r="S9" s="226">
        <f>Q9*R9</f>
        <v>12421.568627450981</v>
      </c>
    </row>
    <row r="10" spans="2:19" x14ac:dyDescent="0.3">
      <c r="B10" s="218" t="str">
        <f>B6</f>
        <v>Program Management</v>
      </c>
      <c r="C10" s="256">
        <v>1</v>
      </c>
      <c r="D10" s="260" t="s">
        <v>128</v>
      </c>
      <c r="F10" s="228" t="s">
        <v>3</v>
      </c>
      <c r="G10" s="229"/>
      <c r="H10" s="230">
        <f>SUM(H7:H9)</f>
        <v>1.6500000000000001</v>
      </c>
      <c r="I10" s="231">
        <f>SUM(I7:I9)</f>
        <v>63969.61570797061</v>
      </c>
      <c r="K10" s="228" t="s">
        <v>3</v>
      </c>
      <c r="L10" s="229"/>
      <c r="M10" s="230">
        <f>SUM(M7:M9)</f>
        <v>2.8</v>
      </c>
      <c r="N10" s="231">
        <f>SUM(N7:N9)</f>
        <v>113035.08644015112</v>
      </c>
      <c r="P10" s="228" t="s">
        <v>3</v>
      </c>
      <c r="Q10" s="229"/>
      <c r="R10" s="230">
        <f>SUM(R7:R9)</f>
        <v>3.6</v>
      </c>
      <c r="S10" s="231">
        <f>SUM(S7:S9)</f>
        <v>144637.81929241537</v>
      </c>
    </row>
    <row r="11" spans="2:19" x14ac:dyDescent="0.3">
      <c r="B11" s="222" t="str">
        <f>B7</f>
        <v>Specialized DC Staff / Counselor</v>
      </c>
      <c r="C11" s="256">
        <v>1</v>
      </c>
      <c r="D11" s="260" t="s">
        <v>128</v>
      </c>
      <c r="F11" s="232"/>
      <c r="G11" s="233"/>
      <c r="H11" s="234"/>
      <c r="I11" s="235"/>
      <c r="K11" s="232"/>
      <c r="L11" s="233"/>
      <c r="M11" s="234"/>
      <c r="N11" s="235"/>
      <c r="P11" s="232"/>
      <c r="Q11" s="233"/>
      <c r="R11" s="234"/>
      <c r="S11" s="235"/>
    </row>
    <row r="12" spans="2:19" ht="15" thickBot="1" x14ac:dyDescent="0.35">
      <c r="B12" s="241" t="str">
        <f>B8</f>
        <v>Clerical</v>
      </c>
      <c r="C12" s="268">
        <v>1</v>
      </c>
      <c r="D12" s="264" t="s">
        <v>128</v>
      </c>
      <c r="F12" s="236" t="s">
        <v>13</v>
      </c>
      <c r="G12" s="237">
        <f>C13</f>
        <v>0.26606036541940037</v>
      </c>
      <c r="H12" s="233"/>
      <c r="I12" s="226">
        <f>G12*I10</f>
        <v>17019.779331001275</v>
      </c>
      <c r="K12" s="236" t="s">
        <v>13</v>
      </c>
      <c r="L12" s="237">
        <f>C13</f>
        <v>0.26606036541940037</v>
      </c>
      <c r="M12" s="233"/>
      <c r="N12" s="226">
        <f>L12*N10</f>
        <v>30074.156403480116</v>
      </c>
      <c r="P12" s="236" t="s">
        <v>13</v>
      </c>
      <c r="Q12" s="237">
        <f>C13</f>
        <v>0.26606036541940037</v>
      </c>
      <c r="R12" s="233"/>
      <c r="S12" s="226">
        <f>Q12*S10</f>
        <v>38482.391054405227</v>
      </c>
    </row>
    <row r="13" spans="2:19" ht="15" thickBot="1" x14ac:dyDescent="0.35">
      <c r="B13" s="274" t="s">
        <v>13</v>
      </c>
      <c r="C13" s="275">
        <f>'ALP Contract Data'!R8</f>
        <v>0.26606036541940037</v>
      </c>
      <c r="D13" s="276"/>
      <c r="F13" s="228" t="s">
        <v>14</v>
      </c>
      <c r="G13" s="229"/>
      <c r="H13" s="238"/>
      <c r="I13" s="231">
        <f>SUM(I10:I12)</f>
        <v>80989.395038971881</v>
      </c>
      <c r="K13" s="228" t="s">
        <v>14</v>
      </c>
      <c r="L13" s="229"/>
      <c r="M13" s="238"/>
      <c r="N13" s="231">
        <f>SUM(N10:N12)</f>
        <v>143109.24284363125</v>
      </c>
      <c r="P13" s="228" t="s">
        <v>14</v>
      </c>
      <c r="Q13" s="229"/>
      <c r="R13" s="238"/>
      <c r="S13" s="231">
        <f>SUM(S10:S12)</f>
        <v>183120.21034682059</v>
      </c>
    </row>
    <row r="14" spans="2:19" x14ac:dyDescent="0.3">
      <c r="B14" s="272"/>
      <c r="C14" s="273" t="s">
        <v>162</v>
      </c>
      <c r="D14" s="260"/>
      <c r="F14" s="232"/>
      <c r="G14" s="234"/>
      <c r="H14" s="239" t="s">
        <v>162</v>
      </c>
      <c r="I14" s="240"/>
      <c r="K14" s="232"/>
      <c r="L14" s="234"/>
      <c r="M14" s="239" t="s">
        <v>162</v>
      </c>
      <c r="N14" s="240"/>
      <c r="P14" s="232"/>
      <c r="Q14" s="234"/>
      <c r="R14" s="239" t="s">
        <v>162</v>
      </c>
      <c r="S14" s="240"/>
    </row>
    <row r="15" spans="2:19" x14ac:dyDescent="0.3">
      <c r="B15" s="261" t="s">
        <v>4</v>
      </c>
      <c r="C15" s="257">
        <f>'ALP Contract Data'!Q14</f>
        <v>3565.6578947368421</v>
      </c>
      <c r="D15" s="260" t="s">
        <v>128</v>
      </c>
      <c r="F15" s="261" t="s">
        <v>4</v>
      </c>
      <c r="G15" s="234"/>
      <c r="H15" s="278">
        <f>C15</f>
        <v>3565.6578947368421</v>
      </c>
      <c r="I15" s="240">
        <f>$H$10*H15</f>
        <v>5883.33552631579</v>
      </c>
      <c r="K15" s="261" t="s">
        <v>4</v>
      </c>
      <c r="L15" s="234"/>
      <c r="M15" s="278">
        <f>H15</f>
        <v>3565.6578947368421</v>
      </c>
      <c r="N15" s="240">
        <f>$M$10*C15</f>
        <v>9983.8421052631566</v>
      </c>
      <c r="P15" s="261" t="s">
        <v>4</v>
      </c>
      <c r="Q15" s="234"/>
      <c r="R15" s="278">
        <f>M15</f>
        <v>3565.6578947368421</v>
      </c>
      <c r="S15" s="240">
        <f>$R$10*R15</f>
        <v>12836.368421052632</v>
      </c>
    </row>
    <row r="16" spans="2:19" x14ac:dyDescent="0.3">
      <c r="B16" s="261" t="s">
        <v>216</v>
      </c>
      <c r="C16" s="257">
        <v>1243</v>
      </c>
      <c r="D16" s="260" t="s">
        <v>217</v>
      </c>
      <c r="F16" s="261" t="str">
        <f>B16</f>
        <v>Admin of Placement</v>
      </c>
      <c r="G16" s="234"/>
      <c r="H16" s="278">
        <f>C16</f>
        <v>1243</v>
      </c>
      <c r="I16" s="240">
        <f>H16*H10</f>
        <v>2050.9500000000003</v>
      </c>
      <c r="K16" s="261" t="str">
        <f>B16</f>
        <v>Admin of Placement</v>
      </c>
      <c r="L16" s="234"/>
      <c r="M16" s="278">
        <f>C16</f>
        <v>1243</v>
      </c>
      <c r="N16" s="240">
        <f>M16*M10</f>
        <v>3480.3999999999996</v>
      </c>
      <c r="P16" s="261" t="str">
        <f>B16</f>
        <v>Admin of Placement</v>
      </c>
      <c r="Q16" s="234"/>
      <c r="R16" s="278">
        <f>C16</f>
        <v>1243</v>
      </c>
      <c r="S16" s="240">
        <f>R16*R10</f>
        <v>4474.8</v>
      </c>
    </row>
    <row r="17" spans="2:19" x14ac:dyDescent="0.3">
      <c r="B17" s="261" t="s">
        <v>148</v>
      </c>
      <c r="C17" s="257">
        <f>'ALP Contract Data'!Q15</f>
        <v>802.63157894736844</v>
      </c>
      <c r="D17" s="260" t="s">
        <v>128</v>
      </c>
      <c r="F17" s="261" t="s">
        <v>148</v>
      </c>
      <c r="G17" s="234"/>
      <c r="H17" s="278">
        <f t="shared" ref="H17:H21" si="2">C17</f>
        <v>802.63157894736844</v>
      </c>
      <c r="I17" s="240">
        <f t="shared" ref="I17:I21" si="3">$H$10*H17</f>
        <v>1324.3421052631579</v>
      </c>
      <c r="K17" s="261" t="s">
        <v>148</v>
      </c>
      <c r="L17" s="234"/>
      <c r="M17" s="278">
        <f t="shared" ref="M17:M21" si="4">H17</f>
        <v>802.63157894736844</v>
      </c>
      <c r="N17" s="240">
        <f t="shared" ref="N17:N21" si="5">$M$10*C17</f>
        <v>2247.3684210526317</v>
      </c>
      <c r="P17" s="261" t="s">
        <v>148</v>
      </c>
      <c r="Q17" s="234"/>
      <c r="R17" s="278">
        <f t="shared" ref="R17:R21" si="6">M17</f>
        <v>802.63157894736844</v>
      </c>
      <c r="S17" s="240">
        <f t="shared" ref="S17:S21" si="7">$R$10*R17</f>
        <v>2889.4736842105262</v>
      </c>
    </row>
    <row r="18" spans="2:19" x14ac:dyDescent="0.3">
      <c r="B18" s="261" t="s">
        <v>215</v>
      </c>
      <c r="C18" s="257">
        <f>'ALP Contract Data'!Q16+'ALP Contract Data'!Q20</f>
        <v>2198.9473684210525</v>
      </c>
      <c r="D18" s="260" t="s">
        <v>128</v>
      </c>
      <c r="F18" s="261" t="s">
        <v>125</v>
      </c>
      <c r="G18" s="234"/>
      <c r="H18" s="278">
        <f t="shared" si="2"/>
        <v>2198.9473684210525</v>
      </c>
      <c r="I18" s="240">
        <f t="shared" si="3"/>
        <v>3628.2631578947371</v>
      </c>
      <c r="K18" s="261" t="s">
        <v>125</v>
      </c>
      <c r="L18" s="234"/>
      <c r="M18" s="278">
        <f t="shared" si="4"/>
        <v>2198.9473684210525</v>
      </c>
      <c r="N18" s="240">
        <f t="shared" si="5"/>
        <v>6157.0526315789466</v>
      </c>
      <c r="P18" s="261" t="s">
        <v>125</v>
      </c>
      <c r="Q18" s="234"/>
      <c r="R18" s="278">
        <f t="shared" si="6"/>
        <v>2198.9473684210525</v>
      </c>
      <c r="S18" s="240">
        <f t="shared" si="7"/>
        <v>7916.2105263157891</v>
      </c>
    </row>
    <row r="19" spans="2:19" x14ac:dyDescent="0.3">
      <c r="B19" s="261" t="s">
        <v>152</v>
      </c>
      <c r="C19" s="257">
        <f>'ALP Contract Data'!Q21</f>
        <v>315.78947368421052</v>
      </c>
      <c r="D19" s="260" t="s">
        <v>128</v>
      </c>
      <c r="F19" s="261" t="s">
        <v>152</v>
      </c>
      <c r="G19" s="234"/>
      <c r="H19" s="278">
        <f t="shared" si="2"/>
        <v>315.78947368421052</v>
      </c>
      <c r="I19" s="240">
        <f t="shared" si="3"/>
        <v>521.0526315789474</v>
      </c>
      <c r="K19" s="261" t="s">
        <v>152</v>
      </c>
      <c r="L19" s="234"/>
      <c r="M19" s="278">
        <f t="shared" si="4"/>
        <v>315.78947368421052</v>
      </c>
      <c r="N19" s="240">
        <f t="shared" si="5"/>
        <v>884.21052631578937</v>
      </c>
      <c r="P19" s="261" t="s">
        <v>152</v>
      </c>
      <c r="Q19" s="234"/>
      <c r="R19" s="278">
        <f t="shared" si="6"/>
        <v>315.78947368421052</v>
      </c>
      <c r="S19" s="240">
        <f t="shared" si="7"/>
        <v>1136.8421052631579</v>
      </c>
    </row>
    <row r="20" spans="2:19" x14ac:dyDescent="0.3">
      <c r="B20" s="261" t="s">
        <v>154</v>
      </c>
      <c r="C20" s="257">
        <f>'ALP Contract Data'!Q22</f>
        <v>3205</v>
      </c>
      <c r="D20" s="260" t="s">
        <v>128</v>
      </c>
      <c r="F20" s="261" t="s">
        <v>154</v>
      </c>
      <c r="G20" s="234"/>
      <c r="H20" s="278">
        <f t="shared" si="2"/>
        <v>3205</v>
      </c>
      <c r="I20" s="240">
        <f t="shared" si="3"/>
        <v>5288.25</v>
      </c>
      <c r="K20" s="261" t="s">
        <v>154</v>
      </c>
      <c r="L20" s="234"/>
      <c r="M20" s="278">
        <f t="shared" si="4"/>
        <v>3205</v>
      </c>
      <c r="N20" s="240">
        <f t="shared" si="5"/>
        <v>8974</v>
      </c>
      <c r="P20" s="261" t="s">
        <v>154</v>
      </c>
      <c r="Q20" s="234"/>
      <c r="R20" s="278">
        <f t="shared" si="6"/>
        <v>3205</v>
      </c>
      <c r="S20" s="240">
        <f t="shared" si="7"/>
        <v>11538</v>
      </c>
    </row>
    <row r="21" spans="2:19" x14ac:dyDescent="0.3">
      <c r="B21" s="261" t="s">
        <v>153</v>
      </c>
      <c r="C21" s="257">
        <f>'ALP Contract Data'!Q23</f>
        <v>1301.9736842105265</v>
      </c>
      <c r="D21" s="260" t="s">
        <v>128</v>
      </c>
      <c r="F21" s="261" t="s">
        <v>153</v>
      </c>
      <c r="G21" s="234"/>
      <c r="H21" s="278">
        <f t="shared" si="2"/>
        <v>1301.9736842105265</v>
      </c>
      <c r="I21" s="240">
        <f t="shared" si="3"/>
        <v>2148.2565789473688</v>
      </c>
      <c r="K21" s="261" t="s">
        <v>153</v>
      </c>
      <c r="L21" s="234"/>
      <c r="M21" s="278">
        <f t="shared" si="4"/>
        <v>1301.9736842105265</v>
      </c>
      <c r="N21" s="240">
        <f t="shared" si="5"/>
        <v>3645.5263157894738</v>
      </c>
      <c r="P21" s="261" t="s">
        <v>153</v>
      </c>
      <c r="Q21" s="234"/>
      <c r="R21" s="278">
        <f t="shared" si="6"/>
        <v>1301.9736842105265</v>
      </c>
      <c r="S21" s="240">
        <f t="shared" si="7"/>
        <v>4687.105263157895</v>
      </c>
    </row>
    <row r="22" spans="2:19" ht="15" thickBot="1" x14ac:dyDescent="0.35">
      <c r="B22" s="261" t="s">
        <v>234</v>
      </c>
      <c r="C22" s="257">
        <v>5000</v>
      </c>
      <c r="D22" s="260" t="s">
        <v>217</v>
      </c>
      <c r="F22" s="261" t="s">
        <v>234</v>
      </c>
      <c r="G22" s="234"/>
      <c r="H22" s="278"/>
      <c r="I22" s="240">
        <f>C22</f>
        <v>5000</v>
      </c>
      <c r="K22" s="261" t="s">
        <v>234</v>
      </c>
      <c r="L22" s="234"/>
      <c r="M22" s="278"/>
      <c r="N22" s="240">
        <f>C22</f>
        <v>5000</v>
      </c>
      <c r="P22" s="261" t="s">
        <v>234</v>
      </c>
      <c r="Q22" s="234"/>
      <c r="R22" s="278"/>
      <c r="S22" s="240">
        <f>C22</f>
        <v>5000</v>
      </c>
    </row>
    <row r="23" spans="2:19" ht="15" thickBot="1" x14ac:dyDescent="0.35">
      <c r="B23" s="269" t="s">
        <v>166</v>
      </c>
      <c r="C23" s="271">
        <f>'ALP Contract Data'!R26</f>
        <v>0.10110395845773919</v>
      </c>
      <c r="D23" s="276" t="s">
        <v>128</v>
      </c>
      <c r="F23" s="228" t="s">
        <v>17</v>
      </c>
      <c r="G23" s="229"/>
      <c r="H23" s="229"/>
      <c r="I23" s="231">
        <f>SUM(I13:I22)</f>
        <v>106833.84503897188</v>
      </c>
      <c r="K23" s="228" t="s">
        <v>17</v>
      </c>
      <c r="L23" s="229"/>
      <c r="M23" s="229"/>
      <c r="N23" s="231">
        <f>SUM(N13:N22)</f>
        <v>183481.64284363124</v>
      </c>
      <c r="P23" s="228" t="s">
        <v>17</v>
      </c>
      <c r="Q23" s="229"/>
      <c r="R23" s="229"/>
      <c r="S23" s="231">
        <f>SUM(S13:S22)</f>
        <v>233599.01034682058</v>
      </c>
    </row>
    <row r="24" spans="2:19" ht="15" thickBot="1" x14ac:dyDescent="0.35">
      <c r="B24" s="269" t="s">
        <v>165</v>
      </c>
      <c r="C24" s="271">
        <f>'CAF Sp 2016'!BD40</f>
        <v>4.2774125940745131E-2</v>
      </c>
      <c r="D24" s="270"/>
      <c r="F24" s="236" t="s">
        <v>16</v>
      </c>
      <c r="G24" s="237">
        <f>C23</f>
        <v>0.10110395845773919</v>
      </c>
      <c r="H24" s="233"/>
      <c r="I24" s="226">
        <f>G24*I23</f>
        <v>10801.324630700759</v>
      </c>
      <c r="K24" s="236" t="s">
        <v>16</v>
      </c>
      <c r="L24" s="237">
        <f>C23</f>
        <v>0.10110395845773919</v>
      </c>
      <c r="M24" s="233"/>
      <c r="N24" s="226">
        <f>L24*N23</f>
        <v>18550.720395820234</v>
      </c>
      <c r="P24" s="236" t="s">
        <v>16</v>
      </c>
      <c r="Q24" s="237">
        <f>C23</f>
        <v>0.10110395845773919</v>
      </c>
      <c r="R24" s="233"/>
      <c r="S24" s="226">
        <f>Q24*S23</f>
        <v>23617.784637873934</v>
      </c>
    </row>
    <row r="25" spans="2:19" x14ac:dyDescent="0.3">
      <c r="F25" s="236"/>
      <c r="G25" s="237"/>
      <c r="H25" s="233"/>
      <c r="I25" s="226"/>
      <c r="K25" s="236"/>
      <c r="L25" s="237"/>
      <c r="M25" s="233"/>
      <c r="N25" s="226"/>
      <c r="P25" s="236"/>
      <c r="Q25" s="237"/>
      <c r="R25" s="233"/>
      <c r="S25" s="226"/>
    </row>
    <row r="26" spans="2:19" ht="15" thickBot="1" x14ac:dyDescent="0.35">
      <c r="F26" s="242" t="s">
        <v>19</v>
      </c>
      <c r="G26" s="243"/>
      <c r="H26" s="243"/>
      <c r="I26" s="244">
        <f>SUM(I23:I24)</f>
        <v>117635.16966967264</v>
      </c>
      <c r="K26" s="242" t="s">
        <v>19</v>
      </c>
      <c r="L26" s="243"/>
      <c r="M26" s="243"/>
      <c r="N26" s="244">
        <f>SUM(N23:N24)</f>
        <v>202032.36323945149</v>
      </c>
      <c r="P26" s="242" t="s">
        <v>19</v>
      </c>
      <c r="Q26" s="243"/>
      <c r="R26" s="243"/>
      <c r="S26" s="244">
        <f>SUM(S23:S24)</f>
        <v>257216.79498469451</v>
      </c>
    </row>
    <row r="27" spans="2:19" ht="15" thickTop="1" x14ac:dyDescent="0.3">
      <c r="F27" s="236" t="s">
        <v>20</v>
      </c>
      <c r="G27" s="245">
        <f>C24</f>
        <v>4.2774125940745131E-2</v>
      </c>
      <c r="H27" s="233"/>
      <c r="I27" s="246">
        <f>I26+(I26*G27)</f>
        <v>122666.91123218414</v>
      </c>
      <c r="K27" s="236" t="s">
        <v>20</v>
      </c>
      <c r="L27" s="245">
        <f>C24</f>
        <v>4.2774125940745131E-2</v>
      </c>
      <c r="M27" s="233"/>
      <c r="N27" s="246">
        <f>N26+(N26*L27)</f>
        <v>210674.12098876215</v>
      </c>
      <c r="P27" s="236" t="s">
        <v>20</v>
      </c>
      <c r="Q27" s="245">
        <f>C24</f>
        <v>4.2774125940745131E-2</v>
      </c>
      <c r="R27" s="233"/>
      <c r="S27" s="246">
        <f>S26+(S26*Q27)</f>
        <v>268219.01856744464</v>
      </c>
    </row>
    <row r="28" spans="2:19" x14ac:dyDescent="0.3">
      <c r="F28" s="236"/>
      <c r="G28" s="233"/>
      <c r="H28" s="233"/>
      <c r="I28" s="247" t="s">
        <v>21</v>
      </c>
      <c r="K28" s="236"/>
      <c r="L28" s="233"/>
      <c r="M28" s="233"/>
      <c r="N28" s="247" t="s">
        <v>21</v>
      </c>
      <c r="P28" s="236"/>
      <c r="Q28" s="233"/>
      <c r="R28" s="233"/>
      <c r="S28" s="247" t="s">
        <v>21</v>
      </c>
    </row>
    <row r="29" spans="2:19" ht="15" thickBot="1" x14ac:dyDescent="0.35">
      <c r="F29" s="248" t="s">
        <v>131</v>
      </c>
      <c r="G29" s="249"/>
      <c r="H29" s="250"/>
      <c r="I29" s="304">
        <f>I27/12</f>
        <v>10222.242602682012</v>
      </c>
      <c r="K29" s="248" t="s">
        <v>131</v>
      </c>
      <c r="L29" s="249"/>
      <c r="M29" s="250"/>
      <c r="N29" s="304">
        <f>N27/12</f>
        <v>17556.176749063514</v>
      </c>
      <c r="P29" s="248" t="s">
        <v>131</v>
      </c>
      <c r="Q29" s="249"/>
      <c r="R29" s="250"/>
      <c r="S29" s="304">
        <f>S27/12</f>
        <v>22351.584880620387</v>
      </c>
    </row>
    <row r="31" spans="2:19" x14ac:dyDescent="0.3">
      <c r="I31" s="291"/>
      <c r="N31" s="291"/>
      <c r="S31" s="291"/>
    </row>
    <row r="32" spans="2:19" ht="15" thickBot="1" x14ac:dyDescent="0.35"/>
    <row r="33" spans="2:21" x14ac:dyDescent="0.3">
      <c r="D33" s="525" t="s">
        <v>140</v>
      </c>
      <c r="E33" s="526"/>
      <c r="F33" s="526"/>
      <c r="G33" s="526"/>
      <c r="H33" s="526"/>
      <c r="I33" s="526"/>
      <c r="J33" s="526"/>
      <c r="K33" s="526"/>
      <c r="L33" s="526"/>
      <c r="M33" s="527"/>
    </row>
    <row r="34" spans="2:21" ht="55.95" customHeight="1" x14ac:dyDescent="0.3">
      <c r="D34" s="293" t="s">
        <v>135</v>
      </c>
      <c r="E34" s="294"/>
      <c r="F34" s="294" t="s">
        <v>167</v>
      </c>
      <c r="G34" s="294"/>
      <c r="H34" s="294"/>
      <c r="I34" s="294" t="s">
        <v>168</v>
      </c>
      <c r="J34" s="295"/>
      <c r="K34" s="353" t="s">
        <v>224</v>
      </c>
      <c r="L34" s="353" t="s">
        <v>225</v>
      </c>
      <c r="M34" s="295"/>
      <c r="N34" s="251" t="s">
        <v>141</v>
      </c>
      <c r="O34" s="196"/>
      <c r="P34" s="196" t="s">
        <v>235</v>
      </c>
      <c r="Q34" s="296" t="s">
        <v>136</v>
      </c>
      <c r="T34" s="357"/>
      <c r="U34" s="195"/>
    </row>
    <row r="35" spans="2:21" hidden="1" x14ac:dyDescent="0.3">
      <c r="D35" s="297" t="str">
        <f>'ALP Contract Data'!A1</f>
        <v>JRI</v>
      </c>
      <c r="E35" s="258"/>
      <c r="F35" s="298">
        <f>'ALP Contract Data'!C27</f>
        <v>202514</v>
      </c>
      <c r="G35" s="258"/>
      <c r="H35" s="258" t="s">
        <v>218</v>
      </c>
      <c r="I35" s="305">
        <f>I29*12</f>
        <v>122666.91123218415</v>
      </c>
      <c r="J35" s="306"/>
      <c r="K35" s="306"/>
      <c r="L35" s="306"/>
      <c r="M35" s="306"/>
      <c r="N35" s="307">
        <f>I35-F35</f>
        <v>-79847.088767815847</v>
      </c>
      <c r="O35" s="307">
        <f>N35*0.5</f>
        <v>-39923.544383907923</v>
      </c>
      <c r="P35" s="307"/>
      <c r="Q35" s="299">
        <f>(I35-F35)/F35</f>
        <v>-0.39427935237966683</v>
      </c>
      <c r="T35" s="305"/>
      <c r="U35" s="307"/>
    </row>
    <row r="36" spans="2:21" hidden="1" x14ac:dyDescent="0.3">
      <c r="D36" s="297" t="str">
        <f>'ALP Contract Data'!F1</f>
        <v>Youth Opportunities Upheld</v>
      </c>
      <c r="E36" s="258"/>
      <c r="F36" s="298">
        <f>'ALP Contract Data'!H27</f>
        <v>353197</v>
      </c>
      <c r="G36" s="258"/>
      <c r="H36" s="258" t="s">
        <v>219</v>
      </c>
      <c r="I36" s="305">
        <f>N29*12</f>
        <v>210674.12098876218</v>
      </c>
      <c r="J36" s="306"/>
      <c r="K36" s="306"/>
      <c r="L36" s="306"/>
      <c r="M36" s="306"/>
      <c r="N36" s="307">
        <f>I36-F36</f>
        <v>-142522.87901123782</v>
      </c>
      <c r="O36" s="307">
        <f t="shared" ref="O36:O37" si="8">N36*0.5</f>
        <v>-71261.43950561891</v>
      </c>
      <c r="P36" s="307"/>
      <c r="Q36" s="299">
        <f t="shared" ref="Q36:Q37" si="9">(I36-F36)/F36</f>
        <v>-0.40352233742426413</v>
      </c>
      <c r="T36" s="305"/>
      <c r="U36" s="307"/>
    </row>
    <row r="37" spans="2:21" ht="15" hidden="1" thickBot="1" x14ac:dyDescent="0.35">
      <c r="D37" s="297" t="str">
        <f>'ALP Contract Data'!K1</f>
        <v>Northeast Behavioral Health</v>
      </c>
      <c r="E37" s="258"/>
      <c r="F37" s="292">
        <f>'ALP Contract Data'!M27</f>
        <v>451079</v>
      </c>
      <c r="G37" s="258"/>
      <c r="H37" s="258" t="s">
        <v>220</v>
      </c>
      <c r="I37" s="308">
        <f>S29*12</f>
        <v>268219.01856744464</v>
      </c>
      <c r="J37" s="306"/>
      <c r="K37" s="306"/>
      <c r="L37" s="306"/>
      <c r="M37" s="306"/>
      <c r="N37" s="309">
        <f>I37-F37</f>
        <v>-182859.98143255536</v>
      </c>
      <c r="O37" s="309">
        <f t="shared" si="8"/>
        <v>-91429.99071627768</v>
      </c>
      <c r="P37" s="309"/>
      <c r="Q37" s="300">
        <f t="shared" si="9"/>
        <v>-0.40538349475935559</v>
      </c>
      <c r="T37" s="305"/>
      <c r="U37" s="307"/>
    </row>
    <row r="38" spans="2:21" ht="15" thickBot="1" x14ac:dyDescent="0.35">
      <c r="D38" s="361" t="s">
        <v>223</v>
      </c>
      <c r="E38" s="252"/>
      <c r="F38" s="301">
        <f>SUM(F35:F37)</f>
        <v>1006790</v>
      </c>
      <c r="G38" s="302"/>
      <c r="H38" s="302"/>
      <c r="I38" s="310">
        <f>SUM(I35:I37)</f>
        <v>601560.05078839092</v>
      </c>
      <c r="J38" s="310"/>
      <c r="K38" s="310">
        <f>L49</f>
        <v>435926.75459655141</v>
      </c>
      <c r="L38" s="310">
        <f>I38+K38</f>
        <v>1037486.8053849423</v>
      </c>
      <c r="M38" s="310"/>
      <c r="N38" s="310">
        <f>L38-F38</f>
        <v>30696.80538494233</v>
      </c>
      <c r="O38" s="310"/>
      <c r="P38" s="310">
        <f>N38*0.5</f>
        <v>15348.402692471165</v>
      </c>
      <c r="Q38" s="303">
        <f>(L38-F38)/F38</f>
        <v>3.0489779780234538E-2</v>
      </c>
      <c r="T38" s="305"/>
      <c r="U38" s="307"/>
    </row>
    <row r="39" spans="2:21" x14ac:dyDescent="0.3">
      <c r="P39" s="105"/>
      <c r="Q39" s="104"/>
    </row>
    <row r="40" spans="2:21" ht="28.2" customHeight="1" x14ac:dyDescent="0.3"/>
    <row r="41" spans="2:21" hidden="1" x14ac:dyDescent="0.3">
      <c r="B41" s="281"/>
      <c r="C41" s="281"/>
      <c r="D41" s="281"/>
      <c r="G41" s="214" t="s">
        <v>146</v>
      </c>
      <c r="L41" s="214" t="s">
        <v>209</v>
      </c>
      <c r="Q41" s="214" t="s">
        <v>210</v>
      </c>
    </row>
    <row r="42" spans="2:21" hidden="1" x14ac:dyDescent="0.3">
      <c r="B42" s="281"/>
      <c r="C42" s="281"/>
      <c r="D42" s="281"/>
    </row>
    <row r="43" spans="2:21" hidden="1" x14ac:dyDescent="0.3">
      <c r="B43" s="281"/>
      <c r="C43" s="358"/>
      <c r="D43" s="359"/>
      <c r="F43" s="352" t="s">
        <v>149</v>
      </c>
      <c r="G43" s="234"/>
      <c r="H43" s="278"/>
      <c r="I43" s="240">
        <f>'ALP Contract Data'!C17</f>
        <v>35263</v>
      </c>
      <c r="K43" s="261" t="s">
        <v>149</v>
      </c>
      <c r="L43" s="234"/>
      <c r="M43" s="278"/>
      <c r="N43" s="240">
        <f>'ALP Contract Data'!H17</f>
        <v>156182</v>
      </c>
      <c r="P43" s="261" t="s">
        <v>149</v>
      </c>
      <c r="Q43" s="234"/>
      <c r="R43" s="278"/>
      <c r="S43" s="240">
        <f>'ALP Contract Data'!M17</f>
        <v>149533</v>
      </c>
    </row>
    <row r="44" spans="2:21" hidden="1" x14ac:dyDescent="0.3">
      <c r="B44" s="281"/>
      <c r="C44" s="358"/>
      <c r="D44" s="359"/>
      <c r="F44" s="352" t="s">
        <v>156</v>
      </c>
      <c r="G44" s="234"/>
      <c r="H44" s="278"/>
      <c r="I44" s="240">
        <f>$H$10*H44</f>
        <v>0</v>
      </c>
      <c r="K44" s="261" t="s">
        <v>156</v>
      </c>
      <c r="L44" s="234"/>
      <c r="M44" s="278"/>
      <c r="N44" s="240">
        <f>'ALP Contract Data'!H18</f>
        <v>1820</v>
      </c>
      <c r="P44" s="261" t="s">
        <v>156</v>
      </c>
      <c r="Q44" s="234"/>
      <c r="R44" s="278"/>
      <c r="S44" s="240">
        <f>'ALP Contract Data'!M18</f>
        <v>82120</v>
      </c>
    </row>
    <row r="45" spans="2:21" ht="15" hidden="1" thickBot="1" x14ac:dyDescent="0.35">
      <c r="B45" s="281"/>
      <c r="C45" s="358"/>
      <c r="D45" s="359"/>
      <c r="F45" s="352" t="s">
        <v>150</v>
      </c>
      <c r="G45" s="234"/>
      <c r="H45" s="278"/>
      <c r="I45" s="244">
        <f>'ALP Contract Data'!C18</f>
        <v>550</v>
      </c>
      <c r="K45" s="261" t="s">
        <v>150</v>
      </c>
      <c r="L45" s="234"/>
      <c r="M45" s="278"/>
      <c r="N45" s="244">
        <f>'ALP Contract Data'!H19</f>
        <v>550</v>
      </c>
      <c r="P45" s="261" t="s">
        <v>150</v>
      </c>
      <c r="Q45" s="234"/>
      <c r="R45" s="278"/>
      <c r="S45" s="244">
        <f>$R$10*R45</f>
        <v>0</v>
      </c>
    </row>
    <row r="46" spans="2:21" ht="15" hidden="1" thickTop="1" x14ac:dyDescent="0.3">
      <c r="B46" s="281"/>
      <c r="C46" s="281"/>
      <c r="D46" s="281"/>
      <c r="I46" s="355">
        <f>SUM(I43:I45)</f>
        <v>35813</v>
      </c>
      <c r="N46" s="355">
        <f>SUM(N43:N45)</f>
        <v>158552</v>
      </c>
      <c r="S46" s="355">
        <f>SUM(S43:S45)</f>
        <v>231653</v>
      </c>
    </row>
    <row r="47" spans="2:21" hidden="1" x14ac:dyDescent="0.3"/>
    <row r="48" spans="2:21" hidden="1" x14ac:dyDescent="0.3"/>
    <row r="49" spans="1:19" hidden="1" x14ac:dyDescent="0.3">
      <c r="K49" s="215" t="s">
        <v>221</v>
      </c>
      <c r="L49" s="360">
        <f>I46+N46+S46*(C24+1)</f>
        <v>435926.75459655141</v>
      </c>
      <c r="M49" s="214" t="s">
        <v>222</v>
      </c>
    </row>
    <row r="50" spans="1:19" hidden="1" x14ac:dyDescent="0.3"/>
    <row r="51" spans="1:19" hidden="1" x14ac:dyDescent="0.3">
      <c r="F51" s="356" t="s">
        <v>211</v>
      </c>
    </row>
    <row r="52" spans="1:19" s="215" customFormat="1" hidden="1" x14ac:dyDescent="0.3">
      <c r="A52" s="279"/>
      <c r="B52" s="280"/>
      <c r="C52" s="280"/>
      <c r="D52" s="280"/>
      <c r="G52" s="214"/>
      <c r="H52" s="214"/>
      <c r="I52" s="214"/>
      <c r="J52" s="214"/>
      <c r="L52" s="214"/>
      <c r="M52" s="214"/>
      <c r="N52" s="214"/>
      <c r="O52" s="214"/>
      <c r="Q52" s="214"/>
      <c r="R52" s="214"/>
      <c r="S52" s="214"/>
    </row>
    <row r="53" spans="1:19" s="215" customFormat="1" hidden="1" x14ac:dyDescent="0.3">
      <c r="A53" s="279"/>
      <c r="B53" s="281"/>
      <c r="C53" s="282"/>
      <c r="D53" s="281"/>
      <c r="G53" s="214"/>
      <c r="H53" s="214"/>
      <c r="I53" s="214"/>
      <c r="J53" s="214"/>
      <c r="L53" s="214"/>
      <c r="M53" s="214"/>
      <c r="N53" s="214"/>
      <c r="O53" s="214"/>
      <c r="Q53" s="214"/>
      <c r="R53" s="214"/>
      <c r="S53" s="214"/>
    </row>
    <row r="54" spans="1:19" s="215" customFormat="1" hidden="1" x14ac:dyDescent="0.3">
      <c r="A54" s="279"/>
      <c r="B54" s="283"/>
      <c r="C54" s="284"/>
      <c r="D54" s="283"/>
      <c r="G54" s="214"/>
      <c r="H54" s="214"/>
      <c r="I54" s="214"/>
      <c r="J54" s="214"/>
      <c r="L54" s="214"/>
      <c r="M54" s="214"/>
      <c r="N54" s="214"/>
      <c r="O54" s="214"/>
      <c r="Q54" s="214"/>
      <c r="R54" s="214"/>
      <c r="S54" s="214"/>
    </row>
    <row r="55" spans="1:19" s="215" customFormat="1" hidden="1" x14ac:dyDescent="0.3">
      <c r="A55" s="279"/>
      <c r="B55" s="285"/>
      <c r="C55" s="286"/>
      <c r="D55" s="287"/>
      <c r="G55" s="214"/>
      <c r="H55" s="214"/>
      <c r="I55" s="214"/>
      <c r="J55" s="214"/>
      <c r="L55" s="214"/>
      <c r="M55" s="214"/>
      <c r="N55" s="214"/>
      <c r="O55" s="214"/>
      <c r="Q55" s="214"/>
      <c r="R55" s="214"/>
      <c r="S55" s="214"/>
    </row>
    <row r="56" spans="1:19" s="215" customFormat="1" x14ac:dyDescent="0.3">
      <c r="A56" s="279"/>
      <c r="B56" s="288"/>
      <c r="C56" s="288"/>
      <c r="D56" s="288"/>
      <c r="G56" s="214"/>
      <c r="H56" s="214"/>
      <c r="I56" s="214"/>
      <c r="J56" s="214"/>
      <c r="L56" s="214"/>
      <c r="M56" s="214"/>
      <c r="N56" s="214"/>
      <c r="O56" s="214"/>
      <c r="Q56" s="214"/>
      <c r="R56" s="214"/>
      <c r="S56" s="214"/>
    </row>
    <row r="57" spans="1:19" s="215" customFormat="1" x14ac:dyDescent="0.3">
      <c r="A57" s="279"/>
      <c r="B57" s="288"/>
      <c r="C57" s="288"/>
      <c r="D57" s="288"/>
      <c r="G57" s="214"/>
      <c r="H57" s="214"/>
      <c r="I57" s="214"/>
      <c r="J57" s="214"/>
      <c r="L57" s="214"/>
      <c r="M57" s="214"/>
      <c r="N57" s="214"/>
      <c r="O57" s="214"/>
      <c r="Q57" s="214"/>
      <c r="R57" s="214"/>
      <c r="S57" s="214"/>
    </row>
    <row r="58" spans="1:19" s="215" customFormat="1" x14ac:dyDescent="0.3">
      <c r="A58" s="279"/>
      <c r="B58" s="288"/>
      <c r="C58" s="288"/>
      <c r="D58" s="288"/>
      <c r="G58" s="214"/>
      <c r="H58" s="214"/>
      <c r="I58" s="214"/>
      <c r="J58" s="214"/>
      <c r="L58" s="214"/>
      <c r="M58" s="214"/>
      <c r="N58" s="214"/>
      <c r="O58" s="214"/>
      <c r="Q58" s="214"/>
      <c r="R58" s="214"/>
      <c r="S58" s="214"/>
    </row>
    <row r="59" spans="1:19" s="215" customFormat="1" x14ac:dyDescent="0.3">
      <c r="A59" s="280"/>
      <c r="B59" s="288"/>
      <c r="C59" s="288"/>
      <c r="D59" s="288"/>
      <c r="G59" s="214"/>
      <c r="H59" s="214"/>
      <c r="I59" s="214"/>
      <c r="J59" s="214"/>
      <c r="L59" s="214"/>
      <c r="M59" s="214"/>
      <c r="N59" s="214"/>
      <c r="O59" s="214"/>
      <c r="Q59" s="214"/>
      <c r="R59" s="214"/>
      <c r="S59" s="214"/>
    </row>
    <row r="60" spans="1:19" s="215" customFormat="1" x14ac:dyDescent="0.3">
      <c r="A60" s="253"/>
      <c r="B60" s="288"/>
      <c r="C60" s="288"/>
      <c r="D60" s="288"/>
      <c r="G60" s="214"/>
      <c r="H60" s="214"/>
      <c r="I60" s="214"/>
      <c r="J60" s="214"/>
      <c r="L60" s="214"/>
      <c r="M60" s="214"/>
      <c r="N60" s="214"/>
      <c r="O60" s="214"/>
      <c r="Q60" s="214"/>
      <c r="R60" s="214"/>
      <c r="S60" s="214"/>
    </row>
    <row r="61" spans="1:19" s="215" customFormat="1" x14ac:dyDescent="0.3">
      <c r="A61" s="284"/>
      <c r="B61" s="288"/>
      <c r="C61" s="288"/>
      <c r="D61" s="288"/>
      <c r="G61" s="214"/>
      <c r="H61" s="214"/>
      <c r="I61" s="214"/>
      <c r="J61" s="214"/>
      <c r="L61" s="214"/>
      <c r="M61" s="214"/>
      <c r="N61" s="214"/>
      <c r="O61" s="214"/>
      <c r="Q61" s="214"/>
      <c r="R61" s="214"/>
      <c r="S61" s="214"/>
    </row>
    <row r="62" spans="1:19" s="215" customFormat="1" x14ac:dyDescent="0.3">
      <c r="A62" s="289"/>
      <c r="B62" s="288"/>
      <c r="C62" s="288"/>
      <c r="D62" s="288"/>
      <c r="G62" s="214"/>
      <c r="H62" s="214"/>
      <c r="I62" s="214"/>
      <c r="J62" s="214"/>
      <c r="L62" s="214"/>
      <c r="M62" s="214"/>
      <c r="N62" s="214"/>
      <c r="O62" s="214"/>
      <c r="Q62" s="214"/>
      <c r="R62" s="214"/>
      <c r="S62" s="214"/>
    </row>
    <row r="63" spans="1:19" s="215" customFormat="1" x14ac:dyDescent="0.3">
      <c r="A63" s="279"/>
      <c r="B63" s="288"/>
      <c r="C63" s="288"/>
      <c r="D63" s="288"/>
      <c r="G63" s="214"/>
      <c r="H63" s="214"/>
      <c r="I63" s="214"/>
      <c r="J63" s="214"/>
      <c r="L63" s="214"/>
      <c r="M63" s="214"/>
      <c r="N63" s="214"/>
      <c r="O63" s="214"/>
      <c r="Q63" s="214"/>
      <c r="R63" s="214"/>
      <c r="S63" s="214"/>
    </row>
    <row r="64" spans="1:19" s="215" customFormat="1" ht="15" x14ac:dyDescent="0.25">
      <c r="A64" s="279"/>
      <c r="B64" s="288"/>
      <c r="C64" s="288"/>
      <c r="D64" s="288"/>
      <c r="G64" s="214"/>
      <c r="H64" s="214"/>
      <c r="I64" s="214"/>
      <c r="J64" s="214"/>
      <c r="L64" s="214"/>
      <c r="M64" s="214"/>
      <c r="N64" s="214"/>
      <c r="O64" s="214"/>
      <c r="Q64" s="214"/>
      <c r="R64" s="214"/>
      <c r="S64" s="214"/>
    </row>
    <row r="65" spans="1:19" s="215" customFormat="1" ht="15" x14ac:dyDescent="0.25">
      <c r="A65" s="279"/>
      <c r="B65" s="288"/>
      <c r="C65" s="288"/>
      <c r="D65" s="288"/>
      <c r="G65" s="214"/>
      <c r="H65" s="214"/>
      <c r="I65" s="214"/>
      <c r="J65" s="214"/>
      <c r="L65" s="214"/>
      <c r="M65" s="214"/>
      <c r="N65" s="214"/>
      <c r="O65" s="214"/>
      <c r="Q65" s="214"/>
      <c r="R65" s="214"/>
      <c r="S65" s="214"/>
    </row>
  </sheetData>
  <mergeCells count="13">
    <mergeCell ref="B3:D3"/>
    <mergeCell ref="F3:I3"/>
    <mergeCell ref="K3:N3"/>
    <mergeCell ref="P3:S3"/>
    <mergeCell ref="B4:D4"/>
    <mergeCell ref="F4:I4"/>
    <mergeCell ref="K4:N4"/>
    <mergeCell ref="P4:S4"/>
    <mergeCell ref="B5:C5"/>
    <mergeCell ref="G5:H5"/>
    <mergeCell ref="L5:M5"/>
    <mergeCell ref="Q5:R5"/>
    <mergeCell ref="D33:M33"/>
  </mergeCells>
  <pageMargins left="0.25" right="0.25" top="0.75" bottom="0.75" header="0.3" footer="0.3"/>
  <pageSetup scale="5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workbookViewId="0">
      <selection activeCell="S27" sqref="A1:S27"/>
    </sheetView>
  </sheetViews>
  <sheetFormatPr defaultRowHeight="14.4" x14ac:dyDescent="0.3"/>
  <cols>
    <col min="1" max="1" width="19.33203125" customWidth="1"/>
    <col min="3" max="3" width="8.88671875" style="90"/>
    <col min="6" max="6" width="17.6640625" bestFit="1" customWidth="1"/>
    <col min="11" max="11" width="17.6640625" bestFit="1" customWidth="1"/>
    <col min="13" max="13" width="11.6640625" customWidth="1"/>
    <col min="14" max="14" width="6.44140625" customWidth="1"/>
    <col min="15" max="15" width="20.6640625" customWidth="1"/>
    <col min="16" max="16" width="10.44140625" customWidth="1"/>
    <col min="17" max="17" width="13.109375" customWidth="1"/>
    <col min="18" max="18" width="10" bestFit="1" customWidth="1"/>
  </cols>
  <sheetData>
    <row r="1" spans="1:18" x14ac:dyDescent="0.3">
      <c r="A1" s="535" t="s">
        <v>146</v>
      </c>
      <c r="B1" s="535"/>
      <c r="C1" s="535"/>
      <c r="F1" s="535" t="s">
        <v>157</v>
      </c>
      <c r="G1" s="535"/>
      <c r="H1" s="535"/>
      <c r="I1" s="118"/>
      <c r="K1" s="535" t="s">
        <v>155</v>
      </c>
      <c r="L1" s="535"/>
      <c r="M1" s="535"/>
    </row>
    <row r="2" spans="1:18" x14ac:dyDescent="0.3">
      <c r="B2" t="s">
        <v>1</v>
      </c>
      <c r="C2" s="90" t="s">
        <v>147</v>
      </c>
      <c r="G2" t="s">
        <v>1</v>
      </c>
      <c r="H2" s="90" t="s">
        <v>147</v>
      </c>
      <c r="I2" s="90"/>
      <c r="L2" t="s">
        <v>1</v>
      </c>
      <c r="M2" s="90" t="s">
        <v>147</v>
      </c>
      <c r="P2" t="s">
        <v>160</v>
      </c>
      <c r="Q2" t="s">
        <v>161</v>
      </c>
      <c r="R2" t="s">
        <v>162</v>
      </c>
    </row>
    <row r="3" spans="1:18" x14ac:dyDescent="0.3">
      <c r="A3" t="s">
        <v>142</v>
      </c>
      <c r="B3">
        <v>0.25</v>
      </c>
      <c r="C3" s="90">
        <v>13303</v>
      </c>
      <c r="F3" t="s">
        <v>142</v>
      </c>
      <c r="G3">
        <v>0.63</v>
      </c>
      <c r="H3" s="90">
        <v>30026</v>
      </c>
      <c r="I3" s="90"/>
      <c r="K3" t="s">
        <v>142</v>
      </c>
      <c r="L3">
        <v>1</v>
      </c>
      <c r="M3" s="90">
        <v>44880</v>
      </c>
      <c r="O3" t="s">
        <v>163</v>
      </c>
      <c r="P3">
        <f>B3+G3+L3+B4+G4+L4</f>
        <v>2.4099999999999997</v>
      </c>
      <c r="Q3" s="90">
        <f>C3+H3+M3+C4+H4+M4</f>
        <v>132976</v>
      </c>
      <c r="R3" s="90">
        <f>Q3/P3</f>
        <v>55176.763485477182</v>
      </c>
    </row>
    <row r="4" spans="1:18" x14ac:dyDescent="0.3">
      <c r="A4" t="s">
        <v>143</v>
      </c>
      <c r="B4">
        <v>0.01</v>
      </c>
      <c r="C4" s="90">
        <v>1930</v>
      </c>
      <c r="F4" t="s">
        <v>143</v>
      </c>
      <c r="G4">
        <v>0.45</v>
      </c>
      <c r="H4" s="90">
        <v>34117</v>
      </c>
      <c r="I4" s="90"/>
      <c r="K4" t="s">
        <v>143</v>
      </c>
      <c r="L4">
        <v>7.0000000000000007E-2</v>
      </c>
      <c r="M4" s="90">
        <v>8720</v>
      </c>
      <c r="O4" t="s">
        <v>207</v>
      </c>
      <c r="P4">
        <f>B5+B6+B7+G5+L7</f>
        <v>4.68</v>
      </c>
      <c r="Q4" s="90">
        <f>C5+C6+C7+H5+M7</f>
        <v>171688</v>
      </c>
      <c r="R4" s="90">
        <f t="shared" ref="R4:R5" si="0">Q4/P4</f>
        <v>36685.470085470086</v>
      </c>
    </row>
    <row r="5" spans="1:18" ht="15" thickBot="1" x14ac:dyDescent="0.35">
      <c r="A5" t="s">
        <v>145</v>
      </c>
      <c r="B5">
        <v>0.05</v>
      </c>
      <c r="C5" s="90">
        <v>5850</v>
      </c>
      <c r="F5" t="s">
        <v>158</v>
      </c>
      <c r="G5">
        <v>1.78</v>
      </c>
      <c r="H5" s="90">
        <v>42618</v>
      </c>
      <c r="I5" s="90"/>
      <c r="K5" t="s">
        <v>145</v>
      </c>
      <c r="L5" s="102" t="s">
        <v>159</v>
      </c>
      <c r="M5" s="102" t="s">
        <v>159</v>
      </c>
      <c r="O5" t="s">
        <v>123</v>
      </c>
      <c r="P5" s="117">
        <f>B8+G8</f>
        <v>0.51</v>
      </c>
      <c r="Q5" s="90">
        <f>C8+H8</f>
        <v>12670</v>
      </c>
      <c r="R5" s="90">
        <f t="shared" si="0"/>
        <v>24843.137254901962</v>
      </c>
    </row>
    <row r="6" spans="1:18" ht="15" thickTop="1" x14ac:dyDescent="0.3">
      <c r="A6" t="s">
        <v>122</v>
      </c>
      <c r="B6">
        <v>1.07</v>
      </c>
      <c r="C6" s="90">
        <v>56682</v>
      </c>
      <c r="F6" t="s">
        <v>122</v>
      </c>
      <c r="G6" s="102" t="s">
        <v>159</v>
      </c>
      <c r="H6" s="102" t="s">
        <v>159</v>
      </c>
      <c r="I6" s="102"/>
      <c r="K6" t="s">
        <v>122</v>
      </c>
      <c r="L6" s="102" t="s">
        <v>159</v>
      </c>
      <c r="M6" s="102" t="s">
        <v>159</v>
      </c>
      <c r="P6">
        <f>SUM(P3:P5)</f>
        <v>7.6</v>
      </c>
    </row>
    <row r="7" spans="1:18" x14ac:dyDescent="0.3">
      <c r="A7" t="s">
        <v>144</v>
      </c>
      <c r="B7">
        <v>0.03</v>
      </c>
      <c r="C7" s="90">
        <v>10540</v>
      </c>
      <c r="F7" t="s">
        <v>144</v>
      </c>
      <c r="G7" s="102" t="s">
        <v>159</v>
      </c>
      <c r="H7" s="102" t="s">
        <v>159</v>
      </c>
      <c r="I7" s="102"/>
      <c r="K7" t="s">
        <v>144</v>
      </c>
      <c r="L7">
        <v>1.75</v>
      </c>
      <c r="M7" s="90">
        <v>55998</v>
      </c>
    </row>
    <row r="8" spans="1:18" ht="15" thickBot="1" x14ac:dyDescent="0.35">
      <c r="A8" t="s">
        <v>123</v>
      </c>
      <c r="B8" s="117">
        <v>0.05</v>
      </c>
      <c r="C8" s="114">
        <v>1442</v>
      </c>
      <c r="F8" t="s">
        <v>123</v>
      </c>
      <c r="G8" s="117">
        <v>0.46</v>
      </c>
      <c r="H8" s="114">
        <v>11228</v>
      </c>
      <c r="I8" s="91"/>
      <c r="K8" t="s">
        <v>123</v>
      </c>
      <c r="L8" s="116" t="s">
        <v>159</v>
      </c>
      <c r="M8" s="116" t="s">
        <v>159</v>
      </c>
      <c r="O8" t="s">
        <v>13</v>
      </c>
      <c r="Q8" s="119">
        <f>30063+21220+33147</f>
        <v>84430</v>
      </c>
      <c r="R8" s="115">
        <f>Q8/SUM(M9+H9+C9)</f>
        <v>0.26606036541940037</v>
      </c>
    </row>
    <row r="9" spans="1:18" ht="15" thickTop="1" x14ac:dyDescent="0.3">
      <c r="B9">
        <f>SUM(B3:B8)</f>
        <v>1.4600000000000002</v>
      </c>
      <c r="C9" s="90">
        <f>SUM(C3:C8)</f>
        <v>89747</v>
      </c>
      <c r="D9">
        <v>1.5</v>
      </c>
      <c r="G9">
        <f>SUM(G3:G8)</f>
        <v>3.3200000000000003</v>
      </c>
      <c r="H9" s="90">
        <f>SUM(H3:H8)</f>
        <v>117989</v>
      </c>
      <c r="I9" s="354">
        <v>3.5</v>
      </c>
      <c r="L9">
        <f>SUM(L3:L8)</f>
        <v>2.8200000000000003</v>
      </c>
      <c r="M9" s="90">
        <f>SUM(M3:M8)</f>
        <v>109598</v>
      </c>
      <c r="N9">
        <v>5</v>
      </c>
    </row>
    <row r="10" spans="1:18" x14ac:dyDescent="0.3">
      <c r="H10" s="90"/>
      <c r="I10" s="90"/>
      <c r="M10" s="90"/>
    </row>
    <row r="11" spans="1:18" ht="15" thickBot="1" x14ac:dyDescent="0.35">
      <c r="A11" t="s">
        <v>13</v>
      </c>
      <c r="B11" s="115">
        <f>C11/C9</f>
        <v>0.33497498523627528</v>
      </c>
      <c r="C11" s="114">
        <f>10767+19296</f>
        <v>30063</v>
      </c>
      <c r="F11" t="s">
        <v>13</v>
      </c>
      <c r="G11" s="115">
        <f>H11/H9</f>
        <v>0.17984727389841426</v>
      </c>
      <c r="H11" s="114">
        <f>11799+9421</f>
        <v>21220</v>
      </c>
      <c r="I11" s="91"/>
      <c r="K11" t="s">
        <v>13</v>
      </c>
      <c r="L11" s="115">
        <f>M11/M9</f>
        <v>0.3024416503950802</v>
      </c>
      <c r="M11" s="114">
        <f>17255+15892</f>
        <v>33147</v>
      </c>
    </row>
    <row r="12" spans="1:18" ht="15" thickTop="1" x14ac:dyDescent="0.3">
      <c r="C12" s="90">
        <f>C9+C11</f>
        <v>119810</v>
      </c>
      <c r="H12" s="90">
        <f>H9+H11</f>
        <v>139209</v>
      </c>
      <c r="I12" s="90"/>
      <c r="M12" s="90">
        <f>M9+M11</f>
        <v>142745</v>
      </c>
    </row>
    <row r="13" spans="1:18" x14ac:dyDescent="0.3">
      <c r="H13" s="90"/>
      <c r="I13" s="90"/>
      <c r="M13" s="90"/>
      <c r="Q13" s="121" t="s">
        <v>164</v>
      </c>
    </row>
    <row r="14" spans="1:18" x14ac:dyDescent="0.3">
      <c r="A14" t="s">
        <v>4</v>
      </c>
      <c r="C14" s="90">
        <v>12568</v>
      </c>
      <c r="D14">
        <f>C14/B9</f>
        <v>8608.2191780821904</v>
      </c>
      <c r="F14" t="s">
        <v>4</v>
      </c>
      <c r="H14" s="90">
        <v>5531</v>
      </c>
      <c r="I14" s="90"/>
      <c r="K14" t="s">
        <v>4</v>
      </c>
      <c r="M14" s="90">
        <v>9000</v>
      </c>
      <c r="O14" t="s">
        <v>4</v>
      </c>
      <c r="Q14" s="90">
        <f>(M14+H14+C14)/$P$6</f>
        <v>3565.6578947368421</v>
      </c>
    </row>
    <row r="15" spans="1:18" x14ac:dyDescent="0.3">
      <c r="A15" t="s">
        <v>148</v>
      </c>
      <c r="C15" s="90">
        <v>400</v>
      </c>
      <c r="F15" t="s">
        <v>148</v>
      </c>
      <c r="H15" s="90">
        <v>200</v>
      </c>
      <c r="I15" s="90"/>
      <c r="K15" t="s">
        <v>148</v>
      </c>
      <c r="M15" s="90">
        <v>5500</v>
      </c>
      <c r="O15" t="s">
        <v>148</v>
      </c>
      <c r="Q15" s="90">
        <f t="shared" ref="Q15:Q17" si="1">(M15+H15+C15)/$P$6</f>
        <v>802.63157894736844</v>
      </c>
    </row>
    <row r="16" spans="1:18" x14ac:dyDescent="0.3">
      <c r="A16" t="s">
        <v>125</v>
      </c>
      <c r="C16" s="90">
        <v>497</v>
      </c>
      <c r="F16" t="s">
        <v>125</v>
      </c>
      <c r="H16" s="90">
        <v>300</v>
      </c>
      <c r="I16" s="90"/>
      <c r="K16" t="s">
        <v>125</v>
      </c>
      <c r="M16" s="90">
        <v>8600</v>
      </c>
      <c r="O16" t="s">
        <v>125</v>
      </c>
      <c r="Q16" s="90">
        <f t="shared" si="1"/>
        <v>1236.4473684210527</v>
      </c>
    </row>
    <row r="17" spans="1:18" x14ac:dyDescent="0.3">
      <c r="A17" t="s">
        <v>149</v>
      </c>
      <c r="C17" s="90">
        <v>35263</v>
      </c>
      <c r="F17" t="s">
        <v>149</v>
      </c>
      <c r="H17" s="90">
        <v>156182</v>
      </c>
      <c r="I17" s="90"/>
      <c r="K17" t="s">
        <v>149</v>
      </c>
      <c r="M17" s="90">
        <v>149533</v>
      </c>
      <c r="O17" t="s">
        <v>149</v>
      </c>
      <c r="Q17" s="90">
        <f t="shared" si="1"/>
        <v>44865.526315789473</v>
      </c>
    </row>
    <row r="18" spans="1:18" x14ac:dyDescent="0.3">
      <c r="A18" t="s">
        <v>150</v>
      </c>
      <c r="C18" s="90">
        <v>550</v>
      </c>
      <c r="F18" t="s">
        <v>156</v>
      </c>
      <c r="H18" s="90">
        <v>1820</v>
      </c>
      <c r="I18" s="90"/>
      <c r="K18" t="s">
        <v>156</v>
      </c>
      <c r="M18" s="90">
        <v>82120</v>
      </c>
      <c r="O18" t="s">
        <v>156</v>
      </c>
      <c r="Q18" s="90">
        <f>(M18+H18)/$P$6</f>
        <v>11044.736842105263</v>
      </c>
    </row>
    <row r="19" spans="1:18" x14ac:dyDescent="0.3">
      <c r="A19" t="s">
        <v>151</v>
      </c>
      <c r="C19" s="90">
        <v>7315</v>
      </c>
      <c r="F19" t="s">
        <v>150</v>
      </c>
      <c r="H19" s="90">
        <v>550</v>
      </c>
      <c r="I19" s="90"/>
      <c r="K19" t="s">
        <v>151</v>
      </c>
      <c r="M19" s="90"/>
      <c r="O19" t="s">
        <v>150</v>
      </c>
      <c r="Q19" s="90">
        <f>(C18+H19)/P6</f>
        <v>144.73684210526318</v>
      </c>
    </row>
    <row r="20" spans="1:18" x14ac:dyDescent="0.3">
      <c r="A20" t="s">
        <v>152</v>
      </c>
      <c r="C20" s="90">
        <v>2400</v>
      </c>
      <c r="F20" t="s">
        <v>152</v>
      </c>
      <c r="H20" s="90"/>
      <c r="I20" s="90"/>
      <c r="K20" t="s">
        <v>152</v>
      </c>
      <c r="M20" s="90"/>
      <c r="O20" t="s">
        <v>151</v>
      </c>
      <c r="Q20" s="90">
        <f>C19/P6</f>
        <v>962.5</v>
      </c>
    </row>
    <row r="21" spans="1:18" x14ac:dyDescent="0.3">
      <c r="A21" t="s">
        <v>154</v>
      </c>
      <c r="C21" s="91">
        <v>3193</v>
      </c>
      <c r="F21" t="s">
        <v>154</v>
      </c>
      <c r="H21" s="91">
        <v>20565</v>
      </c>
      <c r="I21" s="91"/>
      <c r="K21" t="s">
        <v>154</v>
      </c>
      <c r="M21" s="91">
        <v>600</v>
      </c>
      <c r="O21" t="s">
        <v>152</v>
      </c>
      <c r="Q21" s="90">
        <f>C20/P6</f>
        <v>315.78947368421052</v>
      </c>
    </row>
    <row r="22" spans="1:18" ht="15" thickBot="1" x14ac:dyDescent="0.35">
      <c r="A22" t="s">
        <v>153</v>
      </c>
      <c r="C22" s="114">
        <v>3797</v>
      </c>
      <c r="F22" t="s">
        <v>153</v>
      </c>
      <c r="H22" s="114">
        <v>5010</v>
      </c>
      <c r="I22" s="91"/>
      <c r="K22" t="s">
        <v>153</v>
      </c>
      <c r="M22" s="114">
        <v>1088</v>
      </c>
      <c r="O22" t="s">
        <v>154</v>
      </c>
      <c r="Q22" s="90">
        <f>(M21+H21+C21)/P6</f>
        <v>3205</v>
      </c>
    </row>
    <row r="23" spans="1:18" ht="15" thickTop="1" x14ac:dyDescent="0.3">
      <c r="C23" s="90">
        <f>SUM(C14:C22)</f>
        <v>65983</v>
      </c>
      <c r="H23" s="90">
        <f>SUM(H14:H22)</f>
        <v>190158</v>
      </c>
      <c r="I23" s="90"/>
      <c r="M23" s="90">
        <f>SUM(M14:M22)</f>
        <v>256441</v>
      </c>
      <c r="O23" t="s">
        <v>153</v>
      </c>
      <c r="Q23" s="90">
        <f>(M22+H22+C22)/P6</f>
        <v>1301.9736842105265</v>
      </c>
    </row>
    <row r="24" spans="1:18" x14ac:dyDescent="0.3">
      <c r="H24" s="90"/>
      <c r="I24" s="90"/>
      <c r="M24" s="90"/>
    </row>
    <row r="25" spans="1:18" x14ac:dyDescent="0.3">
      <c r="C25" s="90">
        <f>C12+C23</f>
        <v>185793</v>
      </c>
      <c r="H25" s="90">
        <f>H12+H23</f>
        <v>329367</v>
      </c>
      <c r="I25" s="90"/>
      <c r="M25" s="90">
        <f>M12+M23</f>
        <v>399186</v>
      </c>
    </row>
    <row r="26" spans="1:18" ht="15" thickBot="1" x14ac:dyDescent="0.35">
      <c r="A26" t="s">
        <v>5</v>
      </c>
      <c r="B26" s="115">
        <f>C26/C25</f>
        <v>8.9998008536381888E-2</v>
      </c>
      <c r="C26" s="114">
        <v>16721</v>
      </c>
      <c r="F26" t="s">
        <v>5</v>
      </c>
      <c r="G26" s="115">
        <f>H26/H25</f>
        <v>7.2350903399551261E-2</v>
      </c>
      <c r="H26" s="114">
        <v>23830</v>
      </c>
      <c r="I26" s="91"/>
      <c r="K26" t="s">
        <v>5</v>
      </c>
      <c r="L26" s="115">
        <f>M26/M25</f>
        <v>0.12999704398450848</v>
      </c>
      <c r="M26" s="114">
        <v>51893</v>
      </c>
      <c r="O26" t="s">
        <v>5</v>
      </c>
      <c r="Q26" s="120">
        <f>M26+H26+C26</f>
        <v>92444</v>
      </c>
      <c r="R26" s="115">
        <f>Q26/(M25+H25+C25)</f>
        <v>0.10110395845773919</v>
      </c>
    </row>
    <row r="27" spans="1:18" ht="15" thickTop="1" x14ac:dyDescent="0.3">
      <c r="C27" s="90">
        <f>SUM(C25:C26)</f>
        <v>202514</v>
      </c>
      <c r="H27" s="90">
        <f>SUM(H25:H26)</f>
        <v>353197</v>
      </c>
      <c r="I27" s="90"/>
      <c r="M27" s="90">
        <f>SUM(M25:M26)</f>
        <v>451079</v>
      </c>
    </row>
  </sheetData>
  <mergeCells count="3">
    <mergeCell ref="A1:C1"/>
    <mergeCell ref="K1:M1"/>
    <mergeCell ref="F1:H1"/>
  </mergeCells>
  <pageMargins left="0.7" right="0.7" top="0.75" bottom="0.75" header="0.3" footer="0.3"/>
  <pageSetup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2:X58"/>
  <sheetViews>
    <sheetView zoomScale="70" zoomScaleNormal="70" workbookViewId="0">
      <selection activeCell="S29" sqref="S29"/>
    </sheetView>
  </sheetViews>
  <sheetFormatPr defaultRowHeight="14.4" x14ac:dyDescent="0.3"/>
  <cols>
    <col min="1" max="1" width="4.5546875" customWidth="1"/>
    <col min="2" max="2" width="16" style="1" customWidth="1"/>
    <col min="3" max="3" width="14.5546875" style="1" customWidth="1"/>
    <col min="4" max="4" width="18.6640625" style="1" customWidth="1"/>
    <col min="5" max="5" width="4.44140625" style="1" customWidth="1"/>
    <col min="6" max="6" width="20.33203125" style="1" customWidth="1"/>
    <col min="7" max="7" width="10.33203125" customWidth="1"/>
    <col min="8" max="8" width="9.6640625" bestFit="1" customWidth="1"/>
    <col min="9" max="9" width="15.33203125" customWidth="1"/>
    <col min="10" max="10" width="4.109375" customWidth="1"/>
    <col min="11" max="11" width="18.88671875" style="1" customWidth="1"/>
    <col min="12" max="12" width="10.88671875" customWidth="1"/>
    <col min="13" max="13" width="13.88671875" bestFit="1" customWidth="1"/>
    <col min="14" max="14" width="15.33203125" customWidth="1"/>
    <col min="15" max="15" width="4.33203125" customWidth="1"/>
    <col min="16" max="16" width="18.88671875" style="1" customWidth="1"/>
    <col min="17" max="17" width="9.44140625" bestFit="1" customWidth="1"/>
    <col min="18" max="18" width="9.6640625" bestFit="1" customWidth="1"/>
    <col min="19" max="19" width="15.33203125" customWidth="1"/>
    <col min="20" max="20" width="5.109375" customWidth="1"/>
    <col min="21" max="21" width="21.33203125" customWidth="1"/>
    <col min="24" max="24" width="15.33203125" bestFit="1" customWidth="1"/>
  </cols>
  <sheetData>
    <row r="2" spans="2:24" ht="15" thickBot="1" x14ac:dyDescent="0.35"/>
    <row r="3" spans="2:24" ht="15" thickBot="1" x14ac:dyDescent="0.35">
      <c r="B3" s="529" t="s">
        <v>6</v>
      </c>
      <c r="C3" s="530"/>
      <c r="D3" s="531"/>
      <c r="F3" s="518" t="s">
        <v>208</v>
      </c>
      <c r="G3" s="519"/>
      <c r="H3" s="519"/>
      <c r="I3" s="520"/>
      <c r="K3" s="518" t="s">
        <v>208</v>
      </c>
      <c r="L3" s="519"/>
      <c r="M3" s="519"/>
      <c r="N3" s="520"/>
      <c r="P3" s="518" t="s">
        <v>208</v>
      </c>
      <c r="Q3" s="519"/>
      <c r="R3" s="519"/>
      <c r="S3" s="520"/>
      <c r="U3" s="518" t="s">
        <v>208</v>
      </c>
      <c r="V3" s="519"/>
      <c r="W3" s="519"/>
      <c r="X3" s="520"/>
    </row>
    <row r="4" spans="2:24" ht="15" thickBot="1" x14ac:dyDescent="0.35">
      <c r="B4" s="532" t="s">
        <v>208</v>
      </c>
      <c r="C4" s="533"/>
      <c r="D4" s="534"/>
      <c r="F4" s="518" t="s">
        <v>192</v>
      </c>
      <c r="G4" s="519"/>
      <c r="H4" s="519"/>
      <c r="I4" s="520"/>
      <c r="K4" s="518" t="s">
        <v>191</v>
      </c>
      <c r="L4" s="519"/>
      <c r="M4" s="519"/>
      <c r="N4" s="520"/>
      <c r="P4" s="518" t="s">
        <v>193</v>
      </c>
      <c r="Q4" s="519"/>
      <c r="R4" s="519"/>
      <c r="S4" s="520"/>
      <c r="U4" s="518" t="s">
        <v>195</v>
      </c>
      <c r="V4" s="519"/>
      <c r="W4" s="519"/>
      <c r="X4" s="520"/>
    </row>
    <row r="5" spans="2:24" x14ac:dyDescent="0.3">
      <c r="B5" s="514" t="s">
        <v>7</v>
      </c>
      <c r="C5" s="528"/>
      <c r="D5" s="128" t="s">
        <v>8</v>
      </c>
      <c r="F5" s="4"/>
      <c r="G5" s="521"/>
      <c r="H5" s="521"/>
      <c r="I5" s="5"/>
      <c r="K5" s="4"/>
      <c r="L5" s="521"/>
      <c r="M5" s="521"/>
      <c r="N5" s="5"/>
      <c r="P5" s="4"/>
      <c r="Q5" s="521"/>
      <c r="R5" s="521"/>
      <c r="S5" s="5"/>
      <c r="U5" s="4"/>
      <c r="V5" s="521"/>
      <c r="W5" s="521"/>
      <c r="X5" s="5"/>
    </row>
    <row r="6" spans="2:24" x14ac:dyDescent="0.3">
      <c r="B6" s="6" t="str">
        <f>'FBCS Contract Data '!Q3</f>
        <v>Management</v>
      </c>
      <c r="C6" s="123">
        <f>'FBCS Contract Data '!T3</f>
        <v>37970.334928229669</v>
      </c>
      <c r="D6" s="129" t="s">
        <v>128</v>
      </c>
      <c r="F6" s="7" t="s">
        <v>9</v>
      </c>
      <c r="G6" s="8" t="s">
        <v>10</v>
      </c>
      <c r="H6" s="8" t="s">
        <v>1</v>
      </c>
      <c r="I6" s="9" t="s">
        <v>11</v>
      </c>
      <c r="K6" s="7" t="s">
        <v>9</v>
      </c>
      <c r="L6" s="8" t="s">
        <v>10</v>
      </c>
      <c r="M6" s="8" t="s">
        <v>1</v>
      </c>
      <c r="N6" s="9" t="s">
        <v>11</v>
      </c>
      <c r="P6" s="7" t="s">
        <v>9</v>
      </c>
      <c r="Q6" s="8" t="s">
        <v>10</v>
      </c>
      <c r="R6" s="8" t="s">
        <v>1</v>
      </c>
      <c r="S6" s="9" t="s">
        <v>11</v>
      </c>
      <c r="U6" s="7" t="s">
        <v>9</v>
      </c>
      <c r="V6" s="8" t="s">
        <v>10</v>
      </c>
      <c r="W6" s="8" t="s">
        <v>1</v>
      </c>
      <c r="X6" s="9" t="s">
        <v>11</v>
      </c>
    </row>
    <row r="7" spans="2:24" x14ac:dyDescent="0.3">
      <c r="B7" s="10" t="str">
        <f>'FBCS Contract Data '!Q4</f>
        <v xml:space="preserve">DC Staff </v>
      </c>
      <c r="C7" s="124">
        <f>'FBCS Contract Data '!T4</f>
        <v>25695.714285714286</v>
      </c>
      <c r="D7" s="129" t="s">
        <v>128</v>
      </c>
      <c r="F7" s="12" t="str">
        <f>B10</f>
        <v>Management</v>
      </c>
      <c r="G7" s="13">
        <f>C6</f>
        <v>37970.334928229669</v>
      </c>
      <c r="H7" s="14">
        <v>0.02</v>
      </c>
      <c r="I7" s="15">
        <f>G7*H7</f>
        <v>759.4066985645934</v>
      </c>
      <c r="K7" s="6" t="str">
        <f>B6</f>
        <v>Management</v>
      </c>
      <c r="L7" s="158">
        <f>C6</f>
        <v>37970.334928229669</v>
      </c>
      <c r="M7" s="14">
        <v>0.04</v>
      </c>
      <c r="N7" s="15">
        <f>L7*M7</f>
        <v>1518.8133971291868</v>
      </c>
      <c r="P7" s="12" t="str">
        <f>B6</f>
        <v>Management</v>
      </c>
      <c r="Q7" s="158">
        <f>C6</f>
        <v>37970.334928229669</v>
      </c>
      <c r="R7" s="14">
        <v>0.08</v>
      </c>
      <c r="S7" s="15">
        <f>Q7*R7</f>
        <v>3037.6267942583736</v>
      </c>
      <c r="U7" s="12" t="str">
        <f>B6</f>
        <v>Management</v>
      </c>
      <c r="V7" s="158">
        <f>C6</f>
        <v>37970.334928229669</v>
      </c>
      <c r="W7" s="14">
        <v>0.15</v>
      </c>
      <c r="X7" s="15">
        <f>V7*W7</f>
        <v>5695.5502392344506</v>
      </c>
    </row>
    <row r="8" spans="2:24" ht="15" thickBot="1" x14ac:dyDescent="0.35">
      <c r="B8" s="10"/>
      <c r="C8" s="124"/>
      <c r="D8" s="129"/>
      <c r="F8" s="18" t="str">
        <f>B11</f>
        <v xml:space="preserve">DC Staff </v>
      </c>
      <c r="G8" s="13">
        <f>C7</f>
        <v>25695.714285714286</v>
      </c>
      <c r="H8" s="14">
        <v>0.25</v>
      </c>
      <c r="I8" s="15">
        <f>G8*H8</f>
        <v>6423.9285714285716</v>
      </c>
      <c r="K8" s="6" t="str">
        <f t="shared" ref="K8:L8" si="0">B7</f>
        <v xml:space="preserve">DC Staff </v>
      </c>
      <c r="L8" s="158">
        <f t="shared" si="0"/>
        <v>25695.714285714286</v>
      </c>
      <c r="M8" s="14">
        <v>0.5</v>
      </c>
      <c r="N8" s="15">
        <f>L8*M8</f>
        <v>12847.857142857143</v>
      </c>
      <c r="P8" s="12" t="str">
        <f t="shared" ref="P8:Q8" si="1">B7</f>
        <v xml:space="preserve">DC Staff </v>
      </c>
      <c r="Q8" s="158">
        <f t="shared" si="1"/>
        <v>25695.714285714286</v>
      </c>
      <c r="R8" s="14">
        <v>0.75</v>
      </c>
      <c r="S8" s="15">
        <f>Q8*R8</f>
        <v>19271.785714285714</v>
      </c>
      <c r="U8" s="12" t="str">
        <f>B7</f>
        <v xml:space="preserve">DC Staff </v>
      </c>
      <c r="V8" s="158">
        <f>C7</f>
        <v>25695.714285714286</v>
      </c>
      <c r="W8" s="14">
        <v>1</v>
      </c>
      <c r="X8" s="15">
        <f>V8*W8</f>
        <v>25695.714285714286</v>
      </c>
    </row>
    <row r="9" spans="2:24" x14ac:dyDescent="0.3">
      <c r="B9" s="134"/>
      <c r="C9" s="135" t="s">
        <v>12</v>
      </c>
      <c r="D9" s="136"/>
      <c r="F9" s="23" t="s">
        <v>3</v>
      </c>
      <c r="G9" s="24"/>
      <c r="H9" s="25">
        <f>SUM(H7:H8)</f>
        <v>0.27</v>
      </c>
      <c r="I9" s="26">
        <f>SUM(I7:I8)</f>
        <v>7183.3352699931647</v>
      </c>
      <c r="K9" s="23" t="s">
        <v>3</v>
      </c>
      <c r="L9" s="24"/>
      <c r="M9" s="25">
        <f>SUM(M7:M8)</f>
        <v>0.54</v>
      </c>
      <c r="N9" s="26">
        <f>SUM(N7:N8)</f>
        <v>14366.670539986329</v>
      </c>
      <c r="P9" s="23" t="s">
        <v>3</v>
      </c>
      <c r="Q9" s="24"/>
      <c r="R9" s="25">
        <f>SUM(R7:R8)</f>
        <v>0.83</v>
      </c>
      <c r="S9" s="26">
        <f>SUM(S7:S8)</f>
        <v>22309.412508544086</v>
      </c>
      <c r="U9" s="23" t="s">
        <v>3</v>
      </c>
      <c r="V9" s="24"/>
      <c r="W9" s="25">
        <f>SUM(W7:W8)</f>
        <v>1.1499999999999999</v>
      </c>
      <c r="X9" s="26">
        <f>SUM(X7:X8)</f>
        <v>31391.264524948736</v>
      </c>
    </row>
    <row r="10" spans="2:24" x14ac:dyDescent="0.3">
      <c r="B10" s="6" t="str">
        <f>B6</f>
        <v>Management</v>
      </c>
      <c r="C10" s="125">
        <v>1</v>
      </c>
      <c r="D10" s="129" t="s">
        <v>128</v>
      </c>
      <c r="F10" s="27"/>
      <c r="G10" s="28"/>
      <c r="H10" s="29"/>
      <c r="I10" s="30"/>
      <c r="K10" s="27"/>
      <c r="L10" s="28"/>
      <c r="M10" s="29"/>
      <c r="N10" s="30"/>
      <c r="P10" s="27"/>
      <c r="Q10" s="28"/>
      <c r="R10" s="29"/>
      <c r="S10" s="30"/>
      <c r="U10" s="27"/>
      <c r="V10" s="28"/>
      <c r="W10" s="29"/>
      <c r="X10" s="30"/>
    </row>
    <row r="11" spans="2:24" x14ac:dyDescent="0.3">
      <c r="B11" s="10" t="str">
        <f>B7</f>
        <v xml:space="preserve">DC Staff </v>
      </c>
      <c r="C11" s="125">
        <v>1</v>
      </c>
      <c r="D11" s="129" t="s">
        <v>128</v>
      </c>
      <c r="F11" s="32" t="s">
        <v>13</v>
      </c>
      <c r="G11" s="33">
        <f>C13</f>
        <v>0.19230142889244314</v>
      </c>
      <c r="H11" s="28"/>
      <c r="I11" s="15">
        <f>G11*I9</f>
        <v>1381.3656366331695</v>
      </c>
      <c r="K11" s="32" t="s">
        <v>13</v>
      </c>
      <c r="L11" s="33">
        <f>C13</f>
        <v>0.19230142889244314</v>
      </c>
      <c r="M11" s="28"/>
      <c r="N11" s="15">
        <f>L11*N9</f>
        <v>2762.731273266339</v>
      </c>
      <c r="P11" s="32" t="s">
        <v>13</v>
      </c>
      <c r="Q11" s="33">
        <f>C13</f>
        <v>0.19230142889244314</v>
      </c>
      <c r="R11" s="28"/>
      <c r="S11" s="15">
        <f>Q11*S9</f>
        <v>4290.1319031439725</v>
      </c>
      <c r="U11" s="32" t="s">
        <v>13</v>
      </c>
      <c r="V11" s="33">
        <f>C13</f>
        <v>0.19230142889244314</v>
      </c>
      <c r="W11" s="28"/>
      <c r="X11" s="15">
        <f>V11*X9</f>
        <v>6036.5850228883028</v>
      </c>
    </row>
    <row r="12" spans="2:24" ht="15" thickBot="1" x14ac:dyDescent="0.35">
      <c r="B12" s="40"/>
      <c r="C12" s="137"/>
      <c r="D12" s="133"/>
      <c r="F12" s="23" t="s">
        <v>14</v>
      </c>
      <c r="G12" s="24"/>
      <c r="H12" s="34"/>
      <c r="I12" s="26">
        <f>SUM(I9:I11)</f>
        <v>8564.7009066263345</v>
      </c>
      <c r="K12" s="23" t="s">
        <v>14</v>
      </c>
      <c r="L12" s="24"/>
      <c r="M12" s="34"/>
      <c r="N12" s="26">
        <f>SUM(N9:N11)</f>
        <v>17129.401813252669</v>
      </c>
      <c r="P12" s="23" t="s">
        <v>14</v>
      </c>
      <c r="Q12" s="24"/>
      <c r="R12" s="34"/>
      <c r="S12" s="26">
        <f>SUM(S9:S11)</f>
        <v>26599.544411688061</v>
      </c>
      <c r="U12" s="23" t="s">
        <v>14</v>
      </c>
      <c r="V12" s="24"/>
      <c r="W12" s="34"/>
      <c r="X12" s="26">
        <f>SUM(X9:X11)</f>
        <v>37427.849547837039</v>
      </c>
    </row>
    <row r="13" spans="2:24" ht="15" thickBot="1" x14ac:dyDescent="0.35">
      <c r="B13" s="143" t="s">
        <v>13</v>
      </c>
      <c r="C13" s="144">
        <f>'FBCS Contract Data '!T8</f>
        <v>0.19230142889244314</v>
      </c>
      <c r="D13" s="145"/>
      <c r="F13" s="27"/>
      <c r="G13" s="29"/>
      <c r="H13" s="36" t="s">
        <v>162</v>
      </c>
      <c r="I13" s="37"/>
      <c r="K13" s="27"/>
      <c r="L13" s="29"/>
      <c r="M13" s="36" t="s">
        <v>162</v>
      </c>
      <c r="N13" s="37"/>
      <c r="P13" s="27"/>
      <c r="Q13" s="29"/>
      <c r="R13" s="36" t="s">
        <v>162</v>
      </c>
      <c r="S13" s="37"/>
      <c r="U13" s="27"/>
      <c r="V13" s="29"/>
      <c r="W13" s="36" t="s">
        <v>162</v>
      </c>
      <c r="X13" s="37"/>
    </row>
    <row r="14" spans="2:24" x14ac:dyDescent="0.3">
      <c r="B14" s="142"/>
      <c r="C14" s="206" t="s">
        <v>162</v>
      </c>
      <c r="D14" s="129"/>
      <c r="F14" s="130" t="s">
        <v>4</v>
      </c>
      <c r="G14" s="29"/>
      <c r="H14" s="146">
        <f>C15</f>
        <v>2716.9734151329244</v>
      </c>
      <c r="I14" s="37">
        <f>H14*H9</f>
        <v>733.58282208588969</v>
      </c>
      <c r="K14" s="130" t="s">
        <v>4</v>
      </c>
      <c r="L14" s="29"/>
      <c r="M14" s="146">
        <f>H14</f>
        <v>2716.9734151329244</v>
      </c>
      <c r="N14" s="37">
        <f>M14*M9</f>
        <v>1467.1656441717794</v>
      </c>
      <c r="P14" s="130" t="s">
        <v>4</v>
      </c>
      <c r="Q14" s="29"/>
      <c r="R14" s="146">
        <f>M14</f>
        <v>2716.9734151329244</v>
      </c>
      <c r="S14" s="37">
        <f>R14*R9</f>
        <v>2255.0879345603271</v>
      </c>
      <c r="U14" s="130" t="s">
        <v>4</v>
      </c>
      <c r="V14" s="29"/>
      <c r="W14" s="146">
        <f>R14</f>
        <v>2716.9734151329244</v>
      </c>
      <c r="X14" s="37">
        <f>W14*W9</f>
        <v>3124.5194274028627</v>
      </c>
    </row>
    <row r="15" spans="2:24" x14ac:dyDescent="0.3">
      <c r="B15" s="130" t="s">
        <v>4</v>
      </c>
      <c r="C15" s="126">
        <f>'FBCS Contract Data '!S14</f>
        <v>2716.9734151329244</v>
      </c>
      <c r="D15" s="129" t="s">
        <v>128</v>
      </c>
      <c r="F15" s="130" t="s">
        <v>125</v>
      </c>
      <c r="G15" s="29"/>
      <c r="H15" s="146">
        <f>C16</f>
        <v>1973.0061349693253</v>
      </c>
      <c r="I15" s="37">
        <f>H15*H9</f>
        <v>532.71165644171788</v>
      </c>
      <c r="K15" s="130" t="s">
        <v>125</v>
      </c>
      <c r="L15" s="29"/>
      <c r="M15" s="146">
        <f t="shared" ref="M15:M16" si="2">H15</f>
        <v>1973.0061349693253</v>
      </c>
      <c r="N15" s="37">
        <f>M15*M9</f>
        <v>1065.4233128834358</v>
      </c>
      <c r="P15" s="130" t="s">
        <v>125</v>
      </c>
      <c r="Q15" s="29"/>
      <c r="R15" s="146">
        <f t="shared" ref="R15:R16" si="3">M15</f>
        <v>1973.0061349693253</v>
      </c>
      <c r="S15" s="37">
        <f>R15*R9</f>
        <v>1637.59509202454</v>
      </c>
      <c r="U15" s="130" t="s">
        <v>125</v>
      </c>
      <c r="V15" s="29"/>
      <c r="W15" s="146">
        <f t="shared" ref="W15:W16" si="4">R15</f>
        <v>1973.0061349693253</v>
      </c>
      <c r="X15" s="37">
        <f>W15*W9</f>
        <v>2268.9570552147238</v>
      </c>
    </row>
    <row r="16" spans="2:24" x14ac:dyDescent="0.3">
      <c r="B16" s="130" t="s">
        <v>125</v>
      </c>
      <c r="C16" s="126">
        <f>'FBCS Contract Data '!S15</f>
        <v>1973.0061349693253</v>
      </c>
      <c r="D16" s="129" t="s">
        <v>128</v>
      </c>
      <c r="F16" s="130" t="s">
        <v>0</v>
      </c>
      <c r="G16" s="29"/>
      <c r="H16" s="146">
        <f>C17</f>
        <v>330.5</v>
      </c>
      <c r="I16" s="37">
        <f>H16*H9</f>
        <v>89.234999999999999</v>
      </c>
      <c r="K16" s="130" t="s">
        <v>0</v>
      </c>
      <c r="L16" s="29"/>
      <c r="M16" s="146">
        <f t="shared" si="2"/>
        <v>330.5</v>
      </c>
      <c r="N16" s="37">
        <f>M16*M9</f>
        <v>178.47</v>
      </c>
      <c r="P16" s="130" t="s">
        <v>0</v>
      </c>
      <c r="Q16" s="29"/>
      <c r="R16" s="146">
        <f t="shared" si="3"/>
        <v>330.5</v>
      </c>
      <c r="S16" s="37">
        <f>R16*R9</f>
        <v>274.315</v>
      </c>
      <c r="U16" s="130" t="s">
        <v>0</v>
      </c>
      <c r="V16" s="29"/>
      <c r="W16" s="146">
        <f t="shared" si="4"/>
        <v>330.5</v>
      </c>
      <c r="X16" s="37">
        <f>W16*W9</f>
        <v>380.07499999999999</v>
      </c>
    </row>
    <row r="17" spans="2:24" x14ac:dyDescent="0.3">
      <c r="B17" s="130" t="s">
        <v>0</v>
      </c>
      <c r="C17" s="126">
        <f>'FBCS Contract Data '!S16</f>
        <v>330.5</v>
      </c>
      <c r="D17" s="129" t="s">
        <v>128</v>
      </c>
      <c r="F17" s="23" t="s">
        <v>17</v>
      </c>
      <c r="G17" s="24"/>
      <c r="H17" s="24"/>
      <c r="I17" s="26">
        <f>SUM(I12:I16)</f>
        <v>9920.2303851539418</v>
      </c>
      <c r="K17" s="23" t="s">
        <v>17</v>
      </c>
      <c r="L17" s="24"/>
      <c r="M17" s="24"/>
      <c r="N17" s="26">
        <f>SUM(N12:N16)</f>
        <v>19840.460770307884</v>
      </c>
      <c r="P17" s="23" t="s">
        <v>17</v>
      </c>
      <c r="Q17" s="24"/>
      <c r="R17" s="24"/>
      <c r="S17" s="26">
        <f>SUM(S12:S16)</f>
        <v>30766.542438272929</v>
      </c>
      <c r="U17" s="23" t="s">
        <v>17</v>
      </c>
      <c r="V17" s="24"/>
      <c r="W17" s="24"/>
      <c r="X17" s="26">
        <f>SUM(X12:X16)</f>
        <v>43201.401030454625</v>
      </c>
    </row>
    <row r="18" spans="2:24" ht="15" thickBot="1" x14ac:dyDescent="0.35">
      <c r="B18" s="131"/>
      <c r="C18" s="126"/>
      <c r="D18" s="132"/>
      <c r="F18" s="32" t="s">
        <v>16</v>
      </c>
      <c r="G18" s="33">
        <f>C19</f>
        <v>0.12842001052915919</v>
      </c>
      <c r="H18" s="28"/>
      <c r="I18" s="15">
        <f>G18*I17</f>
        <v>1273.9560905131541</v>
      </c>
      <c r="K18" s="32" t="s">
        <v>16</v>
      </c>
      <c r="L18" s="33">
        <f>C19</f>
        <v>0.12842001052915919</v>
      </c>
      <c r="M18" s="28"/>
      <c r="N18" s="15">
        <f>L18*N17</f>
        <v>2547.9121810263082</v>
      </c>
      <c r="P18" s="32" t="s">
        <v>16</v>
      </c>
      <c r="Q18" s="33">
        <f>C19</f>
        <v>0.12842001052915919</v>
      </c>
      <c r="R18" s="28"/>
      <c r="S18" s="15">
        <f>Q18*S17</f>
        <v>3951.0397038688325</v>
      </c>
      <c r="U18" s="32" t="s">
        <v>16</v>
      </c>
      <c r="V18" s="33">
        <f>C19</f>
        <v>0.12842001052915919</v>
      </c>
      <c r="W18" s="28"/>
      <c r="X18" s="15">
        <f>V18*X17</f>
        <v>5547.9243752054117</v>
      </c>
    </row>
    <row r="19" spans="2:24" ht="15" thickBot="1" x14ac:dyDescent="0.35">
      <c r="B19" s="138" t="s">
        <v>166</v>
      </c>
      <c r="C19" s="141">
        <f>'FBCS Contract Data '!T20</f>
        <v>0.12842001052915919</v>
      </c>
      <c r="D19" s="140"/>
      <c r="F19" s="32"/>
      <c r="G19" s="33"/>
      <c r="H19" s="28"/>
      <c r="I19" s="15"/>
      <c r="K19" s="32"/>
      <c r="L19" s="33"/>
      <c r="M19" s="28"/>
      <c r="N19" s="15"/>
      <c r="P19" s="32"/>
      <c r="Q19" s="33"/>
      <c r="R19" s="28"/>
      <c r="S19" s="15"/>
      <c r="U19" s="32"/>
      <c r="V19" s="33"/>
      <c r="W19" s="28"/>
      <c r="X19" s="15"/>
    </row>
    <row r="20" spans="2:24" ht="15" thickBot="1" x14ac:dyDescent="0.35">
      <c r="B20" s="138" t="s">
        <v>165</v>
      </c>
      <c r="C20" s="141">
        <f>'CAF Sp 2016'!BD40</f>
        <v>4.2774125940745131E-2</v>
      </c>
      <c r="D20" s="139"/>
      <c r="F20" s="42" t="s">
        <v>19</v>
      </c>
      <c r="G20" s="43"/>
      <c r="H20" s="43"/>
      <c r="I20" s="44">
        <f>SUM(I17:I18)</f>
        <v>11194.186475667097</v>
      </c>
      <c r="K20" s="42" t="s">
        <v>19</v>
      </c>
      <c r="L20" s="43"/>
      <c r="M20" s="43"/>
      <c r="N20" s="44">
        <f>SUM(N17:N18)</f>
        <v>22388.372951334193</v>
      </c>
      <c r="P20" s="42" t="s">
        <v>19</v>
      </c>
      <c r="Q20" s="43"/>
      <c r="R20" s="43"/>
      <c r="S20" s="44">
        <f>SUM(S17:S18)</f>
        <v>34717.582142141764</v>
      </c>
      <c r="U20" s="42" t="s">
        <v>19</v>
      </c>
      <c r="V20" s="43"/>
      <c r="W20" s="43"/>
      <c r="X20" s="44">
        <f>SUM(X17:X18)</f>
        <v>48749.325405660034</v>
      </c>
    </row>
    <row r="21" spans="2:24" x14ac:dyDescent="0.3">
      <c r="F21" s="32" t="s">
        <v>20</v>
      </c>
      <c r="G21" s="45">
        <f>C20</f>
        <v>4.2774125940745131E-2</v>
      </c>
      <c r="H21" s="28"/>
      <c r="I21" s="46">
        <f>I20+(I20*G21)</f>
        <v>11673.008017781467</v>
      </c>
      <c r="K21" s="32" t="s">
        <v>20</v>
      </c>
      <c r="L21" s="45">
        <f>C20</f>
        <v>4.2774125940745131E-2</v>
      </c>
      <c r="M21" s="28"/>
      <c r="N21" s="46">
        <f>N20+(N20*L21)</f>
        <v>23346.016035562934</v>
      </c>
      <c r="P21" s="32" t="s">
        <v>20</v>
      </c>
      <c r="Q21" s="45">
        <f>C20</f>
        <v>4.2774125940745131E-2</v>
      </c>
      <c r="R21" s="28"/>
      <c r="S21" s="46">
        <f>S20+(S20*Q21)</f>
        <v>36202.596373047898</v>
      </c>
      <c r="U21" s="32" t="s">
        <v>20</v>
      </c>
      <c r="V21" s="45">
        <f>C20</f>
        <v>4.2774125940745131E-2</v>
      </c>
      <c r="W21" s="28"/>
      <c r="X21" s="46">
        <f>X20+(X20*V21)</f>
        <v>50834.5351900881</v>
      </c>
    </row>
    <row r="22" spans="2:24" x14ac:dyDescent="0.3">
      <c r="F22" s="32"/>
      <c r="G22" s="28"/>
      <c r="H22" s="28"/>
      <c r="I22" s="47" t="s">
        <v>21</v>
      </c>
      <c r="K22" s="32"/>
      <c r="L22" s="28"/>
      <c r="M22" s="28"/>
      <c r="N22" s="47" t="s">
        <v>21</v>
      </c>
      <c r="P22" s="32"/>
      <c r="Q22" s="28"/>
      <c r="R22" s="28"/>
      <c r="S22" s="47" t="s">
        <v>21</v>
      </c>
      <c r="U22" s="32"/>
      <c r="V22" s="28"/>
      <c r="W22" s="28"/>
      <c r="X22" s="47" t="s">
        <v>21</v>
      </c>
    </row>
    <row r="23" spans="2:24" ht="15" thickBot="1" x14ac:dyDescent="0.35">
      <c r="F23" s="48" t="s">
        <v>131</v>
      </c>
      <c r="G23" s="49"/>
      <c r="H23" s="50"/>
      <c r="I23" s="172">
        <f>I21/12</f>
        <v>972.75066814845559</v>
      </c>
      <c r="K23" s="48" t="s">
        <v>131</v>
      </c>
      <c r="L23" s="49"/>
      <c r="M23" s="50"/>
      <c r="N23" s="172">
        <f>N21/12</f>
        <v>1945.5013362969112</v>
      </c>
      <c r="P23" s="48" t="s">
        <v>131</v>
      </c>
      <c r="Q23" s="49"/>
      <c r="R23" s="50"/>
      <c r="S23" s="172">
        <f>S21/12</f>
        <v>3016.883031087325</v>
      </c>
      <c r="U23" s="48" t="s">
        <v>131</v>
      </c>
      <c r="V23" s="49"/>
      <c r="W23" s="50"/>
      <c r="X23" s="172">
        <f>X21/12</f>
        <v>4236.211265840675</v>
      </c>
    </row>
    <row r="25" spans="2:24" x14ac:dyDescent="0.3">
      <c r="I25" s="159"/>
      <c r="N25" s="159"/>
      <c r="S25" s="159"/>
    </row>
    <row r="26" spans="2:24" x14ac:dyDescent="0.3">
      <c r="I26" s="159"/>
      <c r="N26" s="159"/>
      <c r="S26" s="159"/>
    </row>
    <row r="27" spans="2:24" ht="15" thickBot="1" x14ac:dyDescent="0.35"/>
    <row r="28" spans="2:24" x14ac:dyDescent="0.3">
      <c r="D28" s="525" t="s">
        <v>140</v>
      </c>
      <c r="E28" s="526"/>
      <c r="F28" s="526"/>
      <c r="G28" s="526"/>
      <c r="H28" s="526"/>
      <c r="I28" s="526"/>
      <c r="J28" s="526"/>
      <c r="K28" s="526"/>
      <c r="L28" s="526"/>
      <c r="M28" s="527"/>
    </row>
    <row r="29" spans="2:24" ht="68.400000000000006" customHeight="1" x14ac:dyDescent="0.3">
      <c r="D29" s="161" t="s">
        <v>135</v>
      </c>
      <c r="E29" s="162"/>
      <c r="F29" s="162" t="s">
        <v>167</v>
      </c>
      <c r="G29" s="162"/>
      <c r="H29" s="162" t="s">
        <v>183</v>
      </c>
      <c r="I29" s="162" t="s">
        <v>168</v>
      </c>
      <c r="J29" s="163"/>
      <c r="K29" s="196" t="s">
        <v>141</v>
      </c>
      <c r="L29" s="196" t="s">
        <v>177</v>
      </c>
      <c r="M29" s="164" t="s">
        <v>136</v>
      </c>
      <c r="P29"/>
      <c r="Q29" s="1"/>
    </row>
    <row r="30" spans="2:24" x14ac:dyDescent="0.3">
      <c r="D30" s="165" t="s">
        <v>180</v>
      </c>
      <c r="E30" s="127"/>
      <c r="F30" s="166">
        <v>11000</v>
      </c>
      <c r="G30" s="127"/>
      <c r="H30" s="127">
        <v>0.25</v>
      </c>
      <c r="I30" s="173">
        <f>I23*12</f>
        <v>11673.008017781467</v>
      </c>
      <c r="J30" s="174"/>
      <c r="K30" s="175">
        <f>I30-F30</f>
        <v>673.00801778146706</v>
      </c>
      <c r="L30" s="175">
        <f>K30*0.5</f>
        <v>336.50400889073353</v>
      </c>
      <c r="M30" s="167"/>
      <c r="P30"/>
      <c r="Q30" s="1"/>
    </row>
    <row r="31" spans="2:24" x14ac:dyDescent="0.3">
      <c r="D31" s="165" t="s">
        <v>181</v>
      </c>
      <c r="E31" s="127"/>
      <c r="F31" s="166">
        <v>20000</v>
      </c>
      <c r="G31" s="127"/>
      <c r="H31" s="127">
        <v>0.5</v>
      </c>
      <c r="I31" s="173">
        <f>N23*12</f>
        <v>23346.016035562934</v>
      </c>
      <c r="J31" s="174"/>
      <c r="K31" s="175">
        <f t="shared" ref="K31:K33" si="5">I31-F31</f>
        <v>3346.0160355629341</v>
      </c>
      <c r="L31" s="175">
        <f t="shared" ref="L31:L33" si="6">K31*0.5</f>
        <v>1673.0080177814671</v>
      </c>
      <c r="M31" s="167"/>
      <c r="P31"/>
      <c r="Q31" s="1"/>
    </row>
    <row r="32" spans="2:24" x14ac:dyDescent="0.3">
      <c r="D32" s="165" t="s">
        <v>182</v>
      </c>
      <c r="E32" s="127"/>
      <c r="F32" s="166">
        <v>34500</v>
      </c>
      <c r="G32" s="127"/>
      <c r="H32" s="127">
        <v>0.75</v>
      </c>
      <c r="I32" s="173">
        <f>S23*12</f>
        <v>36202.596373047898</v>
      </c>
      <c r="J32" s="174"/>
      <c r="K32" s="175">
        <f t="shared" si="5"/>
        <v>1702.5963730478979</v>
      </c>
      <c r="L32" s="175">
        <f t="shared" si="6"/>
        <v>851.29818652394897</v>
      </c>
      <c r="M32" s="167"/>
      <c r="P32"/>
      <c r="Q32" s="1"/>
    </row>
    <row r="33" spans="1:19" ht="15" thickBot="1" x14ac:dyDescent="0.35">
      <c r="D33" s="165" t="s">
        <v>185</v>
      </c>
      <c r="E33" s="127"/>
      <c r="F33" s="160">
        <v>50000</v>
      </c>
      <c r="G33" s="127"/>
      <c r="H33" s="127">
        <v>1</v>
      </c>
      <c r="I33" s="176">
        <f>X23*12</f>
        <v>50834.5351900881</v>
      </c>
      <c r="J33" s="174"/>
      <c r="K33" s="177">
        <f t="shared" si="5"/>
        <v>834.53519008809963</v>
      </c>
      <c r="L33" s="177">
        <f t="shared" si="6"/>
        <v>417.26759504404981</v>
      </c>
      <c r="M33" s="168"/>
      <c r="P33"/>
      <c r="Q33" s="1"/>
    </row>
    <row r="34" spans="1:19" ht="15.6" thickTop="1" thickBot="1" x14ac:dyDescent="0.35">
      <c r="D34" s="131"/>
      <c r="E34" s="109"/>
      <c r="F34" s="169">
        <f>SUM(F30:F33)</f>
        <v>115500</v>
      </c>
      <c r="G34" s="170"/>
      <c r="H34" s="170"/>
      <c r="I34" s="178">
        <f>SUM(I30:I33)</f>
        <v>122056.15561648039</v>
      </c>
      <c r="J34" s="178"/>
      <c r="K34" s="178">
        <f>SUM(K30:K33)</f>
        <v>6556.1556164803987</v>
      </c>
      <c r="L34" s="178">
        <f>K34*0.5</f>
        <v>3278.0778082401994</v>
      </c>
      <c r="M34" s="171">
        <f t="shared" ref="M34" si="7">(I34-F34)/F34</f>
        <v>5.6763252090739319E-2</v>
      </c>
      <c r="P34"/>
      <c r="Q34" s="1"/>
    </row>
    <row r="45" spans="1:19" s="1" customFormat="1" ht="15" x14ac:dyDescent="0.25">
      <c r="A45" s="147"/>
      <c r="B45" s="148"/>
      <c r="C45" s="148"/>
      <c r="D45" s="148"/>
      <c r="G45"/>
      <c r="H45"/>
      <c r="I45"/>
      <c r="J45"/>
      <c r="L45"/>
      <c r="M45"/>
      <c r="N45"/>
      <c r="O45"/>
      <c r="Q45"/>
      <c r="R45"/>
      <c r="S45"/>
    </row>
    <row r="46" spans="1:19" s="1" customFormat="1" ht="15" x14ac:dyDescent="0.25">
      <c r="A46" s="147"/>
      <c r="B46" s="149"/>
      <c r="C46" s="150"/>
      <c r="D46" s="149"/>
      <c r="G46"/>
      <c r="H46"/>
      <c r="I46"/>
      <c r="J46"/>
      <c r="L46"/>
      <c r="M46"/>
      <c r="N46"/>
      <c r="O46"/>
      <c r="Q46"/>
      <c r="R46"/>
      <c r="S46"/>
    </row>
    <row r="47" spans="1:19" s="1" customFormat="1" ht="15" x14ac:dyDescent="0.25">
      <c r="A47" s="147"/>
      <c r="B47" s="151"/>
      <c r="C47" s="152"/>
      <c r="D47" s="151"/>
      <c r="G47"/>
      <c r="H47"/>
      <c r="I47"/>
      <c r="J47"/>
      <c r="L47"/>
      <c r="M47"/>
      <c r="N47"/>
      <c r="O47"/>
      <c r="Q47"/>
      <c r="R47"/>
      <c r="S47"/>
    </row>
    <row r="48" spans="1:19" s="1" customFormat="1" ht="15" x14ac:dyDescent="0.25">
      <c r="A48" s="147"/>
      <c r="B48" s="153"/>
      <c r="C48" s="154"/>
      <c r="D48" s="155"/>
      <c r="G48"/>
      <c r="H48"/>
      <c r="I48"/>
      <c r="J48"/>
      <c r="L48"/>
      <c r="M48"/>
      <c r="N48"/>
      <c r="O48"/>
      <c r="Q48"/>
      <c r="R48"/>
      <c r="S48"/>
    </row>
    <row r="49" spans="1:19" s="1" customFormat="1" x14ac:dyDescent="0.3">
      <c r="A49" s="147"/>
      <c r="B49" s="156"/>
      <c r="C49" s="156"/>
      <c r="D49" s="156"/>
      <c r="G49"/>
      <c r="H49"/>
      <c r="I49"/>
      <c r="J49"/>
      <c r="L49"/>
      <c r="M49"/>
      <c r="N49"/>
      <c r="O49"/>
      <c r="Q49"/>
      <c r="R49"/>
      <c r="S49"/>
    </row>
    <row r="50" spans="1:19" s="1" customFormat="1" x14ac:dyDescent="0.3">
      <c r="A50" s="147"/>
      <c r="B50" s="156"/>
      <c r="C50" s="156"/>
      <c r="D50" s="156"/>
      <c r="G50"/>
      <c r="H50"/>
      <c r="I50"/>
      <c r="J50"/>
      <c r="L50"/>
      <c r="M50"/>
      <c r="N50"/>
      <c r="O50"/>
      <c r="Q50"/>
      <c r="R50"/>
      <c r="S50"/>
    </row>
    <row r="51" spans="1:19" s="1" customFormat="1" x14ac:dyDescent="0.3">
      <c r="A51" s="147"/>
      <c r="B51" s="156"/>
      <c r="C51" s="156"/>
      <c r="D51" s="156"/>
      <c r="G51"/>
      <c r="H51"/>
      <c r="I51"/>
      <c r="J51"/>
      <c r="L51"/>
      <c r="M51"/>
      <c r="N51"/>
      <c r="O51"/>
      <c r="Q51"/>
      <c r="R51"/>
      <c r="S51"/>
    </row>
    <row r="52" spans="1:19" s="1" customFormat="1" x14ac:dyDescent="0.3">
      <c r="A52" s="148"/>
      <c r="B52" s="156"/>
      <c r="C52" s="156"/>
      <c r="D52" s="156"/>
      <c r="G52"/>
      <c r="H52"/>
      <c r="I52"/>
      <c r="J52"/>
      <c r="L52"/>
      <c r="M52"/>
      <c r="N52"/>
      <c r="O52"/>
      <c r="Q52"/>
      <c r="R52"/>
      <c r="S52"/>
    </row>
    <row r="53" spans="1:19" s="1" customFormat="1" x14ac:dyDescent="0.3">
      <c r="A53" s="122"/>
      <c r="B53" s="156"/>
      <c r="C53" s="156"/>
      <c r="D53" s="156"/>
      <c r="G53"/>
      <c r="H53"/>
      <c r="I53"/>
      <c r="J53"/>
      <c r="L53"/>
      <c r="M53"/>
      <c r="N53"/>
      <c r="O53"/>
      <c r="Q53"/>
      <c r="R53"/>
      <c r="S53"/>
    </row>
    <row r="54" spans="1:19" s="1" customFormat="1" x14ac:dyDescent="0.3">
      <c r="A54" s="152"/>
      <c r="B54" s="156"/>
      <c r="C54" s="156"/>
      <c r="D54" s="156"/>
      <c r="G54"/>
      <c r="H54"/>
      <c r="I54"/>
      <c r="J54"/>
      <c r="L54"/>
      <c r="M54"/>
      <c r="N54"/>
      <c r="O54"/>
      <c r="Q54"/>
      <c r="R54"/>
      <c r="S54"/>
    </row>
    <row r="55" spans="1:19" s="1" customFormat="1" x14ac:dyDescent="0.3">
      <c r="A55" s="157"/>
      <c r="B55" s="156"/>
      <c r="C55" s="156"/>
      <c r="D55" s="156"/>
      <c r="G55"/>
      <c r="H55"/>
      <c r="I55"/>
      <c r="J55"/>
      <c r="L55"/>
      <c r="M55"/>
      <c r="N55"/>
      <c r="O55"/>
      <c r="Q55"/>
      <c r="R55"/>
      <c r="S55"/>
    </row>
    <row r="56" spans="1:19" s="1" customFormat="1" x14ac:dyDescent="0.3">
      <c r="A56" s="147"/>
      <c r="B56" s="156"/>
      <c r="C56" s="156"/>
      <c r="D56" s="156"/>
      <c r="G56"/>
      <c r="H56"/>
      <c r="I56"/>
      <c r="J56"/>
      <c r="L56"/>
      <c r="M56"/>
      <c r="N56"/>
      <c r="O56"/>
      <c r="Q56"/>
      <c r="R56"/>
      <c r="S56"/>
    </row>
    <row r="57" spans="1:19" s="1" customFormat="1" x14ac:dyDescent="0.3">
      <c r="A57" s="147"/>
      <c r="B57" s="156"/>
      <c r="C57" s="156"/>
      <c r="D57" s="156"/>
      <c r="G57"/>
      <c r="H57"/>
      <c r="I57"/>
      <c r="J57"/>
      <c r="L57"/>
      <c r="M57"/>
      <c r="N57"/>
      <c r="O57"/>
      <c r="Q57"/>
      <c r="R57"/>
      <c r="S57"/>
    </row>
    <row r="58" spans="1:19" s="1" customFormat="1" x14ac:dyDescent="0.3">
      <c r="A58" s="147"/>
      <c r="B58" s="156"/>
      <c r="C58" s="156"/>
      <c r="D58" s="156"/>
      <c r="G58"/>
      <c r="H58"/>
      <c r="I58"/>
      <c r="J58"/>
      <c r="L58"/>
      <c r="M58"/>
      <c r="N58"/>
      <c r="O58"/>
      <c r="Q58"/>
      <c r="R58"/>
      <c r="S58"/>
    </row>
  </sheetData>
  <mergeCells count="16">
    <mergeCell ref="D28:M28"/>
    <mergeCell ref="U3:X3"/>
    <mergeCell ref="U4:X4"/>
    <mergeCell ref="V5:W5"/>
    <mergeCell ref="B3:D3"/>
    <mergeCell ref="F3:I3"/>
    <mergeCell ref="K3:N3"/>
    <mergeCell ref="P3:S3"/>
    <mergeCell ref="B4:D4"/>
    <mergeCell ref="F4:I4"/>
    <mergeCell ref="K4:N4"/>
    <mergeCell ref="P4:S4"/>
    <mergeCell ref="B5:C5"/>
    <mergeCell ref="G5:H5"/>
    <mergeCell ref="L5:M5"/>
    <mergeCell ref="Q5:R5"/>
  </mergeCells>
  <pageMargins left="0.25" right="0.25" top="0.75" bottom="0.75" header="0.3" footer="0.3"/>
  <pageSetup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1"/>
  <sheetViews>
    <sheetView zoomScale="80" zoomScaleNormal="80" workbookViewId="0">
      <selection activeCell="V22" sqref="A1:V22"/>
    </sheetView>
  </sheetViews>
  <sheetFormatPr defaultRowHeight="14.4" x14ac:dyDescent="0.3"/>
  <cols>
    <col min="1" max="1" width="19.33203125" customWidth="1"/>
    <col min="3" max="3" width="8.88671875" style="90"/>
    <col min="5" max="5" width="17.6640625" bestFit="1" customWidth="1"/>
    <col min="9" max="9" width="17.6640625" bestFit="1" customWidth="1"/>
    <col min="11" max="11" width="11.6640625" customWidth="1"/>
    <col min="12" max="12" width="6.44140625" customWidth="1"/>
    <col min="13" max="13" width="17.6640625" bestFit="1" customWidth="1"/>
    <col min="15" max="15" width="11.6640625" customWidth="1"/>
    <col min="16" max="16" width="6" customWidth="1"/>
    <col min="17" max="17" width="20.6640625" customWidth="1"/>
    <col min="18" max="18" width="10.44140625" customWidth="1"/>
    <col min="19" max="19" width="13.109375" customWidth="1"/>
    <col min="20" max="21" width="10" bestFit="1" customWidth="1"/>
  </cols>
  <sheetData>
    <row r="1" spans="1:22" x14ac:dyDescent="0.3">
      <c r="A1" s="535" t="s">
        <v>180</v>
      </c>
      <c r="B1" s="535"/>
      <c r="C1" s="535"/>
      <c r="E1" s="535" t="s">
        <v>184</v>
      </c>
      <c r="F1" s="535"/>
      <c r="G1" s="535"/>
      <c r="H1" s="118"/>
      <c r="I1" s="535" t="s">
        <v>185</v>
      </c>
      <c r="J1" s="535"/>
      <c r="K1" s="535"/>
      <c r="M1" s="535" t="s">
        <v>182</v>
      </c>
      <c r="N1" s="535"/>
      <c r="O1" s="535"/>
      <c r="P1" s="118"/>
    </row>
    <row r="2" spans="1:22" x14ac:dyDescent="0.3">
      <c r="B2" t="s">
        <v>1</v>
      </c>
      <c r="C2" s="90" t="s">
        <v>147</v>
      </c>
      <c r="F2" t="s">
        <v>1</v>
      </c>
      <c r="G2" s="90" t="s">
        <v>147</v>
      </c>
      <c r="H2" s="90"/>
      <c r="J2" t="s">
        <v>1</v>
      </c>
      <c r="K2" s="90" t="s">
        <v>147</v>
      </c>
      <c r="N2" t="s">
        <v>1</v>
      </c>
      <c r="O2" s="90" t="s">
        <v>147</v>
      </c>
      <c r="P2" s="90"/>
      <c r="R2" t="s">
        <v>160</v>
      </c>
      <c r="S2" t="s">
        <v>161</v>
      </c>
      <c r="T2" t="s">
        <v>162</v>
      </c>
    </row>
    <row r="3" spans="1:22" x14ac:dyDescent="0.3">
      <c r="A3" t="s">
        <v>171</v>
      </c>
      <c r="E3" t="s">
        <v>171</v>
      </c>
      <c r="G3" s="90"/>
      <c r="H3" s="90"/>
      <c r="I3" t="s">
        <v>171</v>
      </c>
      <c r="J3">
        <v>0.04</v>
      </c>
      <c r="K3" s="90">
        <v>2491</v>
      </c>
      <c r="M3" t="s">
        <v>171</v>
      </c>
      <c r="N3">
        <v>0.05</v>
      </c>
      <c r="O3" s="90">
        <v>1133</v>
      </c>
      <c r="P3" s="90"/>
      <c r="Q3" t="s">
        <v>189</v>
      </c>
      <c r="R3">
        <f>B3+F3+J3+B4+F4+J4+N3+N4</f>
        <v>1.0449999999999999</v>
      </c>
      <c r="S3" s="90">
        <f>C3+G3+K3+C4+G4+K4+O3+O4</f>
        <v>39679</v>
      </c>
      <c r="T3" s="90">
        <f>S3/R3</f>
        <v>37970.334928229669</v>
      </c>
      <c r="U3" s="90"/>
    </row>
    <row r="4" spans="1:22" x14ac:dyDescent="0.3">
      <c r="A4" t="s">
        <v>187</v>
      </c>
      <c r="B4">
        <v>0.15</v>
      </c>
      <c r="C4" s="90">
        <v>6238</v>
      </c>
      <c r="E4" t="s">
        <v>187</v>
      </c>
      <c r="F4">
        <v>2.5000000000000001E-2</v>
      </c>
      <c r="G4" s="90">
        <v>1950</v>
      </c>
      <c r="H4" s="90"/>
      <c r="I4" t="s">
        <v>187</v>
      </c>
      <c r="J4">
        <v>0.78</v>
      </c>
      <c r="K4" s="90">
        <v>27867</v>
      </c>
      <c r="M4" t="s">
        <v>187</v>
      </c>
      <c r="O4" s="90"/>
      <c r="P4" s="90"/>
      <c r="Q4" t="s">
        <v>188</v>
      </c>
      <c r="R4">
        <f>B5+F5+J5+N5</f>
        <v>1.4</v>
      </c>
      <c r="S4" s="90">
        <f>C5+G5+K5+O5</f>
        <v>35974</v>
      </c>
      <c r="T4" s="90">
        <f t="shared" ref="T4" si="0">S4/R4</f>
        <v>25695.714285714286</v>
      </c>
      <c r="U4" s="207">
        <f>'Model Budget (CSSE)'!F6</f>
        <v>33908.666666666664</v>
      </c>
      <c r="V4" t="s">
        <v>190</v>
      </c>
    </row>
    <row r="5" spans="1:22" ht="15" thickBot="1" x14ac:dyDescent="0.35">
      <c r="A5" t="s">
        <v>186</v>
      </c>
      <c r="E5" t="s">
        <v>186</v>
      </c>
      <c r="F5">
        <v>0.4</v>
      </c>
      <c r="G5" s="90">
        <v>13094</v>
      </c>
      <c r="H5" s="90"/>
      <c r="I5" t="s">
        <v>186</v>
      </c>
      <c r="J5" s="102"/>
      <c r="K5" s="102"/>
      <c r="M5" t="s">
        <v>186</v>
      </c>
      <c r="N5" s="102">
        <v>1</v>
      </c>
      <c r="O5" s="208">
        <v>22880</v>
      </c>
      <c r="P5" s="102"/>
      <c r="R5" s="117"/>
      <c r="S5" s="90"/>
      <c r="T5" s="90"/>
    </row>
    <row r="6" spans="1:22" ht="15" thickTop="1" x14ac:dyDescent="0.3">
      <c r="F6" s="102"/>
      <c r="G6" s="102"/>
      <c r="H6" s="102"/>
      <c r="J6" s="102"/>
      <c r="K6" s="102"/>
      <c r="N6" s="102"/>
      <c r="O6" s="102"/>
      <c r="P6" s="102"/>
      <c r="R6">
        <f>SUM(R3:R5)</f>
        <v>2.4449999999999998</v>
      </c>
    </row>
    <row r="7" spans="1:22" x14ac:dyDescent="0.3">
      <c r="F7" s="102"/>
      <c r="G7" s="102"/>
      <c r="H7" s="102"/>
      <c r="K7" s="90"/>
      <c r="O7" s="90"/>
      <c r="P7" s="90"/>
    </row>
    <row r="8" spans="1:22" ht="15" thickBot="1" x14ac:dyDescent="0.35">
      <c r="B8" s="117"/>
      <c r="C8" s="114"/>
      <c r="F8" s="117"/>
      <c r="G8" s="114"/>
      <c r="H8" s="91"/>
      <c r="J8" s="116"/>
      <c r="K8" s="116"/>
      <c r="N8" s="116"/>
      <c r="O8" s="116"/>
      <c r="P8" s="2"/>
      <c r="Q8" t="s">
        <v>13</v>
      </c>
      <c r="S8" s="184">
        <f>C11+G11+K11+O11</f>
        <v>14548.18</v>
      </c>
      <c r="T8" s="115">
        <f>S8/SUM(K9+G9+C9+O9)</f>
        <v>0.19230142889244314</v>
      </c>
    </row>
    <row r="9" spans="1:22" ht="15" thickTop="1" x14ac:dyDescent="0.3">
      <c r="B9">
        <f>SUM(B3:B8)</f>
        <v>0.15</v>
      </c>
      <c r="C9" s="90">
        <f>SUM(C3:C8)</f>
        <v>6238</v>
      </c>
      <c r="F9">
        <f>SUM(F3:F8)</f>
        <v>0.42500000000000004</v>
      </c>
      <c r="G9" s="90">
        <f>SUM(G3:G8)</f>
        <v>15044</v>
      </c>
      <c r="H9" s="90"/>
      <c r="J9">
        <f>SUM(J3:J8)</f>
        <v>0.82000000000000006</v>
      </c>
      <c r="K9" s="90">
        <f>SUM(K3:K8)</f>
        <v>30358</v>
      </c>
      <c r="N9">
        <f>SUM(N3:N8)</f>
        <v>1.05</v>
      </c>
      <c r="O9" s="90">
        <f>SUM(O3:O8)</f>
        <v>24013</v>
      </c>
      <c r="P9" s="90"/>
    </row>
    <row r="10" spans="1:22" x14ac:dyDescent="0.3">
      <c r="G10" s="90"/>
      <c r="H10" s="90"/>
      <c r="K10" s="90"/>
      <c r="O10" s="90"/>
      <c r="P10" s="90"/>
    </row>
    <row r="11" spans="1:22" ht="15" thickBot="1" x14ac:dyDescent="0.35">
      <c r="A11" t="s">
        <v>13</v>
      </c>
      <c r="B11" s="115">
        <f>C11/C9</f>
        <v>0.21000320615581916</v>
      </c>
      <c r="C11" s="114">
        <f>499.04+810.96</f>
        <v>1310</v>
      </c>
      <c r="E11" t="s">
        <v>13</v>
      </c>
      <c r="F11" s="115">
        <f>G11/G9</f>
        <v>9.99734113267748E-2</v>
      </c>
      <c r="G11" s="114">
        <v>1504</v>
      </c>
      <c r="H11" s="91"/>
      <c r="I11" t="s">
        <v>13</v>
      </c>
      <c r="J11" s="115">
        <f>K11/K9</f>
        <v>0.21000000000000002</v>
      </c>
      <c r="K11" s="114">
        <f>2428.64+3946.54</f>
        <v>6375.18</v>
      </c>
      <c r="M11" t="s">
        <v>13</v>
      </c>
      <c r="N11" s="115">
        <f>O11/O9</f>
        <v>0.22317078249281638</v>
      </c>
      <c r="O11" s="114">
        <f>2330+3029</f>
        <v>5359</v>
      </c>
      <c r="P11" s="91"/>
    </row>
    <row r="12" spans="1:22" ht="15" thickTop="1" x14ac:dyDescent="0.3">
      <c r="C12" s="90">
        <f>C9+C11</f>
        <v>7548</v>
      </c>
      <c r="G12" s="90">
        <f>G9+G11</f>
        <v>16548</v>
      </c>
      <c r="H12" s="90"/>
      <c r="K12" s="90">
        <f>K9+K11</f>
        <v>36733.18</v>
      </c>
      <c r="O12" s="90">
        <f>O9+O11</f>
        <v>29372</v>
      </c>
      <c r="P12" s="90"/>
    </row>
    <row r="13" spans="1:22" x14ac:dyDescent="0.3">
      <c r="G13" s="90"/>
      <c r="H13" s="90"/>
      <c r="K13" s="90"/>
      <c r="O13" s="90"/>
      <c r="P13" s="90"/>
      <c r="S13" s="121" t="s">
        <v>164</v>
      </c>
    </row>
    <row r="14" spans="1:22" x14ac:dyDescent="0.3">
      <c r="A14" t="s">
        <v>4</v>
      </c>
      <c r="C14" s="90">
        <v>214</v>
      </c>
      <c r="E14" t="s">
        <v>4</v>
      </c>
      <c r="G14" s="90"/>
      <c r="H14" s="90"/>
      <c r="I14" t="s">
        <v>4</v>
      </c>
      <c r="K14" s="90">
        <v>6429</v>
      </c>
      <c r="M14" t="s">
        <v>4</v>
      </c>
      <c r="O14" s="90"/>
      <c r="P14" s="90"/>
      <c r="Q14" t="s">
        <v>4</v>
      </c>
      <c r="S14" s="90">
        <f>(K14+G14+C14+O14)/$R$6</f>
        <v>2716.9734151329244</v>
      </c>
    </row>
    <row r="15" spans="1:22" x14ac:dyDescent="0.3">
      <c r="A15" t="s">
        <v>125</v>
      </c>
      <c r="C15" s="90">
        <v>1442</v>
      </c>
      <c r="E15" t="s">
        <v>125</v>
      </c>
      <c r="G15" s="90">
        <v>687</v>
      </c>
      <c r="H15" s="90"/>
      <c r="I15" t="s">
        <v>125</v>
      </c>
      <c r="K15" s="90">
        <v>1025</v>
      </c>
      <c r="M15" t="s">
        <v>125</v>
      </c>
      <c r="O15" s="90">
        <v>1670</v>
      </c>
      <c r="P15" s="90"/>
      <c r="Q15" t="s">
        <v>125</v>
      </c>
      <c r="S15" s="90">
        <f>(K15+G15+C15+O15)/$R$6</f>
        <v>1973.0061349693253</v>
      </c>
    </row>
    <row r="16" spans="1:22" ht="15" thickBot="1" x14ac:dyDescent="0.35">
      <c r="A16" t="s">
        <v>153</v>
      </c>
      <c r="C16" s="114">
        <v>466</v>
      </c>
      <c r="E16" t="s">
        <v>153</v>
      </c>
      <c r="G16" s="114">
        <v>386</v>
      </c>
      <c r="H16" s="91"/>
      <c r="I16" t="s">
        <v>153</v>
      </c>
      <c r="K16" s="114">
        <v>100</v>
      </c>
      <c r="M16" t="s">
        <v>153</v>
      </c>
      <c r="O16" s="114">
        <v>370</v>
      </c>
      <c r="P16" s="91"/>
      <c r="Q16" t="s">
        <v>153</v>
      </c>
      <c r="S16" s="90">
        <f>AVERAGE(C16:O16)</f>
        <v>330.5</v>
      </c>
      <c r="T16" t="s">
        <v>194</v>
      </c>
    </row>
    <row r="17" spans="1:20" ht="15" thickTop="1" x14ac:dyDescent="0.3">
      <c r="C17" s="90">
        <f>SUM(C14:C16)</f>
        <v>2122</v>
      </c>
      <c r="G17" s="90">
        <f>SUM(G14:G16)</f>
        <v>1073</v>
      </c>
      <c r="H17" s="90"/>
      <c r="K17" s="90">
        <f>SUM(K14:K16)</f>
        <v>7554</v>
      </c>
      <c r="O17" s="90">
        <f>SUM(O14:O16)</f>
        <v>2040</v>
      </c>
      <c r="P17" s="90"/>
      <c r="S17" s="90"/>
    </row>
    <row r="18" spans="1:20" x14ac:dyDescent="0.3">
      <c r="G18" s="90"/>
      <c r="H18" s="90"/>
      <c r="K18" s="90"/>
      <c r="O18" s="90"/>
      <c r="P18" s="90"/>
    </row>
    <row r="19" spans="1:20" x14ac:dyDescent="0.3">
      <c r="C19" s="90">
        <f>C12+C17</f>
        <v>9670</v>
      </c>
      <c r="G19" s="90">
        <f>G12+G17</f>
        <v>17621</v>
      </c>
      <c r="H19" s="90"/>
      <c r="K19" s="90">
        <f>K12+K17</f>
        <v>44287.18</v>
      </c>
      <c r="O19" s="90">
        <f>O12+O17</f>
        <v>31412</v>
      </c>
      <c r="P19" s="90"/>
    </row>
    <row r="20" spans="1:20" ht="15" thickBot="1" x14ac:dyDescent="0.35">
      <c r="A20" t="s">
        <v>5</v>
      </c>
      <c r="B20" s="115">
        <f>C20/C19</f>
        <v>0.13753877973112719</v>
      </c>
      <c r="C20" s="114">
        <v>1330</v>
      </c>
      <c r="E20" t="s">
        <v>5</v>
      </c>
      <c r="F20" s="115">
        <f>G20/G19</f>
        <v>0.13500936382725157</v>
      </c>
      <c r="G20" s="114">
        <v>2379</v>
      </c>
      <c r="H20" s="91"/>
      <c r="I20" t="s">
        <v>5</v>
      </c>
      <c r="J20" s="115">
        <f>K20/K19</f>
        <v>0.12899895635712186</v>
      </c>
      <c r="K20" s="114">
        <v>5713</v>
      </c>
      <c r="M20" t="s">
        <v>5</v>
      </c>
      <c r="N20" s="115">
        <f>O20/O19</f>
        <v>0.12110021647777919</v>
      </c>
      <c r="O20" s="114">
        <v>3804</v>
      </c>
      <c r="P20" s="91"/>
      <c r="Q20" t="s">
        <v>5</v>
      </c>
      <c r="S20" s="120">
        <f>K20+G20+C20+O20</f>
        <v>13226</v>
      </c>
      <c r="T20" s="115">
        <f>S20/(K19+G19+C19+O19)</f>
        <v>0.12842001052915919</v>
      </c>
    </row>
    <row r="21" spans="1:20" ht="15" thickTop="1" x14ac:dyDescent="0.3">
      <c r="C21" s="90">
        <f>SUM(C19:C20)</f>
        <v>11000</v>
      </c>
      <c r="G21" s="90">
        <f>SUM(G19:G20)</f>
        <v>20000</v>
      </c>
      <c r="H21" s="90"/>
      <c r="K21" s="90">
        <f>SUM(K19:K20)</f>
        <v>50000.18</v>
      </c>
      <c r="O21" s="90">
        <f>SUM(O19:O20)</f>
        <v>35216</v>
      </c>
      <c r="P21" s="90"/>
    </row>
  </sheetData>
  <mergeCells count="4">
    <mergeCell ref="A1:C1"/>
    <mergeCell ref="E1:G1"/>
    <mergeCell ref="I1:K1"/>
    <mergeCell ref="M1:O1"/>
  </mergeCells>
  <pageMargins left="0.7" right="0.7" top="0.75" bottom="0.75" header="0.3" footer="0.3"/>
  <pageSetup scale="48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selection sqref="A1:N31"/>
    </sheetView>
  </sheetViews>
  <sheetFormatPr defaultRowHeight="14.4" x14ac:dyDescent="0.3"/>
  <cols>
    <col min="1" max="1" width="20.33203125" customWidth="1"/>
    <col min="6" max="6" width="14.44140625" bestFit="1" customWidth="1"/>
    <col min="8" max="8" width="9.5546875" bestFit="1" customWidth="1"/>
    <col min="9" max="9" width="11" bestFit="1" customWidth="1"/>
    <col min="10" max="10" width="11.33203125" customWidth="1"/>
    <col min="11" max="11" width="10.44140625" customWidth="1"/>
    <col min="12" max="12" width="12.33203125" customWidth="1"/>
    <col min="13" max="13" width="12.5546875" customWidth="1"/>
  </cols>
  <sheetData>
    <row r="1" spans="1:14" x14ac:dyDescent="0.3">
      <c r="A1" t="s">
        <v>229</v>
      </c>
    </row>
    <row r="3" spans="1:14" ht="15" thickBot="1" x14ac:dyDescent="0.35">
      <c r="A3" t="s">
        <v>237</v>
      </c>
    </row>
    <row r="4" spans="1:14" x14ac:dyDescent="0.3">
      <c r="A4" s="525" t="s">
        <v>140</v>
      </c>
      <c r="B4" s="526"/>
      <c r="C4" s="526"/>
      <c r="D4" s="526"/>
      <c r="E4" s="526"/>
      <c r="F4" s="526"/>
      <c r="G4" s="527"/>
    </row>
    <row r="5" spans="1:14" x14ac:dyDescent="0.3">
      <c r="A5" s="103"/>
      <c r="B5" s="91"/>
      <c r="C5" s="104"/>
      <c r="D5" s="105"/>
      <c r="E5" s="105"/>
      <c r="F5" s="106"/>
      <c r="G5" s="107"/>
    </row>
    <row r="6" spans="1:14" ht="36.6" x14ac:dyDescent="0.3">
      <c r="A6" s="194" t="s">
        <v>135</v>
      </c>
      <c r="B6" s="195" t="s">
        <v>205</v>
      </c>
      <c r="C6" s="195" t="s">
        <v>132</v>
      </c>
      <c r="D6" s="196" t="s">
        <v>133</v>
      </c>
      <c r="E6" s="196" t="s">
        <v>141</v>
      </c>
      <c r="F6" s="196" t="s">
        <v>177</v>
      </c>
      <c r="G6" s="197" t="s">
        <v>136</v>
      </c>
      <c r="K6" s="195" t="s">
        <v>230</v>
      </c>
      <c r="L6" s="196" t="s">
        <v>133</v>
      </c>
      <c r="M6" s="196" t="s">
        <v>141</v>
      </c>
    </row>
    <row r="7" spans="1:14" ht="15" thickBot="1" x14ac:dyDescent="0.35">
      <c r="A7" s="108" t="s">
        <v>176</v>
      </c>
      <c r="B7" s="311">
        <v>1766</v>
      </c>
      <c r="C7" s="113">
        <v>75516</v>
      </c>
      <c r="D7" s="113">
        <f>'Model Budget old (CSSI)'!E31</f>
        <v>416741633.77233648</v>
      </c>
      <c r="E7" s="112">
        <f>D7-C7</f>
        <v>416666117.77233648</v>
      </c>
      <c r="F7" s="112">
        <f>E7*0.5</f>
        <v>208333058.88616824</v>
      </c>
      <c r="G7" s="111">
        <f>(D7-C7)/C7</f>
        <v>5517.587236775471</v>
      </c>
    </row>
    <row r="8" spans="1:14" ht="15" thickBot="1" x14ac:dyDescent="0.35">
      <c r="A8" s="108" t="s">
        <v>139</v>
      </c>
      <c r="B8" s="311">
        <v>4401</v>
      </c>
      <c r="C8" s="113">
        <v>188143</v>
      </c>
      <c r="D8" s="113">
        <f>'Model Budget old (CSSI)'!E32</f>
        <v>1038550356.8697922</v>
      </c>
      <c r="E8" s="112">
        <f>D8-C8</f>
        <v>1038362213.8697922</v>
      </c>
      <c r="F8" s="112">
        <f>E8*0.5</f>
        <v>519181106.93489611</v>
      </c>
      <c r="G8" s="111">
        <f>(D8-C8)/C8</f>
        <v>5519.0052984686763</v>
      </c>
      <c r="K8" s="90">
        <f>C9+C15+C25+C31</f>
        <v>1635558</v>
      </c>
      <c r="L8" s="90">
        <f>D9+D15+F25+F31+H31</f>
        <v>1456753284.513679</v>
      </c>
      <c r="M8" s="90">
        <f>L8-K8</f>
        <v>1455117726.513679</v>
      </c>
      <c r="N8" s="115">
        <f>(L8-K8)/K8</f>
        <v>889.67662810715308</v>
      </c>
    </row>
    <row r="9" spans="1:14" x14ac:dyDescent="0.3">
      <c r="A9" s="215"/>
      <c r="B9" s="348" t="s">
        <v>178</v>
      </c>
      <c r="C9" s="349">
        <f>SUM(C7:C8)</f>
        <v>263659</v>
      </c>
      <c r="D9" s="349">
        <f>SUM(D7:D8)</f>
        <v>1455291990.6421287</v>
      </c>
      <c r="E9" s="349">
        <f>SUM(E7:E8)</f>
        <v>1455028331.6421287</v>
      </c>
      <c r="F9" s="349">
        <f>SUM(F7:F8)</f>
        <v>727514165.82106435</v>
      </c>
      <c r="G9" s="350">
        <f>(D9-C9)/C9</f>
        <v>5518.5991437505591</v>
      </c>
    </row>
    <row r="11" spans="1:14" ht="15" thickBot="1" x14ac:dyDescent="0.35">
      <c r="A11" t="s">
        <v>236</v>
      </c>
    </row>
    <row r="12" spans="1:14" x14ac:dyDescent="0.3">
      <c r="A12" s="525" t="s">
        <v>140</v>
      </c>
      <c r="B12" s="526"/>
      <c r="C12" s="526"/>
      <c r="D12" s="526"/>
      <c r="E12" s="526"/>
      <c r="F12" s="526"/>
      <c r="G12" s="527"/>
    </row>
    <row r="13" spans="1:14" x14ac:dyDescent="0.3">
      <c r="A13" s="103"/>
      <c r="B13" s="104"/>
      <c r="C13" s="105"/>
      <c r="D13" s="105"/>
      <c r="E13" s="105"/>
      <c r="F13" s="105"/>
      <c r="G13" s="107"/>
    </row>
    <row r="14" spans="1:14" ht="48.6" x14ac:dyDescent="0.3">
      <c r="A14" s="202" t="s">
        <v>135</v>
      </c>
      <c r="B14" s="203"/>
      <c r="C14" s="203" t="s">
        <v>132</v>
      </c>
      <c r="D14" s="203" t="s">
        <v>133</v>
      </c>
      <c r="E14" s="204" t="s">
        <v>141</v>
      </c>
      <c r="F14" s="204" t="s">
        <v>177</v>
      </c>
      <c r="G14" s="205" t="s">
        <v>136</v>
      </c>
    </row>
    <row r="15" spans="1:14" ht="15" thickBot="1" x14ac:dyDescent="0.35">
      <c r="A15" s="201" t="s">
        <v>134</v>
      </c>
      <c r="B15" s="252"/>
      <c r="C15" s="110">
        <f>'Model Budget (CSSE)'!D28</f>
        <v>249609</v>
      </c>
      <c r="D15" s="110">
        <f>'Model Budget (CSSE)'!E28</f>
        <v>301750.91054898524</v>
      </c>
      <c r="E15" s="112">
        <f>D15-C15</f>
        <v>52141.910548985237</v>
      </c>
      <c r="F15" s="112">
        <f>E15*0.5</f>
        <v>26070.955274492619</v>
      </c>
      <c r="G15" s="111">
        <f>(D15-C15)/C15</f>
        <v>0.2088943529639766</v>
      </c>
    </row>
    <row r="18" spans="1:13" ht="15" thickBot="1" x14ac:dyDescent="0.35">
      <c r="A18" t="s">
        <v>238</v>
      </c>
    </row>
    <row r="19" spans="1:13" x14ac:dyDescent="0.3">
      <c r="A19" s="525" t="s">
        <v>140</v>
      </c>
      <c r="B19" s="526"/>
      <c r="C19" s="526"/>
      <c r="D19" s="526"/>
      <c r="E19" s="526"/>
      <c r="F19" s="526"/>
      <c r="G19" s="526"/>
      <c r="H19" s="526"/>
      <c r="I19" s="526"/>
      <c r="J19" s="527"/>
    </row>
    <row r="20" spans="1:13" ht="48.6" x14ac:dyDescent="0.3">
      <c r="A20" s="293" t="s">
        <v>135</v>
      </c>
      <c r="B20" s="294"/>
      <c r="C20" s="294" t="s">
        <v>167</v>
      </c>
      <c r="D20" s="294"/>
      <c r="E20" s="294" t="s">
        <v>183</v>
      </c>
      <c r="F20" s="294" t="s">
        <v>168</v>
      </c>
      <c r="G20" s="295"/>
      <c r="H20" s="196" t="s">
        <v>141</v>
      </c>
      <c r="I20" s="196" t="s">
        <v>177</v>
      </c>
      <c r="J20" s="296" t="s">
        <v>136</v>
      </c>
    </row>
    <row r="21" spans="1:13" x14ac:dyDescent="0.3">
      <c r="A21" s="297" t="s">
        <v>180</v>
      </c>
      <c r="B21" s="258"/>
      <c r="C21" s="298">
        <v>11000</v>
      </c>
      <c r="D21" s="258"/>
      <c r="E21" s="258">
        <v>0.25</v>
      </c>
      <c r="F21" s="305">
        <f>'Model Budget (MDAT)'!I30</f>
        <v>11673.008017781467</v>
      </c>
      <c r="G21" s="306"/>
      <c r="H21" s="307">
        <f>F21-C21</f>
        <v>673.00801778146706</v>
      </c>
      <c r="I21" s="307">
        <f>H21*0.5</f>
        <v>336.50400889073353</v>
      </c>
      <c r="J21" s="299"/>
    </row>
    <row r="22" spans="1:13" ht="15" x14ac:dyDescent="0.25">
      <c r="A22" s="297" t="s">
        <v>181</v>
      </c>
      <c r="B22" s="258"/>
      <c r="C22" s="298">
        <v>20000</v>
      </c>
      <c r="D22" s="258"/>
      <c r="E22" s="258">
        <v>0.5</v>
      </c>
      <c r="F22" s="305">
        <f>'Model Budget (MDAT)'!I31</f>
        <v>23346.016035562934</v>
      </c>
      <c r="G22" s="306"/>
      <c r="H22" s="307">
        <f t="shared" ref="H22:H24" si="0">F22-C22</f>
        <v>3346.0160355629341</v>
      </c>
      <c r="I22" s="307">
        <f t="shared" ref="I22:I24" si="1">H22*0.5</f>
        <v>1673.0080177814671</v>
      </c>
      <c r="J22" s="299"/>
    </row>
    <row r="23" spans="1:13" ht="15" x14ac:dyDescent="0.25">
      <c r="A23" s="297" t="s">
        <v>182</v>
      </c>
      <c r="B23" s="258"/>
      <c r="C23" s="298">
        <v>34500</v>
      </c>
      <c r="D23" s="258"/>
      <c r="E23" s="258">
        <v>0.75</v>
      </c>
      <c r="F23" s="305">
        <f>'Model Budget (MDAT)'!I32</f>
        <v>36202.596373047898</v>
      </c>
      <c r="G23" s="306"/>
      <c r="H23" s="307">
        <f t="shared" si="0"/>
        <v>1702.5963730478979</v>
      </c>
      <c r="I23" s="307">
        <f t="shared" si="1"/>
        <v>851.29818652394897</v>
      </c>
      <c r="J23" s="299"/>
    </row>
    <row r="24" spans="1:13" ht="15.75" thickBot="1" x14ac:dyDescent="0.3">
      <c r="A24" s="297" t="s">
        <v>185</v>
      </c>
      <c r="B24" s="258"/>
      <c r="C24" s="292">
        <v>50000</v>
      </c>
      <c r="D24" s="258"/>
      <c r="E24" s="258">
        <v>1</v>
      </c>
      <c r="F24" s="305">
        <f>'Model Budget (MDAT)'!I33</f>
        <v>50834.5351900881</v>
      </c>
      <c r="G24" s="306"/>
      <c r="H24" s="309">
        <f t="shared" si="0"/>
        <v>834.53519008809963</v>
      </c>
      <c r="I24" s="309">
        <f t="shared" si="1"/>
        <v>417.26759504404981</v>
      </c>
      <c r="J24" s="300"/>
    </row>
    <row r="25" spans="1:13" ht="16.5" thickTop="1" thickBot="1" x14ac:dyDescent="0.3">
      <c r="A25" s="262"/>
      <c r="B25" s="252"/>
      <c r="C25" s="301">
        <f>SUM(C21:C24)</f>
        <v>115500</v>
      </c>
      <c r="D25" s="302"/>
      <c r="E25" s="302"/>
      <c r="F25" s="310">
        <f>SUM(F21:F24)</f>
        <v>122056.15561648039</v>
      </c>
      <c r="G25" s="310"/>
      <c r="H25" s="310">
        <f>SUM(H21:H24)</f>
        <v>6556.1556164803987</v>
      </c>
      <c r="I25" s="310">
        <f>H25*0.5</f>
        <v>3278.0778082401994</v>
      </c>
      <c r="J25" s="303">
        <f t="shared" ref="J25" si="2">(F25-C25)/C25</f>
        <v>5.6763252090739319E-2</v>
      </c>
    </row>
    <row r="29" spans="1:13" ht="15.75" thickBot="1" x14ac:dyDescent="0.3">
      <c r="A29" t="s">
        <v>239</v>
      </c>
    </row>
    <row r="30" spans="1:13" ht="60" x14ac:dyDescent="0.25">
      <c r="A30" s="379" t="s">
        <v>135</v>
      </c>
      <c r="B30" s="380"/>
      <c r="C30" s="380" t="s">
        <v>167</v>
      </c>
      <c r="D30" s="380"/>
      <c r="E30" s="380"/>
      <c r="F30" s="380" t="s">
        <v>168</v>
      </c>
      <c r="G30" s="381"/>
      <c r="H30" s="382" t="s">
        <v>224</v>
      </c>
      <c r="I30" s="382" t="s">
        <v>225</v>
      </c>
      <c r="J30" s="381"/>
      <c r="K30" s="383" t="s">
        <v>141</v>
      </c>
      <c r="L30" s="384" t="s">
        <v>177</v>
      </c>
      <c r="M30" s="385" t="s">
        <v>136</v>
      </c>
    </row>
    <row r="31" spans="1:13" ht="15" thickBot="1" x14ac:dyDescent="0.35">
      <c r="A31" s="361" t="s">
        <v>223</v>
      </c>
      <c r="B31" s="252"/>
      <c r="C31" s="301">
        <f>'Model Budget (ALP) '!F38</f>
        <v>1006790</v>
      </c>
      <c r="D31" s="302"/>
      <c r="E31" s="302"/>
      <c r="F31" s="310">
        <f>'Model Budget (ALP) '!I38</f>
        <v>601560.05078839092</v>
      </c>
      <c r="G31" s="310"/>
      <c r="H31" s="310">
        <f>'Model Budget (ALP) '!K38</f>
        <v>435926.75459655141</v>
      </c>
      <c r="I31" s="310">
        <f>F31+H31</f>
        <v>1037486.8053849423</v>
      </c>
      <c r="J31" s="310"/>
      <c r="K31" s="310">
        <f>I31-C31</f>
        <v>30696.80538494233</v>
      </c>
      <c r="L31" s="310">
        <f>K31*0.5</f>
        <v>15348.402692471165</v>
      </c>
      <c r="M31" s="303">
        <f>(I31-C31)/C31</f>
        <v>3.0489779780234538E-2</v>
      </c>
    </row>
  </sheetData>
  <mergeCells count="3">
    <mergeCell ref="A4:G4"/>
    <mergeCell ref="A12:G12"/>
    <mergeCell ref="A19:J19"/>
  </mergeCells>
  <pageMargins left="0.7" right="0.7" top="0.75" bottom="0.75" header="0.3" footer="0.3"/>
  <pageSetup scale="78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zoomScale="80" zoomScaleNormal="80" workbookViewId="0">
      <selection activeCell="C22" sqref="C22"/>
    </sheetView>
  </sheetViews>
  <sheetFormatPr defaultColWidth="8.88671875" defaultRowHeight="14.4" x14ac:dyDescent="0.3"/>
  <cols>
    <col min="1" max="1" width="44.33203125" style="214" customWidth="1"/>
    <col min="2" max="2" width="10.109375" style="214" customWidth="1"/>
    <col min="3" max="3" width="49.109375" style="214" customWidth="1"/>
    <col min="4" max="4" width="2.6640625" style="214" customWidth="1"/>
    <col min="5" max="5" width="2" style="214" customWidth="1"/>
    <col min="6" max="6" width="32.33203125" style="214" customWidth="1"/>
    <col min="7" max="7" width="10" style="214" bestFit="1" customWidth="1"/>
    <col min="8" max="8" width="9" style="214" bestFit="1" customWidth="1"/>
    <col min="9" max="9" width="11.5546875" style="214" bestFit="1" customWidth="1"/>
    <col min="10" max="10" width="3.88671875" style="214" customWidth="1"/>
    <col min="11" max="11" width="32.44140625" style="214" customWidth="1"/>
    <col min="12" max="12" width="11.6640625" style="214" customWidth="1"/>
    <col min="13" max="13" width="9.44140625" style="214" bestFit="1" customWidth="1"/>
    <col min="14" max="14" width="11.5546875" style="214" bestFit="1" customWidth="1"/>
    <col min="15" max="15" width="8.88671875" style="214"/>
    <col min="16" max="16" width="20" style="214" hidden="1" customWidth="1"/>
    <col min="17" max="17" width="6.88671875" style="214" hidden="1" customWidth="1"/>
    <col min="18" max="18" width="0" style="214" hidden="1" customWidth="1"/>
    <col min="19" max="19" width="11.44140625" style="214" hidden="1" customWidth="1"/>
    <col min="20" max="20" width="13" style="104" bestFit="1" customWidth="1"/>
    <col min="21" max="21" width="18.5546875" style="104" customWidth="1"/>
    <col min="22" max="24" width="8.88671875" style="104"/>
    <col min="25" max="16384" width="8.88671875" style="214"/>
  </cols>
  <sheetData>
    <row r="1" spans="1:21" ht="16.2" thickBot="1" x14ac:dyDescent="0.35">
      <c r="A1" s="412"/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</row>
    <row r="2" spans="1:21" ht="16.2" thickBot="1" x14ac:dyDescent="0.35">
      <c r="A2" s="537" t="s">
        <v>251</v>
      </c>
      <c r="B2" s="538"/>
      <c r="C2" s="539"/>
      <c r="D2" s="412"/>
      <c r="E2" s="412"/>
      <c r="F2" s="540" t="s">
        <v>197</v>
      </c>
      <c r="G2" s="541"/>
      <c r="H2" s="541"/>
      <c r="I2" s="542"/>
      <c r="J2" s="412"/>
      <c r="K2" s="540" t="s">
        <v>197</v>
      </c>
      <c r="L2" s="541"/>
      <c r="M2" s="541"/>
      <c r="N2" s="542"/>
      <c r="P2" s="543" t="s">
        <v>197</v>
      </c>
      <c r="Q2" s="544"/>
      <c r="R2" s="544"/>
      <c r="S2" s="545"/>
    </row>
    <row r="3" spans="1:21" ht="16.2" thickBot="1" x14ac:dyDescent="0.35">
      <c r="A3" s="413" t="s">
        <v>250</v>
      </c>
      <c r="B3" s="414" t="s">
        <v>10</v>
      </c>
      <c r="C3" s="415" t="s">
        <v>8</v>
      </c>
      <c r="D3" s="412"/>
      <c r="E3" s="412"/>
      <c r="F3" s="540" t="s">
        <v>256</v>
      </c>
      <c r="G3" s="541"/>
      <c r="H3" s="541"/>
      <c r="I3" s="542"/>
      <c r="J3" s="412"/>
      <c r="K3" s="540" t="s">
        <v>257</v>
      </c>
      <c r="L3" s="541"/>
      <c r="M3" s="541"/>
      <c r="N3" s="542"/>
      <c r="P3" s="543" t="s">
        <v>246</v>
      </c>
      <c r="Q3" s="544"/>
      <c r="R3" s="544"/>
      <c r="S3" s="545"/>
      <c r="T3" s="295"/>
    </row>
    <row r="4" spans="1:21" ht="15.6" x14ac:dyDescent="0.3">
      <c r="A4" s="416" t="s">
        <v>189</v>
      </c>
      <c r="B4" s="417">
        <f>'CSSI Contract Data'!N3</f>
        <v>72776.923076923078</v>
      </c>
      <c r="C4" s="418" t="s">
        <v>270</v>
      </c>
      <c r="D4" s="412"/>
      <c r="E4" s="412"/>
      <c r="F4" s="419"/>
      <c r="G4" s="536" t="s">
        <v>245</v>
      </c>
      <c r="H4" s="536"/>
      <c r="I4" s="420">
        <v>1</v>
      </c>
      <c r="J4" s="412"/>
      <c r="K4" s="419"/>
      <c r="L4" s="536" t="s">
        <v>245</v>
      </c>
      <c r="M4" s="536"/>
      <c r="N4" s="420">
        <v>5</v>
      </c>
      <c r="P4" s="216"/>
      <c r="Q4" s="521" t="s">
        <v>245</v>
      </c>
      <c r="R4" s="521"/>
      <c r="S4" s="483">
        <v>10</v>
      </c>
      <c r="T4" s="390"/>
      <c r="U4" s="295"/>
    </row>
    <row r="5" spans="1:21" ht="15.6" x14ac:dyDescent="0.3">
      <c r="A5" s="421" t="s">
        <v>258</v>
      </c>
      <c r="B5" s="417">
        <f>'CSSI Contract Data'!N4</f>
        <v>33534.864864864867</v>
      </c>
      <c r="C5" s="418" t="s">
        <v>270</v>
      </c>
      <c r="D5" s="412"/>
      <c r="E5" s="412"/>
      <c r="F5" s="422" t="s">
        <v>9</v>
      </c>
      <c r="G5" s="423" t="s">
        <v>10</v>
      </c>
      <c r="H5" s="423" t="s">
        <v>1</v>
      </c>
      <c r="I5" s="424" t="s">
        <v>11</v>
      </c>
      <c r="J5" s="412"/>
      <c r="K5" s="422" t="s">
        <v>9</v>
      </c>
      <c r="L5" s="423" t="s">
        <v>10</v>
      </c>
      <c r="M5" s="423" t="s">
        <v>1</v>
      </c>
      <c r="N5" s="424" t="s">
        <v>11</v>
      </c>
      <c r="P5" s="232" t="s">
        <v>9</v>
      </c>
      <c r="Q5" s="186" t="s">
        <v>10</v>
      </c>
      <c r="R5" s="186" t="s">
        <v>1</v>
      </c>
      <c r="S5" s="186" t="s">
        <v>11</v>
      </c>
      <c r="T5" s="391"/>
      <c r="U5" s="489"/>
    </row>
    <row r="6" spans="1:21" ht="15.6" x14ac:dyDescent="0.3">
      <c r="A6" s="421" t="s">
        <v>123</v>
      </c>
      <c r="B6" s="417">
        <f>'CSSI Contract Data'!N5</f>
        <v>32954.166666666672</v>
      </c>
      <c r="C6" s="418" t="s">
        <v>270</v>
      </c>
      <c r="D6" s="412"/>
      <c r="E6" s="412"/>
      <c r="F6" s="425" t="str">
        <f>A4</f>
        <v>Management</v>
      </c>
      <c r="G6" s="426">
        <f>B4</f>
        <v>72776.923076923078</v>
      </c>
      <c r="H6" s="427">
        <v>0.02</v>
      </c>
      <c r="I6" s="428">
        <f>G6*H6</f>
        <v>1455.5384615384617</v>
      </c>
      <c r="J6" s="412"/>
      <c r="K6" s="425" t="str">
        <f>A4</f>
        <v>Management</v>
      </c>
      <c r="L6" s="426">
        <f>B4</f>
        <v>72776.923076923078</v>
      </c>
      <c r="M6" s="427">
        <v>0.15</v>
      </c>
      <c r="N6" s="428">
        <f>L6*M6</f>
        <v>10916.538461538461</v>
      </c>
      <c r="P6" s="339" t="s">
        <v>171</v>
      </c>
      <c r="Q6" s="314">
        <f>B4</f>
        <v>72776.923076923078</v>
      </c>
      <c r="R6" s="315">
        <v>0.13</v>
      </c>
      <c r="S6" s="484">
        <f>Q6*R6</f>
        <v>9461</v>
      </c>
      <c r="U6" s="489"/>
    </row>
    <row r="7" spans="1:21" ht="15.6" x14ac:dyDescent="0.3">
      <c r="A7" s="429"/>
      <c r="B7" s="430"/>
      <c r="C7" s="431"/>
      <c r="D7" s="412"/>
      <c r="E7" s="412"/>
      <c r="F7" s="432" t="str">
        <f>A5</f>
        <v xml:space="preserve">LCSW / Specialized Staff </v>
      </c>
      <c r="G7" s="433">
        <f>B5</f>
        <v>33534.864864864867</v>
      </c>
      <c r="H7" s="434">
        <v>0.15</v>
      </c>
      <c r="I7" s="435">
        <f t="shared" ref="I7" si="0">G7*H7</f>
        <v>5030.22972972973</v>
      </c>
      <c r="J7" s="412"/>
      <c r="K7" s="432" t="str">
        <f>A5</f>
        <v xml:space="preserve">LCSW / Specialized Staff </v>
      </c>
      <c r="L7" s="433">
        <f>B5</f>
        <v>33534.864864864867</v>
      </c>
      <c r="M7" s="434">
        <v>0.75</v>
      </c>
      <c r="N7" s="435">
        <f t="shared" ref="N7" si="1">L7*M7</f>
        <v>25151.14864864865</v>
      </c>
      <c r="P7" s="223" t="s">
        <v>137</v>
      </c>
      <c r="Q7" s="213">
        <v>32208</v>
      </c>
      <c r="R7" s="225">
        <v>3.45</v>
      </c>
      <c r="S7" s="400">
        <f t="shared" ref="S7" si="2">Q7*R7</f>
        <v>111117.6</v>
      </c>
      <c r="U7" s="489"/>
    </row>
    <row r="8" spans="1:21" ht="16.2" thickBot="1" x14ac:dyDescent="0.35">
      <c r="A8" s="421" t="s">
        <v>2</v>
      </c>
      <c r="B8" s="436">
        <f>'CSSI Contract Data'!M8</f>
        <v>0.23010413647321651</v>
      </c>
      <c r="C8" s="418" t="s">
        <v>270</v>
      </c>
      <c r="D8" s="412"/>
      <c r="E8" s="412"/>
      <c r="F8" s="437" t="s">
        <v>123</v>
      </c>
      <c r="G8" s="438">
        <f>B6</f>
        <v>32954.166666666672</v>
      </c>
      <c r="H8" s="439">
        <v>0.03</v>
      </c>
      <c r="I8" s="435">
        <f>G8*H8</f>
        <v>988.62500000000011</v>
      </c>
      <c r="J8" s="412"/>
      <c r="K8" s="437" t="s">
        <v>123</v>
      </c>
      <c r="L8" s="438">
        <f>B6</f>
        <v>32954.166666666672</v>
      </c>
      <c r="M8" s="439">
        <v>0.05</v>
      </c>
      <c r="N8" s="435">
        <f>L8*M8</f>
        <v>1647.7083333333337</v>
      </c>
      <c r="P8" s="236" t="s">
        <v>123</v>
      </c>
      <c r="Q8" s="312">
        <v>32954</v>
      </c>
      <c r="R8" s="313">
        <v>0.24</v>
      </c>
      <c r="S8" s="400">
        <f>Q8*R8</f>
        <v>7908.96</v>
      </c>
      <c r="U8" s="489"/>
    </row>
    <row r="9" spans="1:21" ht="16.2" thickBot="1" x14ac:dyDescent="0.35">
      <c r="A9" s="429"/>
      <c r="B9" s="440"/>
      <c r="C9" s="431"/>
      <c r="D9" s="412"/>
      <c r="E9" s="412"/>
      <c r="F9" s="441" t="s">
        <v>3</v>
      </c>
      <c r="G9" s="442"/>
      <c r="H9" s="443">
        <f>SUM(H6:H8)</f>
        <v>0.19999999999999998</v>
      </c>
      <c r="I9" s="444">
        <f>SUM(I6:I8)</f>
        <v>7474.3931912681919</v>
      </c>
      <c r="J9" s="412"/>
      <c r="K9" s="441" t="s">
        <v>3</v>
      </c>
      <c r="L9" s="442"/>
      <c r="M9" s="443">
        <f>SUM(M6:M8)</f>
        <v>0.95000000000000007</v>
      </c>
      <c r="N9" s="444">
        <f>SUM(N6:N8)</f>
        <v>37715.395443520443</v>
      </c>
      <c r="P9" s="324" t="s">
        <v>3</v>
      </c>
      <c r="Q9" s="325"/>
      <c r="R9" s="326">
        <v>4.07</v>
      </c>
      <c r="S9" s="485">
        <f>SUM(S6:S8)</f>
        <v>128487.56000000001</v>
      </c>
      <c r="U9" s="489"/>
    </row>
    <row r="10" spans="1:21" ht="16.2" thickBot="1" x14ac:dyDescent="0.35">
      <c r="A10" s="421"/>
      <c r="B10" s="417"/>
      <c r="C10" s="418"/>
      <c r="D10" s="412"/>
      <c r="E10" s="412"/>
      <c r="F10" s="437" t="s">
        <v>13</v>
      </c>
      <c r="G10" s="445">
        <f>B8</f>
        <v>0.23010413647321651</v>
      </c>
      <c r="H10" s="446"/>
      <c r="I10" s="447">
        <f>I9*G10</f>
        <v>1719.8887909380562</v>
      </c>
      <c r="J10" s="412"/>
      <c r="K10" s="437" t="s">
        <v>13</v>
      </c>
      <c r="L10" s="445">
        <f>B8</f>
        <v>0.23010413647321651</v>
      </c>
      <c r="M10" s="446"/>
      <c r="N10" s="447">
        <f>N9*L10</f>
        <v>8678.4685002771566</v>
      </c>
      <c r="P10" s="236" t="s">
        <v>13</v>
      </c>
      <c r="Q10" s="212">
        <v>0.2301</v>
      </c>
      <c r="R10" s="328"/>
      <c r="S10" s="401">
        <f>S9*Q10</f>
        <v>29564.987556000004</v>
      </c>
    </row>
    <row r="11" spans="1:21" ht="29.4" x14ac:dyDescent="0.3">
      <c r="A11" s="479" t="s">
        <v>268</v>
      </c>
      <c r="B11" s="417">
        <v>850</v>
      </c>
      <c r="C11" s="418" t="s">
        <v>267</v>
      </c>
      <c r="D11" s="412"/>
      <c r="E11" s="412"/>
      <c r="F11" s="448" t="s">
        <v>14</v>
      </c>
      <c r="G11" s="449"/>
      <c r="H11" s="450"/>
      <c r="I11" s="451">
        <f>SUM(I9+I10)</f>
        <v>9194.2819822062484</v>
      </c>
      <c r="J11" s="412"/>
      <c r="K11" s="448" t="s">
        <v>14</v>
      </c>
      <c r="L11" s="449"/>
      <c r="M11" s="450"/>
      <c r="N11" s="451">
        <f>SUM(N9+N10)</f>
        <v>46393.863943797602</v>
      </c>
      <c r="P11" s="329" t="s">
        <v>14</v>
      </c>
      <c r="Q11" s="330"/>
      <c r="R11" s="331"/>
      <c r="S11" s="486">
        <f>SUM(S9+S10)</f>
        <v>158052.547556</v>
      </c>
      <c r="T11" s="182"/>
    </row>
    <row r="12" spans="1:21" ht="15.6" x14ac:dyDescent="0.3">
      <c r="A12" s="421"/>
      <c r="B12" s="417"/>
      <c r="C12" s="418"/>
      <c r="D12" s="412"/>
      <c r="E12" s="412"/>
      <c r="F12" s="425" t="s">
        <v>269</v>
      </c>
      <c r="G12" s="480">
        <f>B11</f>
        <v>850</v>
      </c>
      <c r="H12" s="452"/>
      <c r="I12" s="481">
        <f>G12*I4</f>
        <v>850</v>
      </c>
      <c r="J12" s="412"/>
      <c r="K12" s="425" t="s">
        <v>269</v>
      </c>
      <c r="L12" s="480">
        <f>B11</f>
        <v>850</v>
      </c>
      <c r="M12" s="482"/>
      <c r="N12" s="481">
        <f>L12*N4</f>
        <v>4250</v>
      </c>
      <c r="P12" s="339" t="s">
        <v>4</v>
      </c>
      <c r="Q12" s="333"/>
      <c r="R12" s="334"/>
      <c r="S12" s="487">
        <f>'CSSI Contract Data'!W10*R9</f>
        <v>0</v>
      </c>
    </row>
    <row r="13" spans="1:21" ht="16.2" thickBot="1" x14ac:dyDescent="0.35">
      <c r="A13" s="429"/>
      <c r="B13" s="455"/>
      <c r="C13" s="431"/>
      <c r="D13" s="412"/>
      <c r="E13" s="412"/>
      <c r="F13" s="437"/>
      <c r="G13" s="453"/>
      <c r="H13" s="453"/>
      <c r="I13" s="454"/>
      <c r="J13" s="412"/>
      <c r="K13" s="437"/>
      <c r="L13" s="453"/>
      <c r="M13" s="453"/>
      <c r="N13" s="454"/>
      <c r="P13" s="236" t="s">
        <v>125</v>
      </c>
      <c r="Q13" s="234"/>
      <c r="R13" s="277"/>
      <c r="S13" s="402">
        <f>'CSSI Contract Data'!W11*'Model Budget old (CSSI)'!N10</f>
        <v>0</v>
      </c>
    </row>
    <row r="14" spans="1:21" ht="16.2" thickBot="1" x14ac:dyDescent="0.35">
      <c r="A14" s="421" t="s">
        <v>5</v>
      </c>
      <c r="B14" s="436">
        <v>0.12</v>
      </c>
      <c r="C14" s="418" t="s">
        <v>253</v>
      </c>
      <c r="D14" s="412"/>
      <c r="E14" s="412"/>
      <c r="F14" s="457" t="s">
        <v>17</v>
      </c>
      <c r="G14" s="458"/>
      <c r="H14" s="442"/>
      <c r="I14" s="444">
        <f>SUM(I11:I13)</f>
        <v>10044.281982206248</v>
      </c>
      <c r="J14" s="412"/>
      <c r="K14" s="457" t="s">
        <v>17</v>
      </c>
      <c r="L14" s="458"/>
      <c r="M14" s="442"/>
      <c r="N14" s="444">
        <f>SUM(N11:N13)</f>
        <v>50643.863943797602</v>
      </c>
      <c r="P14" s="236" t="s">
        <v>126</v>
      </c>
      <c r="Q14" s="234"/>
      <c r="R14" s="277"/>
      <c r="S14" s="402">
        <f>'CSSI Contract Data'!W12*'Model Budget old (CSSI)'!N10</f>
        <v>0</v>
      </c>
    </row>
    <row r="15" spans="1:21" ht="16.2" thickBot="1" x14ac:dyDescent="0.35">
      <c r="A15" s="429"/>
      <c r="B15" s="456"/>
      <c r="C15" s="431"/>
      <c r="D15" s="412"/>
      <c r="E15" s="412"/>
      <c r="F15" s="459" t="s">
        <v>16</v>
      </c>
      <c r="G15" s="460">
        <v>0.12</v>
      </c>
      <c r="H15" s="461"/>
      <c r="I15" s="462">
        <f>I14*G15</f>
        <v>1205.3138378647498</v>
      </c>
      <c r="J15" s="412"/>
      <c r="K15" s="459" t="s">
        <v>16</v>
      </c>
      <c r="L15" s="460">
        <f>B14</f>
        <v>0.12</v>
      </c>
      <c r="M15" s="461"/>
      <c r="N15" s="462">
        <f>N14*L15</f>
        <v>6077.2636732557121</v>
      </c>
      <c r="P15" s="236" t="s">
        <v>0</v>
      </c>
      <c r="Q15" s="234"/>
      <c r="R15" s="234"/>
      <c r="S15" s="402">
        <f>R9*'CSSI Contract Data'!W13</f>
        <v>0</v>
      </c>
    </row>
    <row r="16" spans="1:21" ht="16.2" thickBot="1" x14ac:dyDescent="0.35">
      <c r="A16" s="499" t="s">
        <v>280</v>
      </c>
      <c r="B16" s="500">
        <f>'CAF Sp 2016'!BD40</f>
        <v>4.2774125940745131E-2</v>
      </c>
      <c r="C16" s="501" t="s">
        <v>252</v>
      </c>
      <c r="D16" s="412"/>
      <c r="E16" s="412"/>
      <c r="F16" s="437" t="s">
        <v>19</v>
      </c>
      <c r="G16" s="463"/>
      <c r="H16" s="464"/>
      <c r="I16" s="465">
        <f>I15+I14</f>
        <v>11249.595820070997</v>
      </c>
      <c r="J16" s="412"/>
      <c r="K16" s="437" t="s">
        <v>19</v>
      </c>
      <c r="L16" s="463"/>
      <c r="M16" s="464"/>
      <c r="N16" s="465">
        <f>N15+N14</f>
        <v>56721.127617053316</v>
      </c>
      <c r="P16" s="337" t="s">
        <v>17</v>
      </c>
      <c r="Q16" s="338"/>
      <c r="R16" s="325"/>
      <c r="S16" s="485">
        <f>SUM(S11:S15)</f>
        <v>158052.547556</v>
      </c>
    </row>
    <row r="17" spans="1:21" ht="16.2" thickBot="1" x14ac:dyDescent="0.35">
      <c r="A17" s="502" t="s">
        <v>279</v>
      </c>
      <c r="B17" s="503">
        <f>'CAF Spring 2018'!BQ27</f>
        <v>2.6804860614724868E-2</v>
      </c>
      <c r="C17" s="504" t="s">
        <v>281</v>
      </c>
      <c r="D17" s="412"/>
      <c r="E17" s="412"/>
      <c r="F17" s="437" t="s">
        <v>20</v>
      </c>
      <c r="G17" s="445">
        <f>B16</f>
        <v>4.2774125940745131E-2</v>
      </c>
      <c r="H17" s="464"/>
      <c r="I17" s="466">
        <f>I16*(G17+1)</f>
        <v>11730.787448461193</v>
      </c>
      <c r="J17" s="412"/>
      <c r="K17" s="437" t="s">
        <v>20</v>
      </c>
      <c r="L17" s="445">
        <f>B16</f>
        <v>4.2774125940745131E-2</v>
      </c>
      <c r="M17" s="464"/>
      <c r="N17" s="466">
        <f>N16*(L17+1)</f>
        <v>59147.324273246224</v>
      </c>
      <c r="P17" s="343" t="s">
        <v>16</v>
      </c>
      <c r="Q17" s="335">
        <v>0.1394</v>
      </c>
      <c r="R17" s="336"/>
      <c r="S17" s="393">
        <f>S16*Q17</f>
        <v>22032.525129306399</v>
      </c>
    </row>
    <row r="18" spans="1:21" ht="15.6" x14ac:dyDescent="0.3">
      <c r="A18" s="505"/>
      <c r="B18" s="506"/>
      <c r="C18" s="507"/>
      <c r="D18" s="412"/>
      <c r="E18" s="412"/>
      <c r="F18" s="437" t="str">
        <f>A17</f>
        <v>CAF (Rate Review for FY20 &amp; FY21)</v>
      </c>
      <c r="G18" s="445">
        <f>B17</f>
        <v>2.6804860614724868E-2</v>
      </c>
      <c r="H18" s="464"/>
      <c r="I18" s="466">
        <f>I17*(G18+1)</f>
        <v>12045.22957091816</v>
      </c>
      <c r="J18" s="412"/>
      <c r="K18" s="437" t="str">
        <f>A17</f>
        <v>CAF (Rate Review for FY20 &amp; FY21)</v>
      </c>
      <c r="L18" s="445">
        <f>B17</f>
        <v>2.6804860614724868E-2</v>
      </c>
      <c r="M18" s="464"/>
      <c r="N18" s="466">
        <f>N17*(L18+1)</f>
        <v>60732.76005612452</v>
      </c>
      <c r="P18" s="236"/>
      <c r="Q18" s="237"/>
      <c r="R18" s="233"/>
      <c r="S18" s="401"/>
    </row>
    <row r="19" spans="1:21" ht="15.6" x14ac:dyDescent="0.3">
      <c r="A19" s="412"/>
      <c r="B19" s="412"/>
      <c r="C19" s="412"/>
      <c r="D19" s="412"/>
      <c r="E19" s="412"/>
      <c r="F19" s="467"/>
      <c r="G19" s="468"/>
      <c r="H19" s="469"/>
      <c r="I19" s="470" t="s">
        <v>21</v>
      </c>
      <c r="J19" s="412"/>
      <c r="K19" s="467"/>
      <c r="L19" s="468"/>
      <c r="M19" s="469"/>
      <c r="N19" s="470" t="s">
        <v>21</v>
      </c>
      <c r="P19" s="236" t="s">
        <v>19</v>
      </c>
      <c r="Q19" s="245"/>
      <c r="R19" s="233"/>
      <c r="S19" s="394">
        <f>S17+S16</f>
        <v>180085.0726853064</v>
      </c>
    </row>
    <row r="20" spans="1:21" ht="16.2" thickBot="1" x14ac:dyDescent="0.35">
      <c r="A20" s="412"/>
      <c r="B20" s="412"/>
      <c r="C20" s="412"/>
      <c r="D20" s="412"/>
      <c r="E20" s="412"/>
      <c r="F20" s="471" t="s">
        <v>249</v>
      </c>
      <c r="G20" s="472"/>
      <c r="H20" s="472"/>
      <c r="I20" s="473">
        <f>I18/12</f>
        <v>1003.7691309098467</v>
      </c>
      <c r="J20" s="412"/>
      <c r="K20" s="471" t="s">
        <v>249</v>
      </c>
      <c r="L20" s="472"/>
      <c r="M20" s="472"/>
      <c r="N20" s="473">
        <f>N18/12</f>
        <v>5061.0633380103764</v>
      </c>
      <c r="P20" s="236" t="s">
        <v>20</v>
      </c>
      <c r="Q20" s="212">
        <f>'CAF Sp 2016'!BN39</f>
        <v>0</v>
      </c>
      <c r="R20" s="233"/>
      <c r="S20" s="395">
        <f>S19*(Q20+1)</f>
        <v>180085.0726853064</v>
      </c>
    </row>
    <row r="21" spans="1:21" ht="15.6" x14ac:dyDescent="0.3">
      <c r="A21" s="412"/>
      <c r="B21" s="412"/>
      <c r="C21" s="412"/>
      <c r="D21" s="412"/>
      <c r="E21" s="412"/>
      <c r="F21" s="412"/>
      <c r="G21" s="412"/>
      <c r="H21" s="412"/>
      <c r="I21" s="412"/>
      <c r="J21" s="412"/>
      <c r="K21" s="412"/>
      <c r="L21" s="412"/>
      <c r="M21" s="412"/>
      <c r="N21" s="412"/>
      <c r="P21" s="316"/>
      <c r="Q21" s="317"/>
      <c r="R21" s="318"/>
      <c r="S21" s="396" t="s">
        <v>21</v>
      </c>
    </row>
    <row r="22" spans="1:21" ht="16.2" thickBot="1" x14ac:dyDescent="0.35">
      <c r="A22" s="412"/>
      <c r="B22" s="412"/>
      <c r="C22" s="412"/>
      <c r="D22" s="412"/>
      <c r="E22" s="412"/>
      <c r="P22" s="345" t="s">
        <v>249</v>
      </c>
      <c r="Q22" s="346"/>
      <c r="R22" s="346"/>
      <c r="S22" s="488">
        <f>S20/S4</f>
        <v>18008.50726853064</v>
      </c>
    </row>
    <row r="23" spans="1:21" ht="15.6" x14ac:dyDescent="0.3">
      <c r="D23" s="412"/>
      <c r="E23" s="412"/>
      <c r="N23" s="392"/>
    </row>
    <row r="24" spans="1:21" ht="15" thickBot="1" x14ac:dyDescent="0.35">
      <c r="N24" s="392"/>
    </row>
    <row r="25" spans="1:21" ht="15" thickBot="1" x14ac:dyDescent="0.35">
      <c r="A25" s="253"/>
      <c r="B25" s="406"/>
      <c r="C25" s="404"/>
      <c r="D25" s="253"/>
      <c r="E25" s="253"/>
      <c r="F25" s="405"/>
      <c r="G25" s="245"/>
      <c r="H25" s="405"/>
      <c r="I25" s="408"/>
      <c r="J25" s="253"/>
      <c r="K25" s="405"/>
      <c r="L25" s="245"/>
      <c r="M25" s="405"/>
      <c r="N25" s="408"/>
      <c r="P25" s="337" t="s">
        <v>17</v>
      </c>
      <c r="Q25" s="338"/>
      <c r="R25" s="325"/>
      <c r="S25" s="485" t="e">
        <f>SUM(#REF!)</f>
        <v>#REF!</v>
      </c>
    </row>
    <row r="26" spans="1:21" x14ac:dyDescent="0.3">
      <c r="A26" s="253"/>
      <c r="B26" s="253"/>
      <c r="C26" s="253"/>
      <c r="D26" s="253"/>
      <c r="E26" s="253"/>
      <c r="F26" s="405"/>
      <c r="G26" s="407"/>
      <c r="H26" s="405"/>
      <c r="I26" s="409"/>
      <c r="J26" s="253"/>
      <c r="K26" s="405"/>
      <c r="L26" s="407"/>
      <c r="M26" s="405"/>
      <c r="N26" s="409"/>
      <c r="P26" s="343" t="s">
        <v>16</v>
      </c>
      <c r="Q26" s="335" t="e">
        <f>#REF!</f>
        <v>#REF!</v>
      </c>
      <c r="R26" s="336"/>
      <c r="S26" s="393" t="e">
        <f>S25*Q26</f>
        <v>#REF!</v>
      </c>
    </row>
    <row r="27" spans="1:21" x14ac:dyDescent="0.3">
      <c r="A27" s="253"/>
      <c r="B27" s="253"/>
      <c r="C27" s="253"/>
      <c r="D27" s="253"/>
      <c r="E27" s="253"/>
      <c r="F27" s="403"/>
      <c r="G27" s="317"/>
      <c r="H27" s="318"/>
      <c r="I27" s="396"/>
      <c r="J27" s="253"/>
      <c r="K27" s="403"/>
      <c r="L27" s="317"/>
      <c r="M27" s="318"/>
      <c r="N27" s="396"/>
      <c r="P27" s="236" t="s">
        <v>19</v>
      </c>
      <c r="Q27" s="245"/>
      <c r="R27" s="233"/>
      <c r="S27" s="394" t="e">
        <f>S26+S25</f>
        <v>#REF!</v>
      </c>
      <c r="T27" s="306"/>
      <c r="U27" s="489"/>
    </row>
    <row r="28" spans="1:21" x14ac:dyDescent="0.3">
      <c r="A28" s="253"/>
      <c r="B28" s="253"/>
      <c r="C28" s="253"/>
      <c r="D28" s="253"/>
      <c r="E28" s="253"/>
      <c r="F28" s="281"/>
      <c r="G28" s="281"/>
      <c r="H28" s="281"/>
      <c r="I28" s="410"/>
      <c r="J28" s="253"/>
      <c r="K28" s="281"/>
      <c r="L28" s="281"/>
      <c r="M28" s="281"/>
      <c r="N28" s="410"/>
      <c r="P28" s="236" t="s">
        <v>20</v>
      </c>
      <c r="Q28" s="212">
        <f>B25</f>
        <v>0</v>
      </c>
      <c r="R28" s="233"/>
      <c r="S28" s="395" t="e">
        <f>S27*(Q28+1)</f>
        <v>#REF!</v>
      </c>
    </row>
    <row r="29" spans="1:21" x14ac:dyDescent="0.3">
      <c r="A29" s="253"/>
      <c r="B29" s="253"/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3"/>
      <c r="N29" s="253"/>
      <c r="P29" s="316"/>
      <c r="Q29" s="317"/>
      <c r="R29" s="318"/>
      <c r="S29" s="396" t="s">
        <v>21</v>
      </c>
    </row>
    <row r="30" spans="1:21" ht="15" thickBot="1" x14ac:dyDescent="0.35">
      <c r="A30" s="253"/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P30" s="345" t="s">
        <v>249</v>
      </c>
      <c r="Q30" s="346"/>
      <c r="R30" s="346"/>
      <c r="S30" s="397" t="e">
        <f>S28/12</f>
        <v>#REF!</v>
      </c>
      <c r="T30" s="182"/>
      <c r="U30" s="490"/>
    </row>
    <row r="31" spans="1:21" x14ac:dyDescent="0.3">
      <c r="A31" s="253"/>
      <c r="B31" s="253"/>
      <c r="C31" s="253"/>
      <c r="D31" s="253"/>
      <c r="E31" s="253"/>
      <c r="F31" s="253"/>
      <c r="G31" s="253"/>
      <c r="H31" s="253"/>
      <c r="I31" s="253"/>
      <c r="J31" s="253"/>
      <c r="K31" s="253"/>
      <c r="L31" s="253"/>
      <c r="M31" s="253"/>
      <c r="N31" s="253"/>
    </row>
    <row r="32" spans="1:21" ht="15" x14ac:dyDescent="0.25">
      <c r="A32" s="253"/>
      <c r="B32" s="253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3"/>
    </row>
    <row r="33" spans="1:14" ht="15" x14ac:dyDescent="0.25">
      <c r="A33" s="253"/>
      <c r="B33" s="253"/>
      <c r="C33" s="253"/>
      <c r="D33" s="253"/>
      <c r="E33" s="253"/>
      <c r="F33" s="253"/>
      <c r="G33" s="253"/>
      <c r="H33" s="253"/>
      <c r="I33" s="411"/>
      <c r="J33" s="253"/>
      <c r="K33" s="253"/>
      <c r="L33" s="253"/>
      <c r="M33" s="253"/>
      <c r="N33" s="253"/>
    </row>
    <row r="34" spans="1:14" ht="15" x14ac:dyDescent="0.25">
      <c r="A34" s="253"/>
      <c r="B34" s="253"/>
      <c r="C34" s="253"/>
      <c r="D34" s="253"/>
      <c r="E34" s="253"/>
      <c r="F34" s="253"/>
      <c r="G34" s="253"/>
      <c r="H34" s="253"/>
      <c r="I34" s="411"/>
      <c r="J34" s="253"/>
      <c r="K34" s="253"/>
      <c r="L34" s="253"/>
      <c r="M34" s="253"/>
      <c r="N34" s="253"/>
    </row>
    <row r="35" spans="1:14" ht="15" x14ac:dyDescent="0.25">
      <c r="A35" s="253"/>
      <c r="B35" s="253"/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</row>
    <row r="36" spans="1:14" ht="15" x14ac:dyDescent="0.25">
      <c r="A36" s="253"/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</row>
    <row r="37" spans="1:14" ht="15" x14ac:dyDescent="0.25">
      <c r="A37" s="253"/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</row>
    <row r="38" spans="1:14" ht="15" x14ac:dyDescent="0.25">
      <c r="A38" s="253"/>
      <c r="B38" s="253"/>
      <c r="C38" s="253"/>
      <c r="D38" s="253"/>
      <c r="E38" s="253"/>
      <c r="F38" s="253"/>
      <c r="G38" s="253"/>
      <c r="H38" s="253"/>
      <c r="I38" s="253"/>
      <c r="J38" s="253"/>
      <c r="K38" s="253"/>
      <c r="L38" s="253"/>
      <c r="M38" s="253"/>
      <c r="N38" s="253"/>
    </row>
    <row r="39" spans="1:14" ht="15" x14ac:dyDescent="0.25">
      <c r="A39" s="253"/>
      <c r="B39" s="253"/>
      <c r="C39" s="253"/>
      <c r="D39" s="253"/>
      <c r="E39" s="253"/>
      <c r="F39" s="253"/>
      <c r="G39" s="253"/>
      <c r="H39" s="253"/>
      <c r="I39" s="253"/>
      <c r="J39" s="253"/>
      <c r="K39" s="253"/>
      <c r="L39" s="253"/>
      <c r="M39" s="253"/>
      <c r="N39" s="253"/>
    </row>
    <row r="40" spans="1:14" ht="15" x14ac:dyDescent="0.25">
      <c r="A40" s="253"/>
      <c r="B40" s="253"/>
      <c r="C40" s="253"/>
      <c r="D40" s="253"/>
      <c r="E40" s="253"/>
      <c r="F40" s="253"/>
      <c r="G40" s="253"/>
      <c r="H40" s="253"/>
      <c r="I40" s="253"/>
      <c r="J40" s="253"/>
      <c r="K40" s="253"/>
      <c r="L40" s="253"/>
      <c r="M40" s="253"/>
      <c r="N40" s="253"/>
    </row>
    <row r="41" spans="1:14" ht="15" x14ac:dyDescent="0.25">
      <c r="A41" s="253"/>
      <c r="B41" s="253"/>
      <c r="C41" s="253"/>
      <c r="D41" s="253"/>
      <c r="E41" s="253"/>
    </row>
    <row r="42" spans="1:14" ht="15" x14ac:dyDescent="0.25">
      <c r="D42" s="253"/>
      <c r="E42" s="253"/>
    </row>
  </sheetData>
  <mergeCells count="10">
    <mergeCell ref="G4:H4"/>
    <mergeCell ref="L4:M4"/>
    <mergeCell ref="Q4:R4"/>
    <mergeCell ref="A2:C2"/>
    <mergeCell ref="F2:I2"/>
    <mergeCell ref="K2:N2"/>
    <mergeCell ref="P2:S2"/>
    <mergeCell ref="F3:I3"/>
    <mergeCell ref="K3:N3"/>
    <mergeCell ref="P3:S3"/>
  </mergeCells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CAF</vt:lpstr>
      <vt:lpstr>Model Budget (CSSE)</vt:lpstr>
      <vt:lpstr>Model Budget old (CSSI)</vt:lpstr>
      <vt:lpstr>Model Budget (ALP) </vt:lpstr>
      <vt:lpstr>ALP Contract Data</vt:lpstr>
      <vt:lpstr>Model Budget (MDAT)</vt:lpstr>
      <vt:lpstr>FBCS Contract Data </vt:lpstr>
      <vt:lpstr>Combined Fiscal Impact</vt:lpstr>
      <vt:lpstr>Conflict Model 1 &amp; 5 Family</vt:lpstr>
      <vt:lpstr>CAF Sp 2016</vt:lpstr>
      <vt:lpstr>CSSI Contract Data</vt:lpstr>
      <vt:lpstr>CAF Spring 2018</vt:lpstr>
      <vt:lpstr>'ALP Contract Data'!Print_Area</vt:lpstr>
      <vt:lpstr>'CAF Spring 2018'!Print_Area</vt:lpstr>
      <vt:lpstr>'Combined Fiscal Impact'!Print_Area</vt:lpstr>
      <vt:lpstr>'Conflict Model 1 &amp; 5 Family'!Print_Area</vt:lpstr>
      <vt:lpstr>'CSSI Contract Data'!Print_Area</vt:lpstr>
      <vt:lpstr>'FBCS Contract Data '!Print_Area</vt:lpstr>
      <vt:lpstr>'Model Budget (ALP) '!Print_Area</vt:lpstr>
      <vt:lpstr>'Model Budget (CSSE)'!Print_Area</vt:lpstr>
      <vt:lpstr>'Model Budget (MDAT)'!Print_Area</vt:lpstr>
      <vt:lpstr>'Model Budget old (CSSI)'!Print_Area</vt:lpstr>
      <vt:lpstr>CAF!Print_Titles</vt:lpstr>
      <vt:lpstr>'CAF Sp 2016'!Print_Titles</vt:lpstr>
      <vt:lpstr>'CAF Spring 2018'!Print_Titles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257 - DCF Conflict of Interest Model</dc:title>
  <dc:creator>EHS</dc:creator>
  <cp:lastModifiedBy>AutoBVT</cp:lastModifiedBy>
  <cp:lastPrinted>2016-11-25T17:32:48Z</cp:lastPrinted>
  <dcterms:created xsi:type="dcterms:W3CDTF">2015-08-14T13:02:59Z</dcterms:created>
  <dcterms:modified xsi:type="dcterms:W3CDTF">2018-08-03T16:55:56Z</dcterms:modified>
</cp:coreProperties>
</file>