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laurie_pinkham_mass_gov/Documents/Desktop/sent files/ready to upload/"/>
    </mc:Choice>
  </mc:AlternateContent>
  <xr:revisionPtr revIDLastSave="27" documentId="8_{1CF89E8A-B14B-4017-8A43-1C0EF9A853AF}" xr6:coauthVersionLast="47" xr6:coauthVersionMax="47" xr10:uidLastSave="{A5C0D81F-802F-4F3C-9BC6-718529EC226E}"/>
  <bookViews>
    <workbookView xWindow="-110" yWindow="-110" windowWidth="19420" windowHeight="11500" tabRatio="728" xr2:uid="{00000000-000D-0000-FFFF-FFFF00000000}"/>
  </bookViews>
  <sheets>
    <sheet name="FY23 Allocations - breakdown" sheetId="11" r:id="rId1"/>
    <sheet name="FY21 performance wpp dashboard" sheetId="5" state="hidden" r:id="rId2"/>
    <sheet name="FY23 allocations" sheetId="10" state="hidden" r:id="rId3"/>
    <sheet name="TOADBeacon SQL" sheetId="4" state="hidden" r:id="rId4"/>
  </sheets>
  <definedNames>
    <definedName name="_xlnm._FilterDatabase" localSheetId="2" hidden="1">'FY23 allocations'!$F$1:$G$1</definedName>
    <definedName name="_xlnm.Print_Area" localSheetId="0">'FY23 Allocations - breakdown'!$A$1:$Q$25</definedName>
  </definedNames>
  <calcPr calcId="191028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1" l="1"/>
  <c r="C11" i="11" s="1"/>
  <c r="G24" i="11"/>
  <c r="H24" i="11"/>
  <c r="I24" i="11"/>
  <c r="J24" i="11"/>
  <c r="K24" i="11"/>
  <c r="L24" i="11"/>
  <c r="M24" i="11"/>
  <c r="E5" i="11"/>
  <c r="F8" i="11" s="1"/>
  <c r="C5" i="11"/>
  <c r="R3" i="10"/>
  <c r="F13" i="11" l="1"/>
  <c r="F11" i="11"/>
  <c r="F23" i="11"/>
  <c r="F21" i="11"/>
  <c r="F9" i="11"/>
  <c r="F19" i="11"/>
  <c r="F17" i="11"/>
  <c r="F15" i="11"/>
  <c r="C20" i="11"/>
  <c r="D20" i="11" s="1"/>
  <c r="C14" i="11"/>
  <c r="D14" i="11" s="1"/>
  <c r="C8" i="11"/>
  <c r="D8" i="11" s="1"/>
  <c r="D11" i="11"/>
  <c r="C16" i="11"/>
  <c r="D16" i="11" s="1"/>
  <c r="C19" i="11"/>
  <c r="D19" i="11" s="1"/>
  <c r="C13" i="11"/>
  <c r="D13" i="11" s="1"/>
  <c r="F22" i="11"/>
  <c r="F20" i="11"/>
  <c r="F18" i="11"/>
  <c r="F16" i="11"/>
  <c r="F14" i="11"/>
  <c r="F12" i="11"/>
  <c r="F10" i="11"/>
  <c r="C22" i="11"/>
  <c r="D22" i="11" s="1"/>
  <c r="C12" i="11"/>
  <c r="D12" i="11" s="1"/>
  <c r="C21" i="11"/>
  <c r="D21" i="11" s="1"/>
  <c r="C15" i="11"/>
  <c r="D15" i="11" s="1"/>
  <c r="C9" i="11"/>
  <c r="D9" i="11" s="1"/>
  <c r="C18" i="11"/>
  <c r="D18" i="11" s="1"/>
  <c r="C10" i="11"/>
  <c r="D10" i="11" s="1"/>
  <c r="C23" i="11"/>
  <c r="D23" i="11" s="1"/>
  <c r="C17" i="11"/>
  <c r="D17" i="11" s="1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3" i="10"/>
  <c r="L2" i="10"/>
  <c r="D24" i="11" l="1"/>
  <c r="C24" i="11"/>
  <c r="F24" i="11"/>
  <c r="E12" i="11" s="1"/>
  <c r="O12" i="11"/>
  <c r="Q12" i="11" s="1"/>
  <c r="O22" i="11"/>
  <c r="Q22" i="11" s="1"/>
  <c r="G5" i="11"/>
  <c r="O10" i="11"/>
  <c r="Q10" i="11" s="1"/>
  <c r="O20" i="11"/>
  <c r="Q20" i="11" s="1"/>
  <c r="O23" i="11"/>
  <c r="Q23" i="11" s="1"/>
  <c r="E20" i="11" l="1"/>
  <c r="E14" i="11"/>
  <c r="E18" i="11"/>
  <c r="E16" i="11"/>
  <c r="E23" i="11"/>
  <c r="E8" i="11"/>
  <c r="E21" i="11"/>
  <c r="E13" i="11"/>
  <c r="E19" i="11"/>
  <c r="E11" i="11"/>
  <c r="E17" i="11"/>
  <c r="E9" i="11"/>
  <c r="E15" i="11"/>
  <c r="E10" i="11"/>
  <c r="E22" i="11"/>
  <c r="O8" i="11"/>
  <c r="Q8" i="11" s="1"/>
  <c r="O14" i="11"/>
  <c r="Q14" i="11" s="1"/>
  <c r="N17" i="11"/>
  <c r="R17" i="11" s="1"/>
  <c r="N13" i="11"/>
  <c r="N21" i="11"/>
  <c r="R21" i="11" s="1"/>
  <c r="N22" i="11"/>
  <c r="R22" i="11" s="1"/>
  <c r="N11" i="11"/>
  <c r="R11" i="11" s="1"/>
  <c r="N19" i="11"/>
  <c r="R19" i="11" s="1"/>
  <c r="N14" i="11"/>
  <c r="R14" i="11" s="1"/>
  <c r="N23" i="11"/>
  <c r="R23" i="11" s="1"/>
  <c r="N20" i="11"/>
  <c r="R20" i="11" s="1"/>
  <c r="O17" i="11"/>
  <c r="Q17" i="11" s="1"/>
  <c r="O13" i="11"/>
  <c r="O11" i="11"/>
  <c r="Q11" i="11" s="1"/>
  <c r="O9" i="11"/>
  <c r="Q9" i="11" s="1"/>
  <c r="N18" i="11"/>
  <c r="N16" i="11"/>
  <c r="R16" i="11" s="1"/>
  <c r="N12" i="11"/>
  <c r="R12" i="11" s="1"/>
  <c r="O18" i="11"/>
  <c r="O21" i="11"/>
  <c r="Q21" i="11" s="1"/>
  <c r="O19" i="11"/>
  <c r="Q19" i="11" s="1"/>
  <c r="O15" i="11"/>
  <c r="Q15" i="11" s="1"/>
  <c r="N10" i="11"/>
  <c r="R10" i="11" s="1"/>
  <c r="O16" i="11"/>
  <c r="Q16" i="11" s="1"/>
  <c r="G23" i="10"/>
  <c r="E24" i="11" l="1"/>
  <c r="P13" i="11"/>
  <c r="Q13" i="11" s="1"/>
  <c r="P18" i="11"/>
  <c r="Q18" i="11" s="1"/>
  <c r="N9" i="11"/>
  <c r="R9" i="11" s="1"/>
  <c r="N15" i="11"/>
  <c r="R15" i="11" s="1"/>
  <c r="O24" i="11"/>
  <c r="N8" i="11"/>
  <c r="R8" i="11" s="1"/>
  <c r="L18" i="10"/>
  <c r="L20" i="10" s="1"/>
  <c r="R18" i="11" l="1"/>
  <c r="R13" i="11"/>
  <c r="N24" i="11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4" i="5"/>
  <c r="R24" i="11" l="1"/>
  <c r="D29" i="5"/>
  <c r="E29" i="5" l="1"/>
  <c r="F29" i="5"/>
  <c r="G29" i="5"/>
  <c r="H29" i="5"/>
  <c r="I29" i="5"/>
  <c r="J29" i="5"/>
  <c r="K29" i="5"/>
  <c r="L29" i="5"/>
  <c r="M29" i="5"/>
  <c r="Q24" i="11" l="1"/>
  <c r="P2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Christel Lantin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Christel Lantin:</t>
        </r>
        <r>
          <rPr>
            <sz val="9"/>
            <color indexed="81"/>
            <rFont val="Tahoma"/>
            <family val="2"/>
          </rPr>
          <t xml:space="preserve">
run in TOAD
  SELECT LOCATION_NAM, COUNT (AU_ID)
    FROM BUILD.AU
         INNER JOIN BUILD.CLIENT_AU_MEMB ON (AU_ID = AU_ID_K)
         INNER JOIN BUILD.ORG_LOC ON (AU.ZIP_ORG_LOC_ID = ORG_LOC_ID)
   WHERE     PGM_CD IN ('TAFDC', 'FS')
         AND AU.AU_STAT_CD = 'ACTIVE'
         AND MEMB_ROLE_CD = 'GRNT'
   --      AND WP_EXEMPT_FLG = 'N'
GROUP BY LOCATION_NAM
</t>
        </r>
      </text>
    </comment>
    <comment ref="P2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Christel Lantin:
</t>
        </r>
        <r>
          <rPr>
            <sz val="9"/>
            <color indexed="81"/>
            <rFont val="Tahoma"/>
            <family val="2"/>
          </rPr>
          <t>This should total out to $140,080.99</t>
        </r>
      </text>
    </comment>
  </commentList>
</comments>
</file>

<file path=xl/sharedStrings.xml><?xml version="1.0" encoding="utf-8"?>
<sst xmlns="http://schemas.openxmlformats.org/spreadsheetml/2006/main" count="302" uniqueCount="154">
  <si>
    <t>FY 2023 Work Participant Program Allocations 
July 1, 2022 - June 30, 2023</t>
  </si>
  <si>
    <t>TOTAL</t>
  </si>
  <si>
    <t>25% based on DTA Caseloads in Area 
(Shared Services Cost)</t>
  </si>
  <si>
    <t>40% for Infrastructure</t>
  </si>
  <si>
    <t>35 % based on Performance (FY20 Enrollments, Jobs and Entered Training)</t>
  </si>
  <si>
    <t>FY23 WPP Funding Total</t>
  </si>
  <si>
    <t>FY23 WPP Funding Allocation (less Performance)</t>
  </si>
  <si>
    <t>New FY WPP Enrollments</t>
  </si>
  <si>
    <t>Of Exiters,
Employments</t>
  </si>
  <si>
    <t>Of Exiters,
Courses Begun</t>
  </si>
  <si>
    <t>Performance Payment</t>
  </si>
  <si>
    <t>Local WIOA Area</t>
  </si>
  <si>
    <t>Area Caseloads SNAP &amp; TAFDC
as of 3/29/2022</t>
  </si>
  <si>
    <t>% Share</t>
  </si>
  <si>
    <t>$ Share</t>
  </si>
  <si>
    <t>Total DTA Clients Served at WIOA Centers (enrollments and carry ins)</t>
  </si>
  <si>
    <t>Performance out of total clients at that career center  %</t>
  </si>
  <si>
    <t>Normalized Performance</t>
  </si>
  <si>
    <t>Normalized Award Amount</t>
  </si>
  <si>
    <t>FY23 DCS Staffing Costs - TOTAL</t>
  </si>
  <si>
    <t>FY23 Contracted Total (less DCS staffing cost) (less Performance)</t>
  </si>
  <si>
    <t>FY23 Contracted Total (LESS DCS staffing PLUS Performance Allocations determined October 2022)</t>
  </si>
  <si>
    <t>Berkshire</t>
  </si>
  <si>
    <t>Boston</t>
  </si>
  <si>
    <t>Bristol</t>
  </si>
  <si>
    <t>Brockton</t>
  </si>
  <si>
    <t>Cape &amp; Islands</t>
  </si>
  <si>
    <t>Central Mass</t>
  </si>
  <si>
    <t>Franklin/Hampshire</t>
  </si>
  <si>
    <t>Greater Lowell</t>
  </si>
  <si>
    <t>Greater New Bedford</t>
  </si>
  <si>
    <t>Hampden</t>
  </si>
  <si>
    <t>Lower Merrimack Valley</t>
  </si>
  <si>
    <t>Metro North</t>
  </si>
  <si>
    <t>Metro South West</t>
  </si>
  <si>
    <t>North Central</t>
  </si>
  <si>
    <t>North Shore</t>
  </si>
  <si>
    <t>South Shore</t>
  </si>
  <si>
    <t>Total</t>
  </si>
  <si>
    <t xml:space="preserve">Program Name:  </t>
  </si>
  <si>
    <t>SPSS2023</t>
  </si>
  <si>
    <t>Service Dates:</t>
  </si>
  <si>
    <t>July 1, 2022-June 30, 2023</t>
  </si>
  <si>
    <t xml:space="preserve">SSTA Code:  </t>
  </si>
  <si>
    <t>DCS_SPSS_EOL032</t>
  </si>
  <si>
    <t>Phase Code:</t>
  </si>
  <si>
    <t>K227</t>
  </si>
  <si>
    <t>Appropriation:</t>
  </si>
  <si>
    <t>Area</t>
  </si>
  <si>
    <t>Career Center (Moses)</t>
  </si>
  <si>
    <t>Career Center (Beacon)</t>
  </si>
  <si>
    <t>FY 20 Enrollments</t>
  </si>
  <si>
    <t>Carryovers</t>
  </si>
  <si>
    <t>FY20 Exits</t>
  </si>
  <si>
    <t>Currently Active</t>
  </si>
  <si>
    <t>FY 20 Employments</t>
  </si>
  <si>
    <t>FY20 Training</t>
  </si>
  <si>
    <t>FY21 Average Hourly Wage</t>
  </si>
  <si>
    <t>Outcomes / Clients</t>
  </si>
  <si>
    <t>Employment / Clients</t>
  </si>
  <si>
    <t>Exits for Employment</t>
  </si>
  <si>
    <t>Pittsfield Career Center</t>
  </si>
  <si>
    <t>Boston Career Center</t>
  </si>
  <si>
    <t>Row Labels</t>
  </si>
  <si>
    <t>Sum of FY 20 Enrollments</t>
  </si>
  <si>
    <t>Sum of Carryovers</t>
  </si>
  <si>
    <t>Sum of FY 20 Employments</t>
  </si>
  <si>
    <t>Sum of FY20 Training</t>
  </si>
  <si>
    <t>Downtown Boston Career Center</t>
  </si>
  <si>
    <t>Downtown</t>
  </si>
  <si>
    <t>Attleboro Career Center</t>
  </si>
  <si>
    <t>Attleboro</t>
  </si>
  <si>
    <t>Fall River Career Center</t>
  </si>
  <si>
    <t>Fall River</t>
  </si>
  <si>
    <t>Taunton Career Center</t>
  </si>
  <si>
    <t>Taunton</t>
  </si>
  <si>
    <t>Brockton Career Center</t>
  </si>
  <si>
    <t>Greater Brockton</t>
  </si>
  <si>
    <t>Cape and Islands</t>
  </si>
  <si>
    <t>Hyannis Career Center</t>
  </si>
  <si>
    <t>Central</t>
  </si>
  <si>
    <t>Southbridge Career Center</t>
  </si>
  <si>
    <t>Southbridge</t>
  </si>
  <si>
    <t>Franklin Hampshire</t>
  </si>
  <si>
    <t>Worcester Career Center</t>
  </si>
  <si>
    <t>Worcester</t>
  </si>
  <si>
    <t>Greenfield Career Center</t>
  </si>
  <si>
    <t>Franklin Hampshire - Greenfield</t>
  </si>
  <si>
    <t>Lowell Career Center</t>
  </si>
  <si>
    <t>Lowell</t>
  </si>
  <si>
    <t>New Bedford Career Center</t>
  </si>
  <si>
    <t>Merrimack Valley</t>
  </si>
  <si>
    <t>Holyoke Career Center</t>
  </si>
  <si>
    <t>Holyoke</t>
  </si>
  <si>
    <t>Springfield Career Center</t>
  </si>
  <si>
    <t>Springfield</t>
  </si>
  <si>
    <t>Metro South/West</t>
  </si>
  <si>
    <t>Lawrence Career Center</t>
  </si>
  <si>
    <t>Merrimack Valley - Lawrence</t>
  </si>
  <si>
    <t>Cambridge Career Center</t>
  </si>
  <si>
    <t>Chelsea Career Center</t>
  </si>
  <si>
    <t>Metro North - Chelsea</t>
  </si>
  <si>
    <t>Woburn Career Center</t>
  </si>
  <si>
    <t>Metro North - Woburn</t>
  </si>
  <si>
    <t>Grand Total</t>
  </si>
  <si>
    <t>Framingham Career Center</t>
  </si>
  <si>
    <t>Framingham</t>
  </si>
  <si>
    <t>Norwood Career Center</t>
  </si>
  <si>
    <t>Norwood</t>
  </si>
  <si>
    <t>Leominster Career Center</t>
  </si>
  <si>
    <t>Gloucester Affiliate Career Center</t>
  </si>
  <si>
    <t>North Shore - Gloucester</t>
  </si>
  <si>
    <t>N/A</t>
  </si>
  <si>
    <t>Lynn Affiliate Career Center</t>
  </si>
  <si>
    <t>North Shore - Lynn</t>
  </si>
  <si>
    <t>Salem Career Center</t>
  </si>
  <si>
    <t>North Shore - Salem</t>
  </si>
  <si>
    <t>Plymouth Career Center</t>
  </si>
  <si>
    <t>South Shore - Plymouth</t>
  </si>
  <si>
    <t>Quincy Career Center</t>
  </si>
  <si>
    <t>South Shore - Quincy</t>
  </si>
  <si>
    <t>LOCATION_NAM</t>
  </si>
  <si>
    <t>COUNT(AU_ID)</t>
  </si>
  <si>
    <t>FY23 Preliminary Budget</t>
  </si>
  <si>
    <t>Brockton TAO - DTA</t>
  </si>
  <si>
    <t>AA</t>
  </si>
  <si>
    <t>Salaries</t>
  </si>
  <si>
    <t>EOHHS - Chelsea Center</t>
  </si>
  <si>
    <t>DD</t>
  </si>
  <si>
    <t>Fringe and Tax</t>
  </si>
  <si>
    <t>no fringe with state ISA's (unless federal funding)</t>
  </si>
  <si>
    <t>Fall River TAO - DTA</t>
  </si>
  <si>
    <t>PP</t>
  </si>
  <si>
    <t>Career Centers</t>
  </si>
  <si>
    <t>Fitchburg Center TAO - DTA</t>
  </si>
  <si>
    <t>Framingham TAO - DTA</t>
  </si>
  <si>
    <t>Greenfield TAO - DTA</t>
  </si>
  <si>
    <t>Holyoke TAO - DTA</t>
  </si>
  <si>
    <t>Hyannis TAO - DTA</t>
  </si>
  <si>
    <t>Lawrence TAO - DTA</t>
  </si>
  <si>
    <t>Lowell TAO - DTA</t>
  </si>
  <si>
    <t>Malden TAO - DTA</t>
  </si>
  <si>
    <t>New Bedford TAO - DTA</t>
  </si>
  <si>
    <t>Newmarket Square TAO - DTA</t>
  </si>
  <si>
    <t>North Shore TAO - DTA</t>
  </si>
  <si>
    <t>Nubian Square TAO - DTA</t>
  </si>
  <si>
    <t>Pittsfield TAO - DTA</t>
  </si>
  <si>
    <t>Quincy TAO - DTA</t>
  </si>
  <si>
    <t>Southbridge TAO - DTA</t>
  </si>
  <si>
    <t>Springfield/Center TAO - DTA</t>
  </si>
  <si>
    <t>Taunton TAO - DTA</t>
  </si>
  <si>
    <t>Worcester TAO - DTA</t>
  </si>
  <si>
    <t>SQL for TOAD/BEACON</t>
  </si>
  <si>
    <t>SELECT LOCATION_NAM, COUNT (AU_ID)
    FROM BUILD.AU
         INNER JOIN BUILD.CLIENT_AU_MEMB ON (AU_ID = AU_ID_K)
         INNER JOIN BUILD.ORG_LOC ON (AU.ZIP_ORG_LOC_ID = ORG_LOC_ID)
   WHERE     PGM_CD IN ('TAFDC', 'FS')
         AND AU.AU_STAT_CD = 'ACTIVE'
         AND MEMB_ROLE_CD = 'GRNT'
   --      AND WP_EXEMPT_FLG = 'N'
GROUP BY LOCATION_NAM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</si>
</sst>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  <numFmt numFmtId="167" formatCode="0.0%"/>
    <numFmt numFmtId="168" formatCode="&quot;$&quot;#,##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mbria"/>
      <family val="1"/>
    </font>
    <font>
      <sz val="10"/>
      <color indexed="8"/>
      <name val="Arial"/>
      <family val="2"/>
    </font>
    <font>
      <sz val="12"/>
      <color theme="1"/>
      <name val="Cambria"/>
      <family val="1"/>
      <scheme val="major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Times New Roman"/>
      <family val="1"/>
    </font>
    <font>
      <sz val="11"/>
      <color rgb="FF00000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1"/>
      <color rgb="FF000000"/>
      <name val="Arial"/>
      <family val="2"/>
    </font>
    <font>
      <sz val="11"/>
      <color rgb="FFFFFFCC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A2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4" fillId="0" borderId="0"/>
    <xf numFmtId="0" fontId="8" fillId="0" borderId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4" fillId="0" borderId="25" applyNumberFormat="0" applyFill="0" applyAlignment="0" applyProtection="0"/>
    <xf numFmtId="44" fontId="3" fillId="0" borderId="0" applyFont="0" applyFill="0" applyBorder="0" applyAlignment="0" applyProtection="0"/>
    <xf numFmtId="0" fontId="3" fillId="0" borderId="0"/>
    <xf numFmtId="0" fontId="17" fillId="0" borderId="0">
      <alignment vertical="top"/>
    </xf>
    <xf numFmtId="44" fontId="2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9" fillId="0" borderId="0" xfId="0" applyFont="1"/>
    <xf numFmtId="0" fontId="12" fillId="0" borderId="0" xfId="0" applyFont="1"/>
    <xf numFmtId="44" fontId="13" fillId="0" borderId="0" xfId="0" applyNumberFormat="1" applyFont="1" applyAlignment="1">
      <alignment horizontal="center"/>
    </xf>
    <xf numFmtId="0" fontId="10" fillId="0" borderId="0" xfId="0" applyFont="1"/>
    <xf numFmtId="44" fontId="11" fillId="2" borderId="3" xfId="0" applyNumberFormat="1" applyFont="1" applyFill="1" applyBorder="1" applyAlignment="1">
      <alignment horizontal="left"/>
    </xf>
    <xf numFmtId="44" fontId="11" fillId="3" borderId="2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left"/>
    </xf>
    <xf numFmtId="0" fontId="11" fillId="3" borderId="10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44" fontId="11" fillId="2" borderId="2" xfId="0" applyNumberFormat="1" applyFont="1" applyFill="1" applyBorder="1" applyAlignment="1">
      <alignment horizontal="left"/>
    </xf>
    <xf numFmtId="0" fontId="9" fillId="0" borderId="1" xfId="5" applyFont="1" applyBorder="1" applyAlignment="1">
      <alignment horizontal="center"/>
    </xf>
    <xf numFmtId="1" fontId="9" fillId="0" borderId="1" xfId="5" applyNumberFormat="1" applyFont="1" applyBorder="1" applyAlignment="1">
      <alignment horizontal="center"/>
    </xf>
    <xf numFmtId="0" fontId="7" fillId="0" borderId="0" xfId="0" applyFont="1"/>
    <xf numFmtId="167" fontId="12" fillId="0" borderId="1" xfId="0" applyNumberFormat="1" applyFont="1" applyBorder="1"/>
    <xf numFmtId="0" fontId="11" fillId="4" borderId="20" xfId="0" applyFont="1" applyFill="1" applyBorder="1"/>
    <xf numFmtId="0" fontId="12" fillId="4" borderId="21" xfId="0" applyFont="1" applyFill="1" applyBorder="1"/>
    <xf numFmtId="3" fontId="12" fillId="0" borderId="23" xfId="4" applyNumberFormat="1" applyFont="1" applyBorder="1"/>
    <xf numFmtId="44" fontId="12" fillId="0" borderId="24" xfId="0" applyNumberFormat="1" applyFont="1" applyBorder="1"/>
    <xf numFmtId="10" fontId="12" fillId="0" borderId="23" xfId="0" applyNumberFormat="1" applyFont="1" applyBorder="1"/>
    <xf numFmtId="44" fontId="0" fillId="0" borderId="0" xfId="2" applyFont="1"/>
    <xf numFmtId="9" fontId="0" fillId="0" borderId="0" xfId="6" applyFont="1"/>
    <xf numFmtId="0" fontId="14" fillId="0" borderId="25" xfId="8"/>
    <xf numFmtId="0" fontId="0" fillId="0" borderId="0" xfId="0" pivotButton="1"/>
    <xf numFmtId="0" fontId="0" fillId="0" borderId="0" xfId="0" applyAlignment="1">
      <alignment horizontal="left"/>
    </xf>
    <xf numFmtId="44" fontId="12" fillId="0" borderId="13" xfId="0" applyNumberFormat="1" applyFont="1" applyBorder="1"/>
    <xf numFmtId="10" fontId="12" fillId="0" borderId="26" xfId="0" applyNumberFormat="1" applyFont="1" applyBorder="1"/>
    <xf numFmtId="44" fontId="11" fillId="2" borderId="9" xfId="0" applyNumberFormat="1" applyFont="1" applyFill="1" applyBorder="1" applyAlignment="1">
      <alignment horizontal="center"/>
    </xf>
    <xf numFmtId="44" fontId="11" fillId="2" borderId="14" xfId="0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wrapText="1"/>
    </xf>
    <xf numFmtId="9" fontId="11" fillId="5" borderId="8" xfId="5" applyNumberFormat="1" applyFont="1" applyFill="1" applyBorder="1" applyAlignment="1">
      <alignment horizontal="center" wrapText="1"/>
    </xf>
    <xf numFmtId="9" fontId="11" fillId="5" borderId="31" xfId="5" applyNumberFormat="1" applyFont="1" applyFill="1" applyBorder="1" applyAlignment="1">
      <alignment horizontal="center" wrapText="1"/>
    </xf>
    <xf numFmtId="44" fontId="12" fillId="5" borderId="11" xfId="3" applyFont="1" applyFill="1" applyBorder="1" applyAlignment="1">
      <alignment horizontal="center" wrapText="1"/>
    </xf>
    <xf numFmtId="9" fontId="11" fillId="5" borderId="18" xfId="6" applyFont="1" applyFill="1" applyBorder="1" applyAlignment="1">
      <alignment horizontal="center" wrapText="1"/>
    </xf>
    <xf numFmtId="44" fontId="11" fillId="5" borderId="12" xfId="3" applyFont="1" applyFill="1" applyBorder="1" applyAlignment="1">
      <alignment horizontal="center" wrapText="1"/>
    </xf>
    <xf numFmtId="165" fontId="11" fillId="5" borderId="18" xfId="2" applyNumberFormat="1" applyFont="1" applyFill="1" applyBorder="1" applyAlignment="1">
      <alignment horizontal="center" wrapText="1"/>
    </xf>
    <xf numFmtId="167" fontId="9" fillId="0" borderId="19" xfId="7" applyNumberFormat="1" applyFont="1" applyFill="1" applyBorder="1" applyAlignment="1">
      <alignment horizontal="center"/>
    </xf>
    <xf numFmtId="167" fontId="9" fillId="0" borderId="1" xfId="6" applyNumberFormat="1" applyFont="1" applyFill="1" applyBorder="1" applyAlignment="1">
      <alignment horizontal="center"/>
    </xf>
    <xf numFmtId="9" fontId="11" fillId="5" borderId="12" xfId="6" applyFont="1" applyFill="1" applyBorder="1" applyAlignment="1">
      <alignment horizontal="center" wrapText="1"/>
    </xf>
    <xf numFmtId="44" fontId="9" fillId="0" borderId="19" xfId="2" applyFont="1" applyFill="1" applyBorder="1" applyAlignment="1">
      <alignment horizontal="center"/>
    </xf>
    <xf numFmtId="8" fontId="10" fillId="3" borderId="28" xfId="3" applyNumberFormat="1" applyFont="1" applyFill="1" applyBorder="1" applyAlignment="1">
      <alignment horizontal="center" wrapText="1"/>
    </xf>
    <xf numFmtId="168" fontId="11" fillId="3" borderId="0" xfId="0" applyNumberFormat="1" applyFont="1" applyFill="1" applyAlignment="1">
      <alignment horizontal="center"/>
    </xf>
    <xf numFmtId="44" fontId="10" fillId="3" borderId="29" xfId="2" applyFont="1" applyFill="1" applyBorder="1" applyAlignment="1">
      <alignment horizontal="center"/>
    </xf>
    <xf numFmtId="164" fontId="10" fillId="0" borderId="0" xfId="0" applyNumberFormat="1" applyFont="1" applyAlignment="1">
      <alignment horizontal="right"/>
    </xf>
    <xf numFmtId="0" fontId="16" fillId="6" borderId="33" xfId="0" applyFont="1" applyFill="1" applyBorder="1" applyAlignment="1">
      <alignment horizontal="center" vertical="center" wrapText="1"/>
    </xf>
    <xf numFmtId="0" fontId="16" fillId="6" borderId="34" xfId="11" applyFont="1" applyFill="1" applyBorder="1" applyAlignment="1">
      <alignment horizontal="center" vertical="center" wrapText="1"/>
    </xf>
    <xf numFmtId="0" fontId="16" fillId="6" borderId="35" xfId="11" applyFont="1" applyFill="1" applyBorder="1" applyAlignment="1">
      <alignment horizontal="center" vertical="center" wrapText="1"/>
    </xf>
    <xf numFmtId="0" fontId="16" fillId="6" borderId="36" xfId="11" applyFont="1" applyFill="1" applyBorder="1" applyAlignment="1">
      <alignment horizontal="center" vertical="center" wrapText="1"/>
    </xf>
    <xf numFmtId="164" fontId="16" fillId="6" borderId="37" xfId="11" applyNumberFormat="1" applyFont="1" applyFill="1" applyBorder="1" applyAlignment="1">
      <alignment horizontal="center" vertical="center" wrapText="1"/>
    </xf>
    <xf numFmtId="0" fontId="18" fillId="7" borderId="23" xfId="0" applyFont="1" applyFill="1" applyBorder="1" applyAlignment="1">
      <alignment vertical="top"/>
    </xf>
    <xf numFmtId="0" fontId="18" fillId="7" borderId="1" xfId="0" applyFont="1" applyFill="1" applyBorder="1" applyAlignment="1">
      <alignment vertical="top"/>
    </xf>
    <xf numFmtId="0" fontId="19" fillId="7" borderId="1" xfId="0" applyFont="1" applyFill="1" applyBorder="1" applyAlignment="1">
      <alignment vertical="top"/>
    </xf>
    <xf numFmtId="0" fontId="19" fillId="7" borderId="11" xfId="11" applyFont="1" applyFill="1" applyBorder="1" applyAlignment="1">
      <alignment vertical="center"/>
    </xf>
    <xf numFmtId="0" fontId="20" fillId="7" borderId="18" xfId="0" applyFont="1" applyFill="1" applyBorder="1" applyAlignment="1">
      <alignment vertical="center"/>
    </xf>
    <xf numFmtId="0" fontId="19" fillId="7" borderId="18" xfId="11" applyFont="1" applyFill="1" applyBorder="1" applyAlignment="1">
      <alignment vertical="center"/>
    </xf>
    <xf numFmtId="164" fontId="19" fillId="7" borderId="12" xfId="6" applyNumberFormat="1" applyFont="1" applyFill="1" applyBorder="1" applyAlignment="1">
      <alignment vertical="center"/>
    </xf>
    <xf numFmtId="9" fontId="19" fillId="7" borderId="18" xfId="6" applyFont="1" applyFill="1" applyBorder="1" applyAlignment="1">
      <alignment vertical="center"/>
    </xf>
    <xf numFmtId="9" fontId="19" fillId="7" borderId="13" xfId="6" applyFont="1" applyFill="1" applyBorder="1" applyAlignment="1">
      <alignment vertical="center"/>
    </xf>
    <xf numFmtId="0" fontId="18" fillId="0" borderId="23" xfId="0" applyFont="1" applyBorder="1" applyAlignment="1">
      <alignment vertical="top"/>
    </xf>
    <xf numFmtId="0" fontId="18" fillId="0" borderId="1" xfId="0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19" fillId="0" borderId="38" xfId="11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9" fillId="0" borderId="1" xfId="11" applyFont="1" applyBorder="1" applyAlignment="1">
      <alignment vertical="center"/>
    </xf>
    <xf numFmtId="164" fontId="19" fillId="0" borderId="19" xfId="6" applyNumberFormat="1" applyFont="1" applyBorder="1" applyAlignment="1">
      <alignment vertical="center"/>
    </xf>
    <xf numFmtId="9" fontId="19" fillId="0" borderId="1" xfId="6" applyFont="1" applyBorder="1" applyAlignment="1">
      <alignment vertical="center"/>
    </xf>
    <xf numFmtId="9" fontId="19" fillId="0" borderId="24" xfId="6" applyFont="1" applyBorder="1" applyAlignment="1">
      <alignment vertical="center"/>
    </xf>
    <xf numFmtId="0" fontId="19" fillId="7" borderId="38" xfId="11" applyFont="1" applyFill="1" applyBorder="1" applyAlignment="1">
      <alignment vertical="center"/>
    </xf>
    <xf numFmtId="0" fontId="20" fillId="7" borderId="1" xfId="0" applyFont="1" applyFill="1" applyBorder="1" applyAlignment="1">
      <alignment vertical="center"/>
    </xf>
    <xf numFmtId="0" fontId="19" fillId="7" borderId="1" xfId="11" applyFont="1" applyFill="1" applyBorder="1" applyAlignment="1">
      <alignment vertical="center"/>
    </xf>
    <xf numFmtId="164" fontId="19" fillId="7" borderId="19" xfId="6" applyNumberFormat="1" applyFont="1" applyFill="1" applyBorder="1" applyAlignment="1">
      <alignment vertical="center"/>
    </xf>
    <xf numFmtId="9" fontId="19" fillId="7" borderId="1" xfId="6" applyFont="1" applyFill="1" applyBorder="1" applyAlignment="1">
      <alignment vertical="center"/>
    </xf>
    <xf numFmtId="9" fontId="19" fillId="7" borderId="24" xfId="6" applyFont="1" applyFill="1" applyBorder="1" applyAlignment="1">
      <alignment vertical="center"/>
    </xf>
    <xf numFmtId="0" fontId="21" fillId="0" borderId="0" xfId="0" applyFont="1"/>
    <xf numFmtId="3" fontId="22" fillId="0" borderId="0" xfId="0" applyNumberFormat="1" applyFont="1"/>
    <xf numFmtId="3" fontId="0" fillId="0" borderId="0" xfId="0" applyNumberFormat="1"/>
    <xf numFmtId="3" fontId="7" fillId="0" borderId="0" xfId="0" applyNumberFormat="1" applyFont="1"/>
    <xf numFmtId="0" fontId="22" fillId="8" borderId="0" xfId="0" applyFont="1" applyFill="1"/>
    <xf numFmtId="0" fontId="23" fillId="0" borderId="0" xfId="0" applyFont="1"/>
    <xf numFmtId="0" fontId="24" fillId="0" borderId="0" xfId="0" applyFont="1" applyAlignment="1">
      <alignment vertical="center"/>
    </xf>
    <xf numFmtId="0" fontId="24" fillId="0" borderId="39" xfId="0" applyFont="1" applyBorder="1" applyAlignment="1">
      <alignment vertical="center"/>
    </xf>
    <xf numFmtId="0" fontId="24" fillId="0" borderId="40" xfId="0" applyFont="1" applyBorder="1" applyAlignment="1">
      <alignment vertical="center"/>
    </xf>
    <xf numFmtId="8" fontId="24" fillId="0" borderId="40" xfId="0" applyNumberFormat="1" applyFont="1" applyBorder="1" applyAlignment="1">
      <alignment horizontal="right" vertical="center"/>
    </xf>
    <xf numFmtId="0" fontId="24" fillId="0" borderId="22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8" fontId="24" fillId="0" borderId="6" xfId="0" applyNumberFormat="1" applyFont="1" applyBorder="1" applyAlignment="1">
      <alignment horizontal="right" vertical="center"/>
    </xf>
    <xf numFmtId="8" fontId="24" fillId="0" borderId="0" xfId="0" applyNumberFormat="1" applyFont="1" applyAlignment="1">
      <alignment horizontal="right" vertical="center"/>
    </xf>
    <xf numFmtId="10" fontId="0" fillId="0" borderId="0" xfId="6" applyNumberFormat="1" applyFont="1"/>
    <xf numFmtId="8" fontId="9" fillId="0" borderId="0" xfId="0" applyNumberFormat="1" applyFont="1"/>
    <xf numFmtId="44" fontId="10" fillId="3" borderId="24" xfId="2" applyFont="1" applyFill="1" applyBorder="1" applyAlignment="1">
      <alignment horizontal="center"/>
    </xf>
    <xf numFmtId="44" fontId="10" fillId="3" borderId="30" xfId="7" applyNumberFormat="1" applyFont="1" applyFill="1" applyBorder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6" fillId="0" borderId="0" xfId="0" applyFont="1"/>
    <xf numFmtId="0" fontId="25" fillId="0" borderId="0" xfId="0" applyFont="1"/>
    <xf numFmtId="0" fontId="27" fillId="0" borderId="0" xfId="0" applyFont="1"/>
    <xf numFmtId="0" fontId="25" fillId="0" borderId="0" xfId="10" applyFont="1" applyAlignment="1">
      <alignment horizontal="left"/>
    </xf>
    <xf numFmtId="44" fontId="9" fillId="0" borderId="0" xfId="0" applyNumberFormat="1" applyFont="1"/>
    <xf numFmtId="44" fontId="10" fillId="0" borderId="21" xfId="0" applyNumberFormat="1" applyFont="1" applyBorder="1"/>
    <xf numFmtId="44" fontId="10" fillId="0" borderId="32" xfId="0" applyNumberFormat="1" applyFont="1" applyBorder="1"/>
    <xf numFmtId="0" fontId="10" fillId="0" borderId="0" xfId="0" applyFont="1" applyAlignment="1">
      <alignment horizontal="right"/>
    </xf>
    <xf numFmtId="0" fontId="3" fillId="0" borderId="0" xfId="0" applyFont="1" applyAlignment="1">
      <alignment vertical="top" wrapText="1"/>
    </xf>
    <xf numFmtId="0" fontId="11" fillId="3" borderId="2" xfId="0" applyFont="1" applyFill="1" applyBorder="1" applyAlignment="1">
      <alignment horizontal="center" wrapText="1"/>
    </xf>
    <xf numFmtId="8" fontId="10" fillId="9" borderId="27" xfId="6" applyNumberFormat="1" applyFont="1" applyFill="1" applyBorder="1" applyAlignment="1">
      <alignment horizontal="center" wrapText="1"/>
    </xf>
    <xf numFmtId="44" fontId="9" fillId="9" borderId="13" xfId="2" applyFont="1" applyFill="1" applyBorder="1"/>
    <xf numFmtId="8" fontId="10" fillId="10" borderId="28" xfId="3" applyNumberFormat="1" applyFont="1" applyFill="1" applyBorder="1" applyAlignment="1">
      <alignment horizontal="center" wrapText="1"/>
    </xf>
    <xf numFmtId="44" fontId="9" fillId="10" borderId="24" xfId="2" applyFont="1" applyFill="1" applyBorder="1" applyAlignment="1">
      <alignment horizontal="center"/>
    </xf>
    <xf numFmtId="8" fontId="10" fillId="10" borderId="30" xfId="7" applyNumberFormat="1" applyFont="1" applyFill="1" applyBorder="1" applyAlignment="1">
      <alignment horizontal="center"/>
    </xf>
    <xf numFmtId="0" fontId="29" fillId="0" borderId="0" xfId="0" applyFont="1"/>
    <xf numFmtId="0" fontId="9" fillId="9" borderId="0" xfId="0" applyFont="1" applyFill="1"/>
    <xf numFmtId="0" fontId="29" fillId="9" borderId="0" xfId="0" applyFont="1" applyFill="1"/>
    <xf numFmtId="0" fontId="9" fillId="9" borderId="0" xfId="0" applyFont="1" applyFill="1" applyAlignment="1">
      <alignment horizontal="left"/>
    </xf>
    <xf numFmtId="44" fontId="10" fillId="11" borderId="32" xfId="0" applyNumberFormat="1" applyFont="1" applyFill="1" applyBorder="1"/>
    <xf numFmtId="44" fontId="10" fillId="11" borderId="21" xfId="0" applyNumberFormat="1" applyFont="1" applyFill="1" applyBorder="1"/>
    <xf numFmtId="8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44" fontId="31" fillId="0" borderId="19" xfId="2" applyFont="1" applyFill="1" applyBorder="1" applyAlignment="1">
      <alignment horizontal="center"/>
    </xf>
    <xf numFmtId="0" fontId="31" fillId="0" borderId="22" xfId="0" applyFont="1" applyBorder="1" applyAlignment="1">
      <alignment horizontal="center"/>
    </xf>
    <xf numFmtId="166" fontId="31" fillId="0" borderId="4" xfId="1" applyNumberFormat="1" applyFont="1" applyBorder="1"/>
    <xf numFmtId="9" fontId="31" fillId="0" borderId="5" xfId="0" applyNumberFormat="1" applyFont="1" applyBorder="1"/>
    <xf numFmtId="44" fontId="31" fillId="0" borderId="6" xfId="0" applyNumberFormat="1" applyFont="1" applyBorder="1"/>
    <xf numFmtId="9" fontId="31" fillId="0" borderId="4" xfId="0" applyNumberFormat="1" applyFont="1" applyBorder="1"/>
    <xf numFmtId="167" fontId="31" fillId="0" borderId="1" xfId="6" applyNumberFormat="1" applyFont="1" applyBorder="1" applyAlignment="1">
      <alignment horizontal="center"/>
    </xf>
    <xf numFmtId="0" fontId="31" fillId="0" borderId="1" xfId="5" applyFont="1" applyBorder="1" applyAlignment="1">
      <alignment horizontal="center"/>
    </xf>
    <xf numFmtId="0" fontId="26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0" fillId="0" borderId="41" xfId="0" applyFont="1" applyBorder="1" applyAlignment="1">
      <alignment horizontal="center" wrapText="1"/>
    </xf>
    <xf numFmtId="0" fontId="10" fillId="0" borderId="42" xfId="0" applyFont="1" applyBorder="1" applyAlignment="1">
      <alignment horizontal="center" wrapText="1"/>
    </xf>
    <xf numFmtId="0" fontId="10" fillId="0" borderId="43" xfId="0" applyFont="1" applyBorder="1" applyAlignment="1">
      <alignment horizontal="center" wrapText="1"/>
    </xf>
    <xf numFmtId="168" fontId="11" fillId="2" borderId="2" xfId="0" applyNumberFormat="1" applyFont="1" applyFill="1" applyBorder="1" applyAlignment="1">
      <alignment horizontal="center"/>
    </xf>
    <xf numFmtId="168" fontId="11" fillId="2" borderId="3" xfId="0" applyNumberFormat="1" applyFont="1" applyFill="1" applyBorder="1" applyAlignment="1">
      <alignment horizontal="center"/>
    </xf>
    <xf numFmtId="168" fontId="11" fillId="5" borderId="4" xfId="0" applyNumberFormat="1" applyFont="1" applyFill="1" applyBorder="1" applyAlignment="1">
      <alignment horizontal="center"/>
    </xf>
    <xf numFmtId="168" fontId="11" fillId="5" borderId="5" xfId="0" applyNumberFormat="1" applyFont="1" applyFill="1" applyBorder="1" applyAlignment="1">
      <alignment horizontal="center"/>
    </xf>
    <xf numFmtId="9" fontId="11" fillId="5" borderId="7" xfId="5" applyNumberFormat="1" applyFont="1" applyFill="1" applyBorder="1" applyAlignment="1">
      <alignment horizontal="center" wrapText="1"/>
    </xf>
    <xf numFmtId="9" fontId="11" fillId="5" borderId="0" xfId="5" applyNumberFormat="1" applyFont="1" applyFill="1" applyAlignment="1">
      <alignment horizontal="center" wrapText="1"/>
    </xf>
    <xf numFmtId="0" fontId="11" fillId="0" borderId="0" xfId="0" applyFont="1" applyAlignment="1">
      <alignment horizontal="left" vertical="top" wrapText="1"/>
    </xf>
    <xf numFmtId="0" fontId="11" fillId="3" borderId="15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 wrapText="1"/>
    </xf>
    <xf numFmtId="0" fontId="11" fillId="3" borderId="17" xfId="0" applyFont="1" applyFill="1" applyBorder="1" applyAlignment="1">
      <alignment horizontal="center" wrapText="1"/>
    </xf>
    <xf numFmtId="0" fontId="12" fillId="2" borderId="15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 wrapText="1"/>
    </xf>
    <xf numFmtId="0" fontId="10" fillId="11" borderId="41" xfId="0" applyFont="1" applyFill="1" applyBorder="1" applyAlignment="1">
      <alignment horizontal="center" vertical="center" wrapText="1"/>
    </xf>
    <xf numFmtId="0" fontId="10" fillId="11" borderId="42" xfId="0" applyFont="1" applyFill="1" applyBorder="1" applyAlignment="1">
      <alignment horizontal="center" vertical="center" wrapText="1"/>
    </xf>
    <xf numFmtId="0" fontId="10" fillId="11" borderId="43" xfId="0" applyFont="1" applyFill="1" applyBorder="1" applyAlignment="1">
      <alignment horizontal="center" vertical="center" wrapText="1"/>
    </xf>
  </cellXfs>
  <cellStyles count="22">
    <cellStyle name="Comma" xfId="1" builtinId="3"/>
    <cellStyle name="Currency" xfId="2" builtinId="4"/>
    <cellStyle name="Currency 2" xfId="9" xr:uid="{00000000-0005-0000-0000-000002000000}"/>
    <cellStyle name="Currency 4" xfId="3" xr:uid="{00000000-0005-0000-0000-000003000000}"/>
    <cellStyle name="Currency 4 2" xfId="12" xr:uid="{00000000-0005-0000-0000-000004000000}"/>
    <cellStyle name="Currency 4 2 2" xfId="19" xr:uid="{00000000-0005-0000-0000-000005000000}"/>
    <cellStyle name="Currency 4 3" xfId="16" xr:uid="{00000000-0005-0000-0000-000006000000}"/>
    <cellStyle name="Heading 3" xfId="8" builtinId="18"/>
    <cellStyle name="Normal" xfId="0" builtinId="0"/>
    <cellStyle name="Normal 2" xfId="11" xr:uid="{00000000-0005-0000-0000-000009000000}"/>
    <cellStyle name="Normal 4" xfId="10" xr:uid="{00000000-0005-0000-0000-00000A000000}"/>
    <cellStyle name="Normal 4 2" xfId="4" xr:uid="{00000000-0005-0000-0000-00000B000000}"/>
    <cellStyle name="Normal 4 2 2" xfId="13" xr:uid="{00000000-0005-0000-0000-00000C000000}"/>
    <cellStyle name="Normal 6" xfId="5" xr:uid="{00000000-0005-0000-0000-00000D000000}"/>
    <cellStyle name="Normal 6 2" xfId="14" xr:uid="{00000000-0005-0000-0000-00000E000000}"/>
    <cellStyle name="Normal 6 2 2" xfId="20" xr:uid="{00000000-0005-0000-0000-00000F000000}"/>
    <cellStyle name="Normal 6 3" xfId="17" xr:uid="{00000000-0005-0000-0000-000010000000}"/>
    <cellStyle name="Percent" xfId="6" builtinId="5"/>
    <cellStyle name="Percent 5" xfId="7" xr:uid="{00000000-0005-0000-0000-000012000000}"/>
    <cellStyle name="Percent 5 2" xfId="15" xr:uid="{00000000-0005-0000-0000-000013000000}"/>
    <cellStyle name="Percent 5 2 2" xfId="21" xr:uid="{00000000-0005-0000-0000-000014000000}"/>
    <cellStyle name="Percent 5 3" xfId="18" xr:uid="{00000000-0005-0000-0000-000015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tel Lantin" refreshedDate="44151.449127430555" createdVersion="6" refreshedVersion="6" minRefreshableVersion="3" recordCount="27" xr:uid="{00000000-000A-0000-FFFF-FFFF00000000}">
  <cacheSource type="worksheet">
    <worksheetSource ref="A1:M28" sheet="FY21 performance wpp dashboard"/>
  </cacheSource>
  <cacheFields count="13">
    <cacheField name="Area" numFmtId="0">
      <sharedItems count="16">
        <s v="Berkshire"/>
        <s v="Boston"/>
        <s v="Bristol"/>
        <s v="Brockton"/>
        <s v="Cape and Islands"/>
        <s v="Central"/>
        <s v="Franklin Hampshire"/>
        <s v="Greater Lowell"/>
        <s v="Greater New Bedford"/>
        <s v="Hampden"/>
        <s v="Merrimack Valley"/>
        <s v="Metro North"/>
        <s v="Metro South/West"/>
        <s v="North Central"/>
        <s v="North Shore"/>
        <s v="South Shore"/>
      </sharedItems>
    </cacheField>
    <cacheField name="Career Center (Moses)" numFmtId="0">
      <sharedItems/>
    </cacheField>
    <cacheField name="Career Center (Beacon)" numFmtId="0">
      <sharedItems/>
    </cacheField>
    <cacheField name="FY 20 Enrollments" numFmtId="0">
      <sharedItems containsSemiMixedTypes="0" containsString="0" containsNumber="1" containsInteger="1" minValue="2" maxValue="191"/>
    </cacheField>
    <cacheField name="Carryovers" numFmtId="0">
      <sharedItems containsSemiMixedTypes="0" containsString="0" containsNumber="1" containsInteger="1" minValue="0" maxValue="24"/>
    </cacheField>
    <cacheField name="FY20 Exits" numFmtId="0">
      <sharedItems containsSemiMixedTypes="0" containsString="0" containsNumber="1" containsInteger="1" minValue="3" maxValue="115"/>
    </cacheField>
    <cacheField name="Currently Active" numFmtId="0">
      <sharedItems containsSemiMixedTypes="0" containsString="0" containsNumber="1" containsInteger="1" minValue="0" maxValue="108"/>
    </cacheField>
    <cacheField name="FY 20 Employments" numFmtId="0">
      <sharedItems containsSemiMixedTypes="0" containsString="0" containsNumber="1" containsInteger="1" minValue="0" maxValue="39"/>
    </cacheField>
    <cacheField name="FY20 Training" numFmtId="0">
      <sharedItems containsSemiMixedTypes="0" containsString="0" containsNumber="1" containsInteger="1" minValue="0" maxValue="20"/>
    </cacheField>
    <cacheField name="FY21 Average Hourly Wage" numFmtId="164">
      <sharedItems containsMixedTypes="1" containsNumber="1" minValue="12.824999999999999" maxValue="30"/>
    </cacheField>
    <cacheField name="Outcomes / Clients" numFmtId="9">
      <sharedItems containsSemiMixedTypes="0" containsString="0" containsNumber="1" minValue="0" maxValue="0.78947368421052633"/>
    </cacheField>
    <cacheField name="Employment / Clients" numFmtId="9">
      <sharedItems containsSemiMixedTypes="0" containsString="0" containsNumber="1" minValue="0" maxValue="0.66666666666666663"/>
    </cacheField>
    <cacheField name="Exits for Employment" numFmtId="9">
      <sharedItems containsSemiMixedTypes="0" containsString="0" containsNumber="1" minValue="0" maxValue="0.891891891891891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s v="Pittsfield Career Center"/>
    <s v="Berkshire"/>
    <n v="18"/>
    <n v="7"/>
    <n v="25"/>
    <n v="0"/>
    <n v="4"/>
    <n v="2"/>
    <n v="13.5525"/>
    <n v="0.24"/>
    <n v="0.16"/>
    <n v="0.16"/>
  </r>
  <r>
    <x v="1"/>
    <s v="Boston Career Center"/>
    <s v="Boston"/>
    <n v="60"/>
    <n v="0"/>
    <n v="57"/>
    <n v="3"/>
    <n v="16"/>
    <n v="5"/>
    <n v="17.151874999999997"/>
    <n v="0.35"/>
    <n v="0.26666666666666666"/>
    <n v="0.2982456140350877"/>
  </r>
  <r>
    <x v="1"/>
    <s v="Downtown Boston Career Center"/>
    <s v="Downtown"/>
    <n v="139"/>
    <n v="5"/>
    <n v="108"/>
    <n v="36"/>
    <n v="27"/>
    <n v="3"/>
    <n v="16.848399999999998"/>
    <n v="0.20833333333333334"/>
    <n v="0.1875"/>
    <n v="0.17592592592592593"/>
  </r>
  <r>
    <x v="2"/>
    <s v="Attleboro Career Center"/>
    <s v="Attleboro"/>
    <n v="24"/>
    <n v="3"/>
    <n v="27"/>
    <n v="0"/>
    <n v="13"/>
    <n v="0"/>
    <n v="15.809230769230767"/>
    <n v="0.48148148148148145"/>
    <n v="0.48148148148148145"/>
    <n v="0.48148148148148145"/>
  </r>
  <r>
    <x v="2"/>
    <s v="Fall River Career Center"/>
    <s v="Fall River"/>
    <n v="110"/>
    <n v="7"/>
    <n v="115"/>
    <n v="2"/>
    <n v="23"/>
    <n v="1"/>
    <n v="14.173913043478262"/>
    <n v="0.20512820512820512"/>
    <n v="0.19658119658119658"/>
    <n v="0.2"/>
  </r>
  <r>
    <x v="2"/>
    <s v="Taunton Career Center"/>
    <s v="Taunton"/>
    <n v="52"/>
    <n v="15"/>
    <n v="62"/>
    <n v="5"/>
    <n v="39"/>
    <n v="1"/>
    <n v="14.838461538461539"/>
    <n v="0.59701492537313428"/>
    <n v="0.58208955223880599"/>
    <n v="0.64516129032258063"/>
  </r>
  <r>
    <x v="3"/>
    <s v="Brockton Career Center"/>
    <s v="Greater Brockton"/>
    <n v="111"/>
    <n v="21"/>
    <n v="102"/>
    <n v="30"/>
    <n v="35"/>
    <n v="12"/>
    <n v="14.864945054945052"/>
    <n v="0.35606060606060608"/>
    <n v="0.26515151515151514"/>
    <n v="0.30392156862745096"/>
  </r>
  <r>
    <x v="4"/>
    <s v="Hyannis Career Center"/>
    <s v="Cape and Islands"/>
    <n v="38"/>
    <n v="6"/>
    <n v="41"/>
    <n v="3"/>
    <n v="4"/>
    <n v="0"/>
    <n v="12.824999999999999"/>
    <n v="9.0909090909090912E-2"/>
    <n v="9.0909090909090912E-2"/>
    <n v="7.3170731707317069E-2"/>
  </r>
  <r>
    <x v="5"/>
    <s v="Southbridge Career Center"/>
    <s v="Southbridge"/>
    <n v="2"/>
    <n v="1"/>
    <n v="3"/>
    <n v="0"/>
    <n v="1"/>
    <n v="1"/>
    <n v="13"/>
    <n v="0.66666666666666663"/>
    <n v="0.33333333333333331"/>
    <n v="0.33333333333333331"/>
  </r>
  <r>
    <x v="5"/>
    <s v="Worcester Career Center"/>
    <s v="Worcester"/>
    <n v="39"/>
    <n v="22"/>
    <n v="57"/>
    <n v="4"/>
    <n v="23"/>
    <n v="3"/>
    <n v="14.092272727272727"/>
    <n v="0.42622950819672129"/>
    <n v="0.37704918032786883"/>
    <n v="0.43859649122807015"/>
  </r>
  <r>
    <x v="6"/>
    <s v="Greenfield Career Center"/>
    <s v="Franklin Hampshire - Greenfield"/>
    <n v="32"/>
    <n v="6"/>
    <n v="24"/>
    <n v="14"/>
    <n v="11"/>
    <n v="19"/>
    <n v="16.716620046620047"/>
    <n v="0.78947368421052633"/>
    <n v="0.28947368421052633"/>
    <n v="0.45833333333333331"/>
  </r>
  <r>
    <x v="7"/>
    <s v="Lowell Career Center"/>
    <s v="Lowell"/>
    <n v="42"/>
    <n v="6"/>
    <n v="37"/>
    <n v="11"/>
    <n v="32"/>
    <n v="5"/>
    <n v="19.066469780219784"/>
    <n v="0.77083333333333337"/>
    <n v="0.66666666666666663"/>
    <n v="0.89189189189189189"/>
  </r>
  <r>
    <x v="8"/>
    <s v="New Bedford Career Center"/>
    <s v="Greater New Bedford"/>
    <n v="106"/>
    <n v="13"/>
    <n v="115"/>
    <n v="4"/>
    <n v="7"/>
    <n v="3"/>
    <n v="14.942857142857141"/>
    <n v="8.4033613445378158E-2"/>
    <n v="5.8823529411764705E-2"/>
    <n v="7.8260869565217397E-2"/>
  </r>
  <r>
    <x v="9"/>
    <s v="Holyoke Career Center"/>
    <s v="Holyoke"/>
    <n v="57"/>
    <n v="9"/>
    <n v="64"/>
    <n v="2"/>
    <n v="6"/>
    <n v="2"/>
    <n v="14.88"/>
    <n v="0.12121212121212122"/>
    <n v="9.0909090909090912E-2"/>
    <n v="9.375E-2"/>
  </r>
  <r>
    <x v="9"/>
    <s v="Springfield Career Center"/>
    <s v="Springfield"/>
    <n v="191"/>
    <n v="24"/>
    <n v="107"/>
    <n v="108"/>
    <n v="35"/>
    <n v="20"/>
    <n v="14.278506262077691"/>
    <n v="0.2558139534883721"/>
    <n v="0.16279069767441862"/>
    <n v="0.20560747663551401"/>
  </r>
  <r>
    <x v="10"/>
    <s v="Lawrence Career Center"/>
    <s v="Merrimack Valley - Lawrence"/>
    <n v="48"/>
    <n v="11"/>
    <n v="57"/>
    <n v="2"/>
    <n v="15"/>
    <n v="2"/>
    <n v="14.578547008547009"/>
    <n v="0.28813559322033899"/>
    <n v="0.25423728813559321"/>
    <n v="0.2807017543859649"/>
  </r>
  <r>
    <x v="11"/>
    <s v="Cambridge Career Center"/>
    <s v="Metro North"/>
    <n v="5"/>
    <n v="3"/>
    <n v="8"/>
    <n v="0"/>
    <n v="1"/>
    <n v="0"/>
    <n v="30"/>
    <n v="0.125"/>
    <n v="0.125"/>
    <n v="0.125"/>
  </r>
  <r>
    <x v="11"/>
    <s v="Chelsea Career Center"/>
    <s v="Metro North - Chelsea"/>
    <n v="6"/>
    <n v="9"/>
    <n v="15"/>
    <n v="0"/>
    <n v="1"/>
    <n v="1"/>
    <n v="15"/>
    <n v="0.13333333333333333"/>
    <n v="6.6666666666666666E-2"/>
    <n v="0.2"/>
  </r>
  <r>
    <x v="11"/>
    <s v="Woburn Career Center"/>
    <s v="Metro North - Woburn"/>
    <n v="10"/>
    <n v="1"/>
    <n v="7"/>
    <n v="4"/>
    <n v="2"/>
    <n v="4"/>
    <n v="13.5"/>
    <n v="0.54545454545454541"/>
    <n v="0.18181818181818182"/>
    <n v="0.2857142857142857"/>
  </r>
  <r>
    <x v="12"/>
    <s v="Framingham Career Center"/>
    <s v="Framingham"/>
    <n v="16"/>
    <n v="9"/>
    <n v="20"/>
    <n v="5"/>
    <n v="8"/>
    <n v="7"/>
    <n v="15.376249999999999"/>
    <n v="0.6"/>
    <n v="0.32"/>
    <n v="0.35"/>
  </r>
  <r>
    <x v="12"/>
    <s v="Norwood Career Center"/>
    <s v="Norwood"/>
    <n v="16"/>
    <n v="1"/>
    <n v="11"/>
    <n v="6"/>
    <n v="5"/>
    <n v="3"/>
    <n v="17.966775000000002"/>
    <n v="0.47058823529411764"/>
    <n v="0.29411764705882354"/>
    <n v="0.45454545454545453"/>
  </r>
  <r>
    <x v="13"/>
    <s v="Leominster Career Center"/>
    <s v="North Central"/>
    <n v="28"/>
    <n v="7"/>
    <n v="32"/>
    <n v="3"/>
    <n v="12"/>
    <n v="3"/>
    <n v="14.200000000000001"/>
    <n v="0.42857142857142855"/>
    <n v="0.34285714285714286"/>
    <n v="0.375"/>
  </r>
  <r>
    <x v="14"/>
    <s v="Gloucester Affiliate Career Center"/>
    <s v="North Shore - Gloucester"/>
    <n v="5"/>
    <n v="0"/>
    <n v="5"/>
    <n v="0"/>
    <n v="0"/>
    <n v="0"/>
    <s v="N/A"/>
    <n v="0"/>
    <n v="0"/>
    <n v="0"/>
  </r>
  <r>
    <x v="14"/>
    <s v="Lynn Affiliate Career Center"/>
    <s v="North Shore - Lynn"/>
    <n v="10"/>
    <n v="3"/>
    <n v="8"/>
    <n v="5"/>
    <n v="3"/>
    <n v="4"/>
    <n v="13.333333333333334"/>
    <n v="0.53846153846153844"/>
    <n v="0.23076923076923078"/>
    <n v="0.375"/>
  </r>
  <r>
    <x v="14"/>
    <s v="Salem Career Center"/>
    <s v="North Shore - Salem"/>
    <n v="55"/>
    <n v="17"/>
    <n v="66"/>
    <n v="6"/>
    <n v="12"/>
    <n v="6"/>
    <n v="16.968301282051282"/>
    <n v="0.25"/>
    <n v="0.16666666666666666"/>
    <n v="0.19696969696969696"/>
  </r>
  <r>
    <x v="15"/>
    <s v="Plymouth Career Center"/>
    <s v="South Shore - Plymouth"/>
    <n v="4"/>
    <n v="2"/>
    <n v="4"/>
    <n v="2"/>
    <n v="1"/>
    <n v="1"/>
    <n v="18"/>
    <n v="0.33333333333333331"/>
    <n v="0.16666666666666666"/>
    <n v="0.25"/>
  </r>
  <r>
    <x v="15"/>
    <s v="Quincy Career Center"/>
    <s v="South Shore - Quincy"/>
    <n v="16"/>
    <n v="8"/>
    <n v="15"/>
    <n v="9"/>
    <n v="7"/>
    <n v="8"/>
    <n v="16.357142857142858"/>
    <n v="0.625"/>
    <n v="0.29166666666666669"/>
    <n v="0.466666666666666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P3:T20" firstHeaderRow="0" firstDataRow="1" firstDataCol="1"/>
  <pivotFields count="13"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showAll="0"/>
    <pivotField showAll="0"/>
    <pivotField dataField="1" showAll="0"/>
    <pivotField dataField="1" showAll="0"/>
    <pivotField showAll="0"/>
    <pivotField showAll="0"/>
    <pivotField dataField="1" showAll="0"/>
    <pivotField dataField="1" showAll="0"/>
    <pivotField showAll="0"/>
    <pivotField numFmtId="9" showAll="0"/>
    <pivotField numFmtId="9" showAll="0"/>
    <pivotField numFmtId="9" showAl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FY 20 Enrollments" fld="3" baseField="0" baseItem="0"/>
    <dataField name="Sum of Carryovers" fld="4" baseField="0" baseItem="0"/>
    <dataField name="Sum of FY 20 Employments" fld="7" baseField="0" baseItem="0"/>
    <dataField name="Sum of FY20 Training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T34"/>
  <sheetViews>
    <sheetView showGridLines="0" tabSelected="1" topLeftCell="H1" zoomScale="70" zoomScaleNormal="70" workbookViewId="0">
      <selection activeCell="Q3" sqref="Q3"/>
    </sheetView>
  </sheetViews>
  <sheetFormatPr defaultColWidth="15.54296875" defaultRowHeight="14.5" outlineLevelCol="1" x14ac:dyDescent="0.35"/>
  <cols>
    <col min="1" max="1" width="22.7265625" style="1" bestFit="1" customWidth="1"/>
    <col min="2" max="2" width="14.54296875" style="1" bestFit="1" customWidth="1"/>
    <col min="3" max="3" width="8.54296875" style="1" bestFit="1" customWidth="1"/>
    <col min="4" max="4" width="12.54296875" style="1" bestFit="1" customWidth="1"/>
    <col min="5" max="5" width="9.453125" style="1" bestFit="1" customWidth="1"/>
    <col min="6" max="6" width="12.54296875" style="1" bestFit="1" customWidth="1"/>
    <col min="7" max="7" width="15.7265625" style="1" bestFit="1" customWidth="1" outlineLevel="1"/>
    <col min="8" max="8" width="11.7265625" style="1" bestFit="1" customWidth="1" outlineLevel="1"/>
    <col min="9" max="9" width="12.81640625" style="1" customWidth="1" outlineLevel="1"/>
    <col min="10" max="10" width="10.1796875" style="1" bestFit="1" customWidth="1" outlineLevel="1"/>
    <col min="11" max="11" width="12.81640625" style="1" bestFit="1" customWidth="1" outlineLevel="1"/>
    <col min="12" max="12" width="12.1796875" style="1" customWidth="1" outlineLevel="1"/>
    <col min="13" max="13" width="18.7265625" style="1" customWidth="1" outlineLevel="1"/>
    <col min="14" max="14" width="13.1796875" style="1" bestFit="1" customWidth="1" outlineLevel="1"/>
    <col min="15" max="15" width="17.26953125" style="1" customWidth="1"/>
    <col min="16" max="16" width="16.453125" style="1" bestFit="1" customWidth="1"/>
    <col min="17" max="17" width="20.453125" style="1" bestFit="1" customWidth="1"/>
    <col min="18" max="18" width="22.54296875" style="4" customWidth="1"/>
    <col min="19" max="19" width="15.453125" style="1" customWidth="1"/>
    <col min="20" max="16384" width="15.54296875" style="1"/>
  </cols>
  <sheetData>
    <row r="1" spans="1:20" ht="32.25" customHeight="1" x14ac:dyDescent="0.45">
      <c r="A1" s="126" t="s">
        <v>0</v>
      </c>
      <c r="B1" s="126"/>
      <c r="C1" s="126"/>
      <c r="D1" s="126"/>
      <c r="E1" s="126"/>
      <c r="F1" s="126"/>
      <c r="G1" s="126"/>
      <c r="H1" s="2"/>
      <c r="I1" s="2"/>
      <c r="J1" s="2"/>
      <c r="K1" s="2"/>
      <c r="L1" s="2"/>
      <c r="M1" s="2"/>
      <c r="N1" s="2"/>
      <c r="O1" s="2"/>
      <c r="R1" s="1"/>
    </row>
    <row r="2" spans="1:20" x14ac:dyDescent="0.35">
      <c r="A2" s="136"/>
      <c r="B2" s="136"/>
      <c r="C2" s="136"/>
      <c r="D2" s="136"/>
      <c r="E2" s="136"/>
      <c r="F2" s="136"/>
      <c r="G2" s="2"/>
      <c r="H2" s="2"/>
      <c r="I2" s="2"/>
      <c r="J2" s="2"/>
      <c r="K2" s="2"/>
      <c r="L2" s="2"/>
      <c r="M2" s="2"/>
      <c r="N2" s="2"/>
      <c r="O2" s="2"/>
    </row>
    <row r="3" spans="1:20" ht="15" thickBo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20" ht="31.5" customHeight="1" x14ac:dyDescent="0.45">
      <c r="A4" s="116" t="s">
        <v>1</v>
      </c>
      <c r="B4" s="137" t="s">
        <v>2</v>
      </c>
      <c r="C4" s="138"/>
      <c r="D4" s="139"/>
      <c r="E4" s="140" t="s">
        <v>3</v>
      </c>
      <c r="F4" s="141"/>
      <c r="G4" s="142" t="s">
        <v>4</v>
      </c>
      <c r="H4" s="143"/>
      <c r="I4" s="143"/>
      <c r="J4" s="143"/>
      <c r="K4" s="143"/>
      <c r="L4" s="143"/>
      <c r="M4" s="143"/>
      <c r="N4" s="145"/>
      <c r="O4" s="127" t="s">
        <v>6</v>
      </c>
    </row>
    <row r="5" spans="1:20" ht="19" thickBot="1" x14ac:dyDescent="0.5">
      <c r="A5" s="115">
        <v>1000000</v>
      </c>
      <c r="B5" s="6"/>
      <c r="C5" s="42">
        <f>A5*0.25</f>
        <v>250000</v>
      </c>
      <c r="D5" s="7"/>
      <c r="E5" s="130">
        <f>A5*0.4</f>
        <v>400000</v>
      </c>
      <c r="F5" s="131"/>
      <c r="G5" s="132">
        <f>1000000-C5-E5</f>
        <v>350000</v>
      </c>
      <c r="H5" s="133"/>
      <c r="I5" s="133"/>
      <c r="J5" s="133"/>
      <c r="K5" s="133"/>
      <c r="L5" s="133"/>
      <c r="M5" s="133"/>
      <c r="N5" s="146"/>
      <c r="O5" s="128"/>
    </row>
    <row r="6" spans="1:20" ht="56.25" customHeight="1" thickBot="1" x14ac:dyDescent="0.4">
      <c r="A6" s="3"/>
      <c r="B6" s="103"/>
      <c r="C6" s="144"/>
      <c r="D6" s="8"/>
      <c r="E6" s="11"/>
      <c r="F6" s="5"/>
      <c r="G6" s="31"/>
      <c r="H6" s="32" t="s">
        <v>7</v>
      </c>
      <c r="I6" s="32" t="s">
        <v>8</v>
      </c>
      <c r="J6" s="32" t="s">
        <v>9</v>
      </c>
      <c r="K6" s="32"/>
      <c r="L6" s="134" t="s">
        <v>10</v>
      </c>
      <c r="M6" s="135"/>
      <c r="N6" s="146"/>
      <c r="O6" s="128"/>
    </row>
    <row r="7" spans="1:20" ht="76.5" customHeight="1" x14ac:dyDescent="0.35">
      <c r="A7" s="16" t="s">
        <v>11</v>
      </c>
      <c r="B7" s="30" t="s">
        <v>12</v>
      </c>
      <c r="C7" s="9" t="s">
        <v>13</v>
      </c>
      <c r="D7" s="10" t="s">
        <v>14</v>
      </c>
      <c r="E7" s="28" t="s">
        <v>13</v>
      </c>
      <c r="F7" s="29" t="s">
        <v>14</v>
      </c>
      <c r="G7" s="33" t="s">
        <v>15</v>
      </c>
      <c r="H7" s="34">
        <v>0.1</v>
      </c>
      <c r="I7" s="34">
        <v>0.5</v>
      </c>
      <c r="J7" s="34">
        <v>0.4</v>
      </c>
      <c r="K7" s="35" t="s">
        <v>16</v>
      </c>
      <c r="L7" s="36" t="s">
        <v>17</v>
      </c>
      <c r="M7" s="39" t="s">
        <v>18</v>
      </c>
      <c r="N7" s="147" t="s">
        <v>5</v>
      </c>
      <c r="O7" s="129"/>
      <c r="P7" s="104" t="s">
        <v>19</v>
      </c>
      <c r="Q7" s="106" t="s">
        <v>20</v>
      </c>
      <c r="R7" s="41" t="s">
        <v>21</v>
      </c>
    </row>
    <row r="8" spans="1:20" x14ac:dyDescent="0.35">
      <c r="A8" s="17" t="s">
        <v>22</v>
      </c>
      <c r="B8" s="18">
        <v>14948</v>
      </c>
      <c r="C8" s="15">
        <f>B8/B$24</f>
        <v>2.338343324114283E-2</v>
      </c>
      <c r="D8" s="19">
        <f>C$5*C8</f>
        <v>5845.8583102857074</v>
      </c>
      <c r="E8" s="27">
        <f>+F8/$F$24</f>
        <v>6.25E-2</v>
      </c>
      <c r="F8" s="26">
        <f>+$E$5/16</f>
        <v>25000</v>
      </c>
      <c r="G8" s="12">
        <v>22</v>
      </c>
      <c r="H8" s="12">
        <v>18</v>
      </c>
      <c r="I8" s="12">
        <v>7</v>
      </c>
      <c r="J8" s="12">
        <v>0</v>
      </c>
      <c r="K8" s="37">
        <v>4.0000000000000001E-3</v>
      </c>
      <c r="L8" s="38">
        <v>1.7000000000000001E-2</v>
      </c>
      <c r="M8" s="40">
        <v>15750</v>
      </c>
      <c r="N8" s="114">
        <f t="shared" ref="N8:N23" si="0">M8+F8+D8</f>
        <v>46595.858310285708</v>
      </c>
      <c r="O8" s="99">
        <f t="shared" ref="O8:O23" si="1">F8+D8</f>
        <v>30845.858310285708</v>
      </c>
      <c r="P8" s="105">
        <v>4500</v>
      </c>
      <c r="Q8" s="107">
        <f t="shared" ref="Q8:Q23" si="2">O8-P8</f>
        <v>26345.858310285708</v>
      </c>
      <c r="R8" s="90">
        <f t="shared" ref="R8:R23" si="3">N8-P8</f>
        <v>42095.858310285708</v>
      </c>
      <c r="S8" s="98"/>
      <c r="T8" s="98"/>
    </row>
    <row r="9" spans="1:20" x14ac:dyDescent="0.35">
      <c r="A9" s="17" t="s">
        <v>23</v>
      </c>
      <c r="B9" s="18">
        <v>70912</v>
      </c>
      <c r="C9" s="15">
        <f t="shared" ref="C9:C23" si="4">B9/B$24</f>
        <v>0.11092895491008298</v>
      </c>
      <c r="D9" s="19">
        <f t="shared" ref="D9:D23" si="5">C$5*C9</f>
        <v>27732.238727520744</v>
      </c>
      <c r="E9" s="20">
        <f t="shared" ref="E9:E23" si="6">+F9/$F$24</f>
        <v>6.25E-2</v>
      </c>
      <c r="F9" s="19">
        <f t="shared" ref="F9:F23" si="7">+$E$5/16</f>
        <v>25000</v>
      </c>
      <c r="G9" s="12">
        <v>63</v>
      </c>
      <c r="H9" s="12">
        <v>28</v>
      </c>
      <c r="I9" s="12">
        <v>16</v>
      </c>
      <c r="J9" s="12">
        <v>3</v>
      </c>
      <c r="K9" s="37">
        <v>8.0000000000000002E-3</v>
      </c>
      <c r="L9" s="38">
        <v>3.9E-2</v>
      </c>
      <c r="M9" s="40">
        <v>21000</v>
      </c>
      <c r="N9" s="114">
        <f t="shared" si="0"/>
        <v>73732.238727520744</v>
      </c>
      <c r="O9" s="99">
        <f t="shared" si="1"/>
        <v>52732.238727520744</v>
      </c>
      <c r="P9" s="105"/>
      <c r="Q9" s="107">
        <f t="shared" si="2"/>
        <v>52732.238727520744</v>
      </c>
      <c r="R9" s="90">
        <f t="shared" si="3"/>
        <v>73732.238727520744</v>
      </c>
      <c r="S9" s="98"/>
    </row>
    <row r="10" spans="1:20" x14ac:dyDescent="0.35">
      <c r="A10" s="17" t="s">
        <v>24</v>
      </c>
      <c r="B10" s="18">
        <v>50779</v>
      </c>
      <c r="C10" s="15">
        <f t="shared" si="4"/>
        <v>7.9434530141289247E-2</v>
      </c>
      <c r="D10" s="19">
        <f t="shared" si="5"/>
        <v>19858.632535322311</v>
      </c>
      <c r="E10" s="20">
        <f t="shared" si="6"/>
        <v>6.25E-2</v>
      </c>
      <c r="F10" s="19">
        <f t="shared" si="7"/>
        <v>25000</v>
      </c>
      <c r="G10" s="12">
        <v>328</v>
      </c>
      <c r="H10" s="12">
        <v>289</v>
      </c>
      <c r="I10" s="12">
        <v>67</v>
      </c>
      <c r="J10" s="12">
        <v>8</v>
      </c>
      <c r="K10" s="37">
        <v>4.5999999999999999E-2</v>
      </c>
      <c r="L10" s="38">
        <v>0.21299999999999999</v>
      </c>
      <c r="M10" s="40">
        <v>35000</v>
      </c>
      <c r="N10" s="114">
        <f t="shared" si="0"/>
        <v>79858.632535322307</v>
      </c>
      <c r="O10" s="99">
        <f t="shared" si="1"/>
        <v>44858.632535322307</v>
      </c>
      <c r="P10" s="105">
        <v>22000</v>
      </c>
      <c r="Q10" s="107">
        <f t="shared" si="2"/>
        <v>22858.632535322307</v>
      </c>
      <c r="R10" s="90">
        <f t="shared" si="3"/>
        <v>57858.632535322307</v>
      </c>
      <c r="S10" s="98"/>
    </row>
    <row r="11" spans="1:20" ht="14.5" customHeight="1" x14ac:dyDescent="0.35">
      <c r="A11" s="17" t="s">
        <v>25</v>
      </c>
      <c r="B11" s="18">
        <v>41646</v>
      </c>
      <c r="C11" s="15">
        <f t="shared" si="4"/>
        <v>6.51476090955736E-2</v>
      </c>
      <c r="D11" s="19">
        <f t="shared" si="5"/>
        <v>16286.9022738934</v>
      </c>
      <c r="E11" s="20">
        <f t="shared" si="6"/>
        <v>6.25E-2</v>
      </c>
      <c r="F11" s="19">
        <f t="shared" si="7"/>
        <v>25000</v>
      </c>
      <c r="G11" s="12">
        <v>120</v>
      </c>
      <c r="H11" s="12">
        <v>82</v>
      </c>
      <c r="I11" s="12">
        <v>26</v>
      </c>
      <c r="J11" s="12">
        <v>24</v>
      </c>
      <c r="K11" s="37">
        <v>2.1000000000000001E-2</v>
      </c>
      <c r="L11" s="38">
        <v>0.1</v>
      </c>
      <c r="M11" s="40">
        <v>31500</v>
      </c>
      <c r="N11" s="114">
        <f t="shared" si="0"/>
        <v>72786.9022738934</v>
      </c>
      <c r="O11" s="99">
        <f t="shared" si="1"/>
        <v>41286.9022738934</v>
      </c>
      <c r="P11" s="105"/>
      <c r="Q11" s="107">
        <f t="shared" si="2"/>
        <v>41286.9022738934</v>
      </c>
      <c r="R11" s="90">
        <f t="shared" si="3"/>
        <v>72786.9022738934</v>
      </c>
    </row>
    <row r="12" spans="1:20" ht="14.5" customHeight="1" x14ac:dyDescent="0.35">
      <c r="A12" s="17" t="s">
        <v>26</v>
      </c>
      <c r="B12" s="18">
        <v>15759</v>
      </c>
      <c r="C12" s="15">
        <f t="shared" si="4"/>
        <v>2.4652095561089767E-2</v>
      </c>
      <c r="D12" s="19">
        <f t="shared" si="5"/>
        <v>6163.0238902724423</v>
      </c>
      <c r="E12" s="20">
        <f t="shared" si="6"/>
        <v>6.25E-2</v>
      </c>
      <c r="F12" s="19">
        <f t="shared" si="7"/>
        <v>25000</v>
      </c>
      <c r="G12" s="12">
        <v>6</v>
      </c>
      <c r="H12" s="12">
        <v>3</v>
      </c>
      <c r="I12" s="12">
        <v>1</v>
      </c>
      <c r="J12" s="12">
        <v>0</v>
      </c>
      <c r="K12" s="37">
        <v>1E-3</v>
      </c>
      <c r="L12" s="38">
        <v>3.0000000000000001E-3</v>
      </c>
      <c r="M12" s="40">
        <v>8750</v>
      </c>
      <c r="N12" s="114">
        <f t="shared" si="0"/>
        <v>39913.023890272445</v>
      </c>
      <c r="O12" s="99">
        <f t="shared" si="1"/>
        <v>31163.023890272441</v>
      </c>
      <c r="P12" s="105">
        <v>6163.02</v>
      </c>
      <c r="Q12" s="107">
        <f t="shared" si="2"/>
        <v>25000.003890272441</v>
      </c>
      <c r="R12" s="90">
        <f t="shared" si="3"/>
        <v>33750.003890272448</v>
      </c>
    </row>
    <row r="13" spans="1:20" ht="14.5" customHeight="1" x14ac:dyDescent="0.35">
      <c r="A13" s="17" t="s">
        <v>27</v>
      </c>
      <c r="B13" s="18">
        <v>55340</v>
      </c>
      <c r="C13" s="15">
        <f t="shared" si="4"/>
        <v>8.6569386912285537E-2</v>
      </c>
      <c r="D13" s="19">
        <f t="shared" si="5"/>
        <v>21642.346728071385</v>
      </c>
      <c r="E13" s="20">
        <f t="shared" si="6"/>
        <v>6.25E-2</v>
      </c>
      <c r="F13" s="19">
        <f t="shared" si="7"/>
        <v>25000</v>
      </c>
      <c r="G13" s="13">
        <v>11</v>
      </c>
      <c r="H13" s="12">
        <v>9</v>
      </c>
      <c r="I13" s="12">
        <v>1</v>
      </c>
      <c r="J13" s="12">
        <v>2</v>
      </c>
      <c r="K13" s="37">
        <v>2E-3</v>
      </c>
      <c r="L13" s="38">
        <v>7.0000000000000001E-3</v>
      </c>
      <c r="M13" s="40">
        <v>12250</v>
      </c>
      <c r="N13" s="114">
        <f t="shared" si="0"/>
        <v>58892.346728071381</v>
      </c>
      <c r="O13" s="99">
        <f t="shared" si="1"/>
        <v>46642.346728071381</v>
      </c>
      <c r="P13" s="105">
        <f>O13-29500</f>
        <v>17142.346728071381</v>
      </c>
      <c r="Q13" s="107">
        <f t="shared" si="2"/>
        <v>29500</v>
      </c>
      <c r="R13" s="90">
        <f t="shared" si="3"/>
        <v>41750</v>
      </c>
      <c r="S13" s="89"/>
    </row>
    <row r="14" spans="1:20" ht="14.5" customHeight="1" x14ac:dyDescent="0.35">
      <c r="A14" s="17" t="s">
        <v>28</v>
      </c>
      <c r="B14" s="18">
        <v>9672</v>
      </c>
      <c r="C14" s="15">
        <f t="shared" si="4"/>
        <v>1.513008872814647E-2</v>
      </c>
      <c r="D14" s="19">
        <f t="shared" si="5"/>
        <v>3782.5221820366173</v>
      </c>
      <c r="E14" s="20">
        <f t="shared" si="6"/>
        <v>6.25E-2</v>
      </c>
      <c r="F14" s="19">
        <f t="shared" si="7"/>
        <v>25000</v>
      </c>
      <c r="G14" s="12">
        <v>53</v>
      </c>
      <c r="H14" s="12">
        <v>30</v>
      </c>
      <c r="I14" s="12">
        <v>18</v>
      </c>
      <c r="J14" s="12">
        <v>15</v>
      </c>
      <c r="K14" s="37">
        <v>1.2E-2</v>
      </c>
      <c r="L14" s="38">
        <v>5.8000000000000003E-2</v>
      </c>
      <c r="M14" s="40">
        <v>22750</v>
      </c>
      <c r="N14" s="114">
        <f t="shared" si="0"/>
        <v>51532.522182036621</v>
      </c>
      <c r="O14" s="99">
        <f t="shared" si="1"/>
        <v>28782.522182036617</v>
      </c>
      <c r="P14" s="105"/>
      <c r="Q14" s="107">
        <f t="shared" si="2"/>
        <v>28782.522182036617</v>
      </c>
      <c r="R14" s="90">
        <f t="shared" si="3"/>
        <v>51532.522182036621</v>
      </c>
      <c r="S14" s="89"/>
    </row>
    <row r="15" spans="1:20" ht="14.5" customHeight="1" x14ac:dyDescent="0.35">
      <c r="A15" s="17" t="s">
        <v>29</v>
      </c>
      <c r="B15" s="18">
        <v>28405</v>
      </c>
      <c r="C15" s="15">
        <f t="shared" si="4"/>
        <v>4.4434467568548436E-2</v>
      </c>
      <c r="D15" s="19">
        <f t="shared" si="5"/>
        <v>11108.616892137108</v>
      </c>
      <c r="E15" s="20">
        <f t="shared" si="6"/>
        <v>6.25E-2</v>
      </c>
      <c r="F15" s="19">
        <f t="shared" si="7"/>
        <v>25000</v>
      </c>
      <c r="G15" s="12">
        <v>69</v>
      </c>
      <c r="H15" s="12">
        <v>50</v>
      </c>
      <c r="I15" s="12">
        <v>28</v>
      </c>
      <c r="J15" s="12">
        <v>24</v>
      </c>
      <c r="K15" s="37">
        <v>0.02</v>
      </c>
      <c r="L15" s="38">
        <v>9.2999999999999999E-2</v>
      </c>
      <c r="M15" s="40">
        <v>29750</v>
      </c>
      <c r="N15" s="114">
        <f t="shared" si="0"/>
        <v>65858.616892137114</v>
      </c>
      <c r="O15" s="99">
        <f t="shared" si="1"/>
        <v>36108.616892137106</v>
      </c>
      <c r="P15" s="105">
        <v>7095.57</v>
      </c>
      <c r="Q15" s="107">
        <f t="shared" si="2"/>
        <v>29013.046892137107</v>
      </c>
      <c r="R15" s="90">
        <f t="shared" si="3"/>
        <v>58763.046892137114</v>
      </c>
      <c r="S15" s="89"/>
    </row>
    <row r="16" spans="1:20" ht="14.5" customHeight="1" x14ac:dyDescent="0.35">
      <c r="A16" s="17" t="s">
        <v>30</v>
      </c>
      <c r="B16" s="18">
        <v>29351</v>
      </c>
      <c r="C16" s="15">
        <f t="shared" si="4"/>
        <v>4.5914312888733155E-2</v>
      </c>
      <c r="D16" s="19">
        <f t="shared" si="5"/>
        <v>11478.578222183289</v>
      </c>
      <c r="E16" s="20">
        <f t="shared" si="6"/>
        <v>6.25E-2</v>
      </c>
      <c r="F16" s="19">
        <f t="shared" si="7"/>
        <v>25000</v>
      </c>
      <c r="G16" s="12">
        <v>129</v>
      </c>
      <c r="H16" s="12">
        <v>125</v>
      </c>
      <c r="I16" s="12">
        <v>13</v>
      </c>
      <c r="J16" s="12">
        <v>9</v>
      </c>
      <c r="K16" s="37">
        <v>1.6E-2</v>
      </c>
      <c r="L16" s="38">
        <v>7.2999999999999995E-2</v>
      </c>
      <c r="M16" s="40">
        <v>28000</v>
      </c>
      <c r="N16" s="114">
        <f t="shared" si="0"/>
        <v>64478.578222183292</v>
      </c>
      <c r="O16" s="99">
        <f t="shared" si="1"/>
        <v>36478.578222183292</v>
      </c>
      <c r="P16" s="105"/>
      <c r="Q16" s="107">
        <f t="shared" si="2"/>
        <v>36478.578222183292</v>
      </c>
      <c r="R16" s="90">
        <f t="shared" si="3"/>
        <v>64478.578222183292</v>
      </c>
      <c r="S16" s="89"/>
    </row>
    <row r="17" spans="1:19" ht="14.5" customHeight="1" x14ac:dyDescent="0.35">
      <c r="A17" s="17" t="s">
        <v>31</v>
      </c>
      <c r="B17" s="18">
        <v>94150</v>
      </c>
      <c r="C17" s="15">
        <f t="shared" si="4"/>
        <v>0.14728058868434554</v>
      </c>
      <c r="D17" s="19">
        <f t="shared" si="5"/>
        <v>36820.147171086384</v>
      </c>
      <c r="E17" s="20">
        <f t="shared" si="6"/>
        <v>6.25E-2</v>
      </c>
      <c r="F17" s="19">
        <f t="shared" si="7"/>
        <v>25000</v>
      </c>
      <c r="G17" s="12">
        <v>281</v>
      </c>
      <c r="H17" s="12">
        <v>172</v>
      </c>
      <c r="I17" s="12">
        <v>42</v>
      </c>
      <c r="J17" s="12">
        <v>52</v>
      </c>
      <c r="K17" s="37">
        <v>4.1000000000000002E-2</v>
      </c>
      <c r="L17" s="38">
        <v>0.192</v>
      </c>
      <c r="M17" s="40">
        <v>33250</v>
      </c>
      <c r="N17" s="114">
        <f t="shared" si="0"/>
        <v>95070.147171086384</v>
      </c>
      <c r="O17" s="99">
        <f t="shared" si="1"/>
        <v>61820.147171086384</v>
      </c>
      <c r="P17" s="105"/>
      <c r="Q17" s="107">
        <f t="shared" si="2"/>
        <v>61820.147171086384</v>
      </c>
      <c r="R17" s="90">
        <f t="shared" si="3"/>
        <v>95070.147171086384</v>
      </c>
      <c r="S17" s="89"/>
    </row>
    <row r="18" spans="1:19" ht="14.5" customHeight="1" x14ac:dyDescent="0.35">
      <c r="A18" s="17" t="s">
        <v>32</v>
      </c>
      <c r="B18" s="18">
        <v>41404</v>
      </c>
      <c r="C18" s="15">
        <f t="shared" si="4"/>
        <v>6.4769044013665886E-2</v>
      </c>
      <c r="D18" s="19">
        <f t="shared" si="5"/>
        <v>16192.261003416472</v>
      </c>
      <c r="E18" s="20">
        <f t="shared" si="6"/>
        <v>6.25E-2</v>
      </c>
      <c r="F18" s="19">
        <f t="shared" si="7"/>
        <v>25000</v>
      </c>
      <c r="G18" s="12">
        <v>96</v>
      </c>
      <c r="H18" s="12">
        <v>74</v>
      </c>
      <c r="I18" s="12">
        <v>15</v>
      </c>
      <c r="J18" s="12">
        <v>13</v>
      </c>
      <c r="K18" s="37">
        <v>1.4E-2</v>
      </c>
      <c r="L18" s="38">
        <v>6.5000000000000002E-2</v>
      </c>
      <c r="M18" s="40">
        <v>26250</v>
      </c>
      <c r="N18" s="114">
        <f t="shared" si="0"/>
        <v>67442.261003416468</v>
      </c>
      <c r="O18" s="99">
        <f t="shared" si="1"/>
        <v>41192.261003416468</v>
      </c>
      <c r="P18" s="105">
        <f>N18/2</f>
        <v>33721.130501708234</v>
      </c>
      <c r="Q18" s="107">
        <f t="shared" si="2"/>
        <v>7471.1305017082341</v>
      </c>
      <c r="R18" s="90">
        <f t="shared" si="3"/>
        <v>33721.130501708234</v>
      </c>
      <c r="S18" s="89"/>
    </row>
    <row r="19" spans="1:19" ht="14.5" customHeight="1" x14ac:dyDescent="0.35">
      <c r="A19" s="17" t="s">
        <v>33</v>
      </c>
      <c r="B19" s="18">
        <v>65704</v>
      </c>
      <c r="C19" s="15">
        <f t="shared" si="4"/>
        <v>0.10278198405646564</v>
      </c>
      <c r="D19" s="19">
        <f t="shared" si="5"/>
        <v>25695.496014116412</v>
      </c>
      <c r="E19" s="20">
        <f t="shared" si="6"/>
        <v>6.25E-2</v>
      </c>
      <c r="F19" s="19">
        <f t="shared" si="7"/>
        <v>25000</v>
      </c>
      <c r="G19" s="12">
        <v>15</v>
      </c>
      <c r="H19" s="12">
        <v>8</v>
      </c>
      <c r="I19" s="12">
        <v>6</v>
      </c>
      <c r="J19" s="12">
        <v>1</v>
      </c>
      <c r="K19" s="37">
        <v>3.0000000000000001E-3</v>
      </c>
      <c r="L19" s="38">
        <v>1.4E-2</v>
      </c>
      <c r="M19" s="40">
        <v>14000</v>
      </c>
      <c r="N19" s="114">
        <f t="shared" si="0"/>
        <v>64695.496014116412</v>
      </c>
      <c r="O19" s="99">
        <f t="shared" si="1"/>
        <v>50695.496014116412</v>
      </c>
      <c r="P19" s="105"/>
      <c r="Q19" s="107">
        <f t="shared" si="2"/>
        <v>50695.496014116412</v>
      </c>
      <c r="R19" s="90">
        <f t="shared" si="3"/>
        <v>64695.496014116412</v>
      </c>
      <c r="S19" s="89"/>
    </row>
    <row r="20" spans="1:19" x14ac:dyDescent="0.35">
      <c r="A20" s="17" t="s">
        <v>34</v>
      </c>
      <c r="B20" s="18">
        <v>20230</v>
      </c>
      <c r="C20" s="15">
        <f t="shared" si="4"/>
        <v>3.1646163665260865E-2</v>
      </c>
      <c r="D20" s="19">
        <f t="shared" si="5"/>
        <v>7911.5409163152162</v>
      </c>
      <c r="E20" s="20">
        <f t="shared" si="6"/>
        <v>6.25E-2</v>
      </c>
      <c r="F20" s="19">
        <f t="shared" si="7"/>
        <v>25000</v>
      </c>
      <c r="G20" s="12">
        <v>30</v>
      </c>
      <c r="H20" s="12">
        <v>18</v>
      </c>
      <c r="I20" s="12">
        <v>10</v>
      </c>
      <c r="J20" s="12">
        <v>9</v>
      </c>
      <c r="K20" s="37">
        <v>7.0000000000000001E-3</v>
      </c>
      <c r="L20" s="38">
        <v>3.4000000000000002E-2</v>
      </c>
      <c r="M20" s="40">
        <v>19250</v>
      </c>
      <c r="N20" s="114">
        <f t="shared" si="0"/>
        <v>52161.540916315214</v>
      </c>
      <c r="O20" s="99">
        <f t="shared" si="1"/>
        <v>32911.540916315214</v>
      </c>
      <c r="P20" s="105">
        <v>32911.54</v>
      </c>
      <c r="Q20" s="107">
        <f t="shared" si="2"/>
        <v>9.1631521354429424E-4</v>
      </c>
      <c r="R20" s="90">
        <f t="shared" si="3"/>
        <v>19250.000916315214</v>
      </c>
      <c r="S20" s="89"/>
    </row>
    <row r="21" spans="1:19" x14ac:dyDescent="0.35">
      <c r="A21" s="17" t="s">
        <v>35</v>
      </c>
      <c r="B21" s="18">
        <v>22203</v>
      </c>
      <c r="C21" s="15">
        <f t="shared" si="4"/>
        <v>3.473256410577296E-2</v>
      </c>
      <c r="D21" s="19">
        <f t="shared" si="5"/>
        <v>8683.1410264432398</v>
      </c>
      <c r="E21" s="20">
        <f t="shared" si="6"/>
        <v>6.25E-2</v>
      </c>
      <c r="F21" s="19">
        <f t="shared" si="7"/>
        <v>25000</v>
      </c>
      <c r="G21" s="12">
        <v>10</v>
      </c>
      <c r="H21" s="12">
        <v>10</v>
      </c>
      <c r="I21" s="12">
        <v>1</v>
      </c>
      <c r="J21" s="12">
        <v>1</v>
      </c>
      <c r="K21" s="37">
        <v>1E-3</v>
      </c>
      <c r="L21" s="38">
        <v>6.0000000000000001E-3</v>
      </c>
      <c r="M21" s="40">
        <v>10500</v>
      </c>
      <c r="N21" s="114">
        <f t="shared" si="0"/>
        <v>44183.141026443242</v>
      </c>
      <c r="O21" s="99">
        <f t="shared" si="1"/>
        <v>33683.141026443242</v>
      </c>
      <c r="P21" s="105">
        <v>15000</v>
      </c>
      <c r="Q21" s="107">
        <f t="shared" si="2"/>
        <v>18683.141026443242</v>
      </c>
      <c r="R21" s="90">
        <f t="shared" si="3"/>
        <v>29183.141026443242</v>
      </c>
      <c r="S21" s="89"/>
    </row>
    <row r="22" spans="1:19" x14ac:dyDescent="0.35">
      <c r="A22" s="17" t="s">
        <v>36</v>
      </c>
      <c r="B22" s="18">
        <v>39285</v>
      </c>
      <c r="C22" s="15">
        <f t="shared" si="4"/>
        <v>6.1454253069192936E-2</v>
      </c>
      <c r="D22" s="19">
        <f t="shared" si="5"/>
        <v>15363.563267298234</v>
      </c>
      <c r="E22" s="20">
        <f t="shared" si="6"/>
        <v>6.25E-2</v>
      </c>
      <c r="F22" s="19">
        <f t="shared" si="7"/>
        <v>25000</v>
      </c>
      <c r="G22" s="12">
        <v>35</v>
      </c>
      <c r="H22" s="12">
        <v>29</v>
      </c>
      <c r="I22" s="12">
        <v>3</v>
      </c>
      <c r="J22" s="12">
        <v>8</v>
      </c>
      <c r="K22" s="37">
        <v>5.0000000000000001E-3</v>
      </c>
      <c r="L22" s="38">
        <v>2.5000000000000001E-2</v>
      </c>
      <c r="M22" s="40">
        <v>17500</v>
      </c>
      <c r="N22" s="114">
        <f t="shared" si="0"/>
        <v>57863.563267298232</v>
      </c>
      <c r="O22" s="99">
        <f t="shared" si="1"/>
        <v>40363.563267298232</v>
      </c>
      <c r="P22" s="105">
        <v>20181.78</v>
      </c>
      <c r="Q22" s="107">
        <f t="shared" si="2"/>
        <v>20181.783267298233</v>
      </c>
      <c r="R22" s="90">
        <f t="shared" si="3"/>
        <v>37681.783267298233</v>
      </c>
      <c r="S22" s="89"/>
    </row>
    <row r="23" spans="1:19" x14ac:dyDescent="0.35">
      <c r="A23" s="17" t="s">
        <v>37</v>
      </c>
      <c r="B23" s="18">
        <v>39468</v>
      </c>
      <c r="C23" s="15">
        <f t="shared" si="4"/>
        <v>6.1740523358404145E-2</v>
      </c>
      <c r="D23" s="19">
        <f t="shared" si="5"/>
        <v>15435.130839601035</v>
      </c>
      <c r="E23" s="20">
        <f t="shared" si="6"/>
        <v>6.25E-2</v>
      </c>
      <c r="F23" s="19">
        <f t="shared" si="7"/>
        <v>25000</v>
      </c>
      <c r="G23" s="12">
        <v>53</v>
      </c>
      <c r="H23" s="12">
        <v>40</v>
      </c>
      <c r="I23" s="12">
        <v>16</v>
      </c>
      <c r="J23" s="12">
        <v>17</v>
      </c>
      <c r="K23" s="37">
        <v>1.2999999999999999E-2</v>
      </c>
      <c r="L23" s="38">
        <v>6.0999999999999999E-2</v>
      </c>
      <c r="M23" s="40">
        <v>24500</v>
      </c>
      <c r="N23" s="114">
        <f t="shared" si="0"/>
        <v>64935.130839601035</v>
      </c>
      <c r="O23" s="99">
        <f t="shared" si="1"/>
        <v>40435.130839601035</v>
      </c>
      <c r="P23" s="105">
        <v>20217.560000000001</v>
      </c>
      <c r="Q23" s="107">
        <f t="shared" si="2"/>
        <v>20217.570839601034</v>
      </c>
      <c r="R23" s="90">
        <f t="shared" si="3"/>
        <v>44717.57083960103</v>
      </c>
      <c r="S23" s="89"/>
    </row>
    <row r="24" spans="1:19" ht="17.5" customHeight="1" thickBot="1" x14ac:dyDescent="0.4">
      <c r="A24" s="118" t="s">
        <v>38</v>
      </c>
      <c r="B24" s="119">
        <f t="shared" ref="B24:Q24" si="8">SUM(B8:B23)</f>
        <v>639256</v>
      </c>
      <c r="C24" s="120">
        <f t="shared" si="8"/>
        <v>1</v>
      </c>
      <c r="D24" s="121">
        <f t="shared" si="8"/>
        <v>250000.00000000003</v>
      </c>
      <c r="E24" s="122">
        <f t="shared" si="8"/>
        <v>1</v>
      </c>
      <c r="F24" s="121">
        <f t="shared" si="8"/>
        <v>400000</v>
      </c>
      <c r="G24" s="124">
        <f t="shared" si="8"/>
        <v>1321</v>
      </c>
      <c r="H24" s="124">
        <f t="shared" si="8"/>
        <v>985</v>
      </c>
      <c r="I24" s="124">
        <f t="shared" si="8"/>
        <v>270</v>
      </c>
      <c r="J24" s="124">
        <f t="shared" si="8"/>
        <v>186</v>
      </c>
      <c r="K24" s="123">
        <f t="shared" si="8"/>
        <v>0.21400000000000005</v>
      </c>
      <c r="L24" s="123">
        <f t="shared" si="8"/>
        <v>1</v>
      </c>
      <c r="M24" s="117">
        <f t="shared" si="8"/>
        <v>350000</v>
      </c>
      <c r="N24" s="113">
        <f t="shared" si="8"/>
        <v>1000000</v>
      </c>
      <c r="O24" s="100">
        <f t="shared" si="8"/>
        <v>650000</v>
      </c>
      <c r="P24" s="43">
        <f t="shared" si="8"/>
        <v>178932.94722977962</v>
      </c>
      <c r="Q24" s="108">
        <f t="shared" si="8"/>
        <v>471067.05277022038</v>
      </c>
      <c r="R24" s="91">
        <f>SUM(R8:R23)</f>
        <v>821067.05277022033</v>
      </c>
    </row>
    <row r="25" spans="1:19" x14ac:dyDescent="0.35">
      <c r="O25" s="101"/>
      <c r="P25" s="44"/>
    </row>
    <row r="26" spans="1:19" x14ac:dyDescent="0.35">
      <c r="Q26" s="98"/>
    </row>
    <row r="27" spans="1:19" ht="15.5" x14ac:dyDescent="0.35">
      <c r="A27" s="94"/>
      <c r="B27" s="94"/>
      <c r="C27" s="94"/>
      <c r="D27" s="95"/>
      <c r="E27" s="94"/>
      <c r="G27" s="110" t="s">
        <v>39</v>
      </c>
      <c r="H27" s="110" t="s">
        <v>40</v>
      </c>
      <c r="I27" s="111"/>
    </row>
    <row r="28" spans="1:19" ht="15.5" x14ac:dyDescent="0.35">
      <c r="A28" s="94"/>
      <c r="B28" s="94"/>
      <c r="C28" s="94"/>
      <c r="D28" s="96"/>
      <c r="E28" s="94"/>
      <c r="G28" s="110" t="s">
        <v>41</v>
      </c>
      <c r="H28" s="110" t="s">
        <v>42</v>
      </c>
      <c r="I28" s="111"/>
      <c r="P28" s="98"/>
    </row>
    <row r="29" spans="1:19" ht="15.5" x14ac:dyDescent="0.35">
      <c r="A29" s="94"/>
      <c r="B29" s="94"/>
      <c r="C29" s="97"/>
      <c r="D29" s="94"/>
      <c r="E29" s="94"/>
      <c r="G29" s="110" t="s">
        <v>43</v>
      </c>
      <c r="H29" s="110" t="s">
        <v>44</v>
      </c>
      <c r="I29" s="111"/>
    </row>
    <row r="30" spans="1:19" ht="15.5" x14ac:dyDescent="0.35">
      <c r="A30" s="95"/>
      <c r="B30" s="95"/>
      <c r="C30" s="94"/>
      <c r="D30" s="94"/>
      <c r="E30" s="94"/>
      <c r="G30" s="110" t="s">
        <v>45</v>
      </c>
      <c r="H30" s="110" t="s">
        <v>46</v>
      </c>
      <c r="I30" s="111"/>
    </row>
    <row r="31" spans="1:19" ht="15.5" x14ac:dyDescent="0.35">
      <c r="A31" s="125"/>
      <c r="B31" s="125"/>
      <c r="C31" s="125"/>
      <c r="D31" s="125"/>
      <c r="E31" s="125"/>
      <c r="G31" s="110" t="s">
        <v>47</v>
      </c>
      <c r="H31" s="112">
        <v>44001979</v>
      </c>
      <c r="I31" s="111"/>
    </row>
    <row r="32" spans="1:19" x14ac:dyDescent="0.35">
      <c r="I32" s="109"/>
    </row>
    <row r="34" spans="1:6" x14ac:dyDescent="0.35">
      <c r="A34" s="92"/>
      <c r="B34" s="92"/>
      <c r="C34" s="93"/>
      <c r="D34" s="92"/>
      <c r="E34" s="92"/>
      <c r="F34" s="92"/>
    </row>
  </sheetData>
  <mergeCells count="10">
    <mergeCell ref="A31:E31"/>
    <mergeCell ref="A1:G1"/>
    <mergeCell ref="O4:O7"/>
    <mergeCell ref="E5:F5"/>
    <mergeCell ref="G5:M5"/>
    <mergeCell ref="L6:M6"/>
    <mergeCell ref="A2:F2"/>
    <mergeCell ref="B4:D4"/>
    <mergeCell ref="E4:F4"/>
    <mergeCell ref="G4:M4"/>
  </mergeCells>
  <pageMargins left="0.75" right="0.75" top="1" bottom="1" header="0.5" footer="0.5"/>
  <pageSetup paperSize="5" scale="60" orientation="landscape" r:id="rId1"/>
  <headerFooter alignWithMargins="0">
    <oddFooter>&amp;L&amp;D 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9"/>
  <sheetViews>
    <sheetView zoomScale="80" zoomScaleNormal="80" workbookViewId="0">
      <selection activeCell="C29" sqref="C29"/>
    </sheetView>
  </sheetViews>
  <sheetFormatPr defaultRowHeight="12.5" x14ac:dyDescent="0.25"/>
  <cols>
    <col min="1" max="1" width="18.453125" bestFit="1" customWidth="1"/>
    <col min="2" max="2" width="28.453125" bestFit="1" customWidth="1"/>
    <col min="3" max="3" width="26.453125" bestFit="1" customWidth="1"/>
    <col min="4" max="4" width="18" customWidth="1"/>
    <col min="5" max="5" width="12.453125" customWidth="1"/>
    <col min="6" max="6" width="11.453125" customWidth="1"/>
    <col min="7" max="7" width="16.54296875" customWidth="1"/>
    <col min="8" max="9" width="19.54296875" customWidth="1"/>
    <col min="10" max="10" width="26.54296875" style="21" customWidth="1"/>
    <col min="11" max="11" width="19.453125" style="22" customWidth="1"/>
    <col min="12" max="13" width="21.453125" style="22" customWidth="1"/>
    <col min="16" max="16" width="18.453125" bestFit="1" customWidth="1"/>
    <col min="17" max="17" width="23.81640625" bestFit="1" customWidth="1"/>
    <col min="18" max="18" width="17.54296875" bestFit="1" customWidth="1"/>
    <col min="19" max="19" width="25.453125" bestFit="1" customWidth="1"/>
    <col min="20" max="20" width="20.1796875" bestFit="1" customWidth="1"/>
    <col min="21" max="21" width="26.453125" bestFit="1" customWidth="1"/>
  </cols>
  <sheetData>
    <row r="1" spans="1:21" s="23" customFormat="1" ht="30.5" thickBot="1" x14ac:dyDescent="0.4">
      <c r="A1" s="45" t="s">
        <v>48</v>
      </c>
      <c r="B1" s="46" t="s">
        <v>49</v>
      </c>
      <c r="C1" s="47" t="s">
        <v>50</v>
      </c>
      <c r="D1" s="48" t="s">
        <v>51</v>
      </c>
      <c r="E1" s="46" t="s">
        <v>52</v>
      </c>
      <c r="F1" s="46" t="s">
        <v>53</v>
      </c>
      <c r="G1" s="46" t="s">
        <v>54</v>
      </c>
      <c r="H1" s="46" t="s">
        <v>55</v>
      </c>
      <c r="I1" s="46" t="s">
        <v>56</v>
      </c>
      <c r="J1" s="49" t="s">
        <v>57</v>
      </c>
      <c r="K1" s="46" t="s">
        <v>58</v>
      </c>
      <c r="L1" s="46" t="s">
        <v>59</v>
      </c>
      <c r="M1" s="47" t="s">
        <v>60</v>
      </c>
    </row>
    <row r="2" spans="1:21" ht="15" x14ac:dyDescent="0.25">
      <c r="A2" s="50" t="s">
        <v>22</v>
      </c>
      <c r="B2" s="51" t="s">
        <v>61</v>
      </c>
      <c r="C2" s="52" t="s">
        <v>22</v>
      </c>
      <c r="D2" s="53">
        <v>18</v>
      </c>
      <c r="E2" s="54">
        <v>7</v>
      </c>
      <c r="F2" s="55">
        <v>25</v>
      </c>
      <c r="G2" s="55">
        <v>0</v>
      </c>
      <c r="H2" s="55">
        <v>4</v>
      </c>
      <c r="I2" s="55">
        <v>2</v>
      </c>
      <c r="J2" s="56">
        <v>13.5525</v>
      </c>
      <c r="K2" s="57">
        <v>0.24</v>
      </c>
      <c r="L2" s="57">
        <v>0.16</v>
      </c>
      <c r="M2" s="58">
        <v>0.16</v>
      </c>
    </row>
    <row r="3" spans="1:21" ht="15" x14ac:dyDescent="0.25">
      <c r="A3" s="59" t="s">
        <v>23</v>
      </c>
      <c r="B3" s="60" t="s">
        <v>62</v>
      </c>
      <c r="C3" s="61" t="s">
        <v>23</v>
      </c>
      <c r="D3" s="62">
        <v>60</v>
      </c>
      <c r="E3" s="63">
        <v>0</v>
      </c>
      <c r="F3" s="64">
        <v>57</v>
      </c>
      <c r="G3" s="64">
        <v>3</v>
      </c>
      <c r="H3" s="64">
        <v>16</v>
      </c>
      <c r="I3" s="64">
        <v>5</v>
      </c>
      <c r="J3" s="65">
        <v>17.151874999999997</v>
      </c>
      <c r="K3" s="66">
        <v>0.35</v>
      </c>
      <c r="L3" s="66">
        <v>0.26666666666666666</v>
      </c>
      <c r="M3" s="67">
        <v>0.2982456140350877</v>
      </c>
      <c r="P3" s="24" t="s">
        <v>63</v>
      </c>
      <c r="Q3" t="s">
        <v>64</v>
      </c>
      <c r="R3" t="s">
        <v>65</v>
      </c>
      <c r="S3" t="s">
        <v>66</v>
      </c>
      <c r="T3" t="s">
        <v>67</v>
      </c>
    </row>
    <row r="4" spans="1:21" ht="15" x14ac:dyDescent="0.25">
      <c r="A4" s="50" t="s">
        <v>23</v>
      </c>
      <c r="B4" s="51" t="s">
        <v>68</v>
      </c>
      <c r="C4" s="52" t="s">
        <v>69</v>
      </c>
      <c r="D4" s="68">
        <v>139</v>
      </c>
      <c r="E4" s="69">
        <v>5</v>
      </c>
      <c r="F4" s="70">
        <v>108</v>
      </c>
      <c r="G4" s="70">
        <v>36</v>
      </c>
      <c r="H4" s="70">
        <v>27</v>
      </c>
      <c r="I4" s="70">
        <v>3</v>
      </c>
      <c r="J4" s="71">
        <v>16.848399999999998</v>
      </c>
      <c r="K4" s="72">
        <v>0.20833333333333334</v>
      </c>
      <c r="L4" s="72">
        <v>0.1875</v>
      </c>
      <c r="M4" s="73">
        <v>0.17592592592592593</v>
      </c>
      <c r="P4" s="25" t="s">
        <v>22</v>
      </c>
      <c r="Q4">
        <v>18</v>
      </c>
      <c r="R4">
        <v>7</v>
      </c>
      <c r="S4">
        <v>4</v>
      </c>
      <c r="T4">
        <v>2</v>
      </c>
      <c r="U4">
        <f>Q4+R4</f>
        <v>25</v>
      </c>
    </row>
    <row r="5" spans="1:21" ht="15" x14ac:dyDescent="0.25">
      <c r="A5" s="59" t="s">
        <v>24</v>
      </c>
      <c r="B5" s="60" t="s">
        <v>70</v>
      </c>
      <c r="C5" s="61" t="s">
        <v>71</v>
      </c>
      <c r="D5" s="62">
        <v>24</v>
      </c>
      <c r="E5" s="63">
        <v>3</v>
      </c>
      <c r="F5" s="64">
        <v>27</v>
      </c>
      <c r="G5" s="64">
        <v>0</v>
      </c>
      <c r="H5" s="64">
        <v>13</v>
      </c>
      <c r="I5" s="64">
        <v>0</v>
      </c>
      <c r="J5" s="65">
        <v>15.809230769230767</v>
      </c>
      <c r="K5" s="66">
        <v>0.48148148148148145</v>
      </c>
      <c r="L5" s="66">
        <v>0.48148148148148145</v>
      </c>
      <c r="M5" s="67">
        <v>0.48148148148148145</v>
      </c>
      <c r="P5" s="25" t="s">
        <v>23</v>
      </c>
      <c r="Q5">
        <v>199</v>
      </c>
      <c r="R5">
        <v>5</v>
      </c>
      <c r="S5">
        <v>43</v>
      </c>
      <c r="T5">
        <v>8</v>
      </c>
      <c r="U5">
        <f t="shared" ref="U5:U20" si="0">Q5+R5</f>
        <v>204</v>
      </c>
    </row>
    <row r="6" spans="1:21" ht="15" x14ac:dyDescent="0.25">
      <c r="A6" s="50" t="s">
        <v>24</v>
      </c>
      <c r="B6" s="51" t="s">
        <v>72</v>
      </c>
      <c r="C6" s="52" t="s">
        <v>73</v>
      </c>
      <c r="D6" s="68">
        <v>110</v>
      </c>
      <c r="E6" s="69">
        <v>7</v>
      </c>
      <c r="F6" s="70">
        <v>115</v>
      </c>
      <c r="G6" s="70">
        <v>2</v>
      </c>
      <c r="H6" s="70">
        <v>23</v>
      </c>
      <c r="I6" s="70">
        <v>1</v>
      </c>
      <c r="J6" s="71">
        <v>14.173913043478262</v>
      </c>
      <c r="K6" s="72">
        <v>0.20512820512820512</v>
      </c>
      <c r="L6" s="72">
        <v>0.19658119658119658</v>
      </c>
      <c r="M6" s="73">
        <v>0.2</v>
      </c>
      <c r="P6" s="25" t="s">
        <v>24</v>
      </c>
      <c r="Q6">
        <v>186</v>
      </c>
      <c r="R6">
        <v>25</v>
      </c>
      <c r="S6">
        <v>75</v>
      </c>
      <c r="T6">
        <v>2</v>
      </c>
      <c r="U6">
        <f t="shared" si="0"/>
        <v>211</v>
      </c>
    </row>
    <row r="7" spans="1:21" ht="15" x14ac:dyDescent="0.25">
      <c r="A7" s="59" t="s">
        <v>24</v>
      </c>
      <c r="B7" s="60" t="s">
        <v>74</v>
      </c>
      <c r="C7" s="61" t="s">
        <v>75</v>
      </c>
      <c r="D7" s="62">
        <v>52</v>
      </c>
      <c r="E7" s="63">
        <v>15</v>
      </c>
      <c r="F7" s="64">
        <v>62</v>
      </c>
      <c r="G7" s="64">
        <v>5</v>
      </c>
      <c r="H7" s="64">
        <v>39</v>
      </c>
      <c r="I7" s="64">
        <v>1</v>
      </c>
      <c r="J7" s="65">
        <v>14.838461538461539</v>
      </c>
      <c r="K7" s="66">
        <v>0.59701492537313428</v>
      </c>
      <c r="L7" s="66">
        <v>0.58208955223880599</v>
      </c>
      <c r="M7" s="67">
        <v>0.64516129032258063</v>
      </c>
      <c r="P7" s="25" t="s">
        <v>25</v>
      </c>
      <c r="Q7">
        <v>111</v>
      </c>
      <c r="R7">
        <v>21</v>
      </c>
      <c r="S7">
        <v>35</v>
      </c>
      <c r="T7">
        <v>12</v>
      </c>
      <c r="U7">
        <f t="shared" si="0"/>
        <v>132</v>
      </c>
    </row>
    <row r="8" spans="1:21" ht="15" x14ac:dyDescent="0.25">
      <c r="A8" s="50" t="s">
        <v>25</v>
      </c>
      <c r="B8" s="51" t="s">
        <v>76</v>
      </c>
      <c r="C8" s="52" t="s">
        <v>77</v>
      </c>
      <c r="D8" s="68">
        <v>111</v>
      </c>
      <c r="E8" s="69">
        <v>21</v>
      </c>
      <c r="F8" s="70">
        <v>102</v>
      </c>
      <c r="G8" s="70">
        <v>30</v>
      </c>
      <c r="H8" s="70">
        <v>35</v>
      </c>
      <c r="I8" s="70">
        <v>12</v>
      </c>
      <c r="J8" s="71">
        <v>14.864945054945052</v>
      </c>
      <c r="K8" s="72">
        <v>0.35606060606060608</v>
      </c>
      <c r="L8" s="72">
        <v>0.26515151515151514</v>
      </c>
      <c r="M8" s="73">
        <v>0.30392156862745096</v>
      </c>
      <c r="P8" s="25" t="s">
        <v>78</v>
      </c>
      <c r="Q8">
        <v>38</v>
      </c>
      <c r="R8">
        <v>6</v>
      </c>
      <c r="S8">
        <v>4</v>
      </c>
      <c r="T8">
        <v>0</v>
      </c>
      <c r="U8">
        <f t="shared" si="0"/>
        <v>44</v>
      </c>
    </row>
    <row r="9" spans="1:21" ht="15" x14ac:dyDescent="0.25">
      <c r="A9" s="59" t="s">
        <v>78</v>
      </c>
      <c r="B9" s="60" t="s">
        <v>79</v>
      </c>
      <c r="C9" s="61" t="s">
        <v>78</v>
      </c>
      <c r="D9" s="62">
        <v>38</v>
      </c>
      <c r="E9" s="63">
        <v>6</v>
      </c>
      <c r="F9" s="64">
        <v>41</v>
      </c>
      <c r="G9" s="64">
        <v>3</v>
      </c>
      <c r="H9" s="64">
        <v>4</v>
      </c>
      <c r="I9" s="64">
        <v>0</v>
      </c>
      <c r="J9" s="65">
        <v>12.824999999999999</v>
      </c>
      <c r="K9" s="66">
        <v>9.0909090909090912E-2</v>
      </c>
      <c r="L9" s="66">
        <v>9.0909090909090912E-2</v>
      </c>
      <c r="M9" s="67">
        <v>7.3170731707317069E-2</v>
      </c>
      <c r="P9" s="25" t="s">
        <v>80</v>
      </c>
      <c r="Q9">
        <v>41</v>
      </c>
      <c r="R9">
        <v>23</v>
      </c>
      <c r="S9">
        <v>24</v>
      </c>
      <c r="T9">
        <v>4</v>
      </c>
      <c r="U9">
        <f t="shared" si="0"/>
        <v>64</v>
      </c>
    </row>
    <row r="10" spans="1:21" ht="15" x14ac:dyDescent="0.25">
      <c r="A10" s="50" t="s">
        <v>80</v>
      </c>
      <c r="B10" s="51" t="s">
        <v>81</v>
      </c>
      <c r="C10" s="52" t="s">
        <v>82</v>
      </c>
      <c r="D10" s="68">
        <v>2</v>
      </c>
      <c r="E10" s="69">
        <v>1</v>
      </c>
      <c r="F10" s="70">
        <v>3</v>
      </c>
      <c r="G10" s="70">
        <v>0</v>
      </c>
      <c r="H10" s="70">
        <v>1</v>
      </c>
      <c r="I10" s="70">
        <v>1</v>
      </c>
      <c r="J10" s="71">
        <v>13</v>
      </c>
      <c r="K10" s="72">
        <v>0.66666666666666663</v>
      </c>
      <c r="L10" s="72">
        <v>0.33333333333333331</v>
      </c>
      <c r="M10" s="73">
        <v>0.33333333333333331</v>
      </c>
      <c r="P10" s="25" t="s">
        <v>83</v>
      </c>
      <c r="Q10">
        <v>32</v>
      </c>
      <c r="R10">
        <v>6</v>
      </c>
      <c r="S10">
        <v>11</v>
      </c>
      <c r="T10">
        <v>19</v>
      </c>
      <c r="U10">
        <f t="shared" si="0"/>
        <v>38</v>
      </c>
    </row>
    <row r="11" spans="1:21" ht="15" x14ac:dyDescent="0.25">
      <c r="A11" s="59" t="s">
        <v>80</v>
      </c>
      <c r="B11" s="60" t="s">
        <v>84</v>
      </c>
      <c r="C11" s="61" t="s">
        <v>85</v>
      </c>
      <c r="D11" s="62">
        <v>39</v>
      </c>
      <c r="E11" s="63">
        <v>22</v>
      </c>
      <c r="F11" s="64">
        <v>57</v>
      </c>
      <c r="G11" s="64">
        <v>4</v>
      </c>
      <c r="H11" s="64">
        <v>23</v>
      </c>
      <c r="I11" s="64">
        <v>3</v>
      </c>
      <c r="J11" s="65">
        <v>14.092272727272727</v>
      </c>
      <c r="K11" s="66">
        <v>0.42622950819672129</v>
      </c>
      <c r="L11" s="66">
        <v>0.37704918032786883</v>
      </c>
      <c r="M11" s="67">
        <v>0.43859649122807015</v>
      </c>
      <c r="P11" s="25" t="s">
        <v>29</v>
      </c>
      <c r="Q11">
        <v>42</v>
      </c>
      <c r="R11">
        <v>6</v>
      </c>
      <c r="S11">
        <v>32</v>
      </c>
      <c r="T11">
        <v>5</v>
      </c>
      <c r="U11">
        <f t="shared" si="0"/>
        <v>48</v>
      </c>
    </row>
    <row r="12" spans="1:21" ht="15" x14ac:dyDescent="0.25">
      <c r="A12" s="50" t="s">
        <v>83</v>
      </c>
      <c r="B12" s="51" t="s">
        <v>86</v>
      </c>
      <c r="C12" s="52" t="s">
        <v>87</v>
      </c>
      <c r="D12" s="68">
        <v>32</v>
      </c>
      <c r="E12" s="69">
        <v>6</v>
      </c>
      <c r="F12" s="70">
        <v>24</v>
      </c>
      <c r="G12" s="70">
        <v>14</v>
      </c>
      <c r="H12" s="70">
        <v>11</v>
      </c>
      <c r="I12" s="70">
        <v>19</v>
      </c>
      <c r="J12" s="71">
        <v>16.716620046620047</v>
      </c>
      <c r="K12" s="72">
        <v>0.78947368421052633</v>
      </c>
      <c r="L12" s="72">
        <v>0.28947368421052633</v>
      </c>
      <c r="M12" s="73">
        <v>0.45833333333333331</v>
      </c>
      <c r="P12" s="25" t="s">
        <v>30</v>
      </c>
      <c r="Q12">
        <v>106</v>
      </c>
      <c r="R12">
        <v>13</v>
      </c>
      <c r="S12">
        <v>7</v>
      </c>
      <c r="T12">
        <v>3</v>
      </c>
      <c r="U12">
        <f t="shared" si="0"/>
        <v>119</v>
      </c>
    </row>
    <row r="13" spans="1:21" ht="15" x14ac:dyDescent="0.25">
      <c r="A13" s="59" t="s">
        <v>29</v>
      </c>
      <c r="B13" s="60" t="s">
        <v>88</v>
      </c>
      <c r="C13" s="61" t="s">
        <v>89</v>
      </c>
      <c r="D13" s="62">
        <v>42</v>
      </c>
      <c r="E13" s="63">
        <v>6</v>
      </c>
      <c r="F13" s="64">
        <v>37</v>
      </c>
      <c r="G13" s="64">
        <v>11</v>
      </c>
      <c r="H13" s="64">
        <v>32</v>
      </c>
      <c r="I13" s="64">
        <v>5</v>
      </c>
      <c r="J13" s="65">
        <v>19.066469780219784</v>
      </c>
      <c r="K13" s="66">
        <v>0.77083333333333337</v>
      </c>
      <c r="L13" s="66">
        <v>0.66666666666666663</v>
      </c>
      <c r="M13" s="67">
        <v>0.89189189189189189</v>
      </c>
      <c r="P13" s="25" t="s">
        <v>31</v>
      </c>
      <c r="Q13">
        <v>248</v>
      </c>
      <c r="R13">
        <v>33</v>
      </c>
      <c r="S13">
        <v>41</v>
      </c>
      <c r="T13">
        <v>22</v>
      </c>
      <c r="U13">
        <f t="shared" si="0"/>
        <v>281</v>
      </c>
    </row>
    <row r="14" spans="1:21" ht="15" x14ac:dyDescent="0.25">
      <c r="A14" s="50" t="s">
        <v>30</v>
      </c>
      <c r="B14" s="51" t="s">
        <v>90</v>
      </c>
      <c r="C14" s="52" t="s">
        <v>30</v>
      </c>
      <c r="D14" s="68">
        <v>106</v>
      </c>
      <c r="E14" s="69">
        <v>13</v>
      </c>
      <c r="F14" s="70">
        <v>115</v>
      </c>
      <c r="G14" s="70">
        <v>4</v>
      </c>
      <c r="H14" s="70">
        <v>7</v>
      </c>
      <c r="I14" s="70">
        <v>3</v>
      </c>
      <c r="J14" s="71">
        <v>14.942857142857141</v>
      </c>
      <c r="K14" s="72">
        <v>8.4033613445378158E-2</v>
      </c>
      <c r="L14" s="72">
        <v>5.8823529411764705E-2</v>
      </c>
      <c r="M14" s="73">
        <v>7.8260869565217397E-2</v>
      </c>
      <c r="P14" s="25" t="s">
        <v>91</v>
      </c>
      <c r="Q14">
        <v>48</v>
      </c>
      <c r="R14">
        <v>11</v>
      </c>
      <c r="S14">
        <v>15</v>
      </c>
      <c r="T14">
        <v>2</v>
      </c>
      <c r="U14">
        <f t="shared" si="0"/>
        <v>59</v>
      </c>
    </row>
    <row r="15" spans="1:21" ht="15" x14ac:dyDescent="0.25">
      <c r="A15" s="59" t="s">
        <v>31</v>
      </c>
      <c r="B15" s="60" t="s">
        <v>92</v>
      </c>
      <c r="C15" s="61" t="s">
        <v>93</v>
      </c>
      <c r="D15" s="62">
        <v>57</v>
      </c>
      <c r="E15" s="63">
        <v>9</v>
      </c>
      <c r="F15" s="64">
        <v>64</v>
      </c>
      <c r="G15" s="64">
        <v>2</v>
      </c>
      <c r="H15" s="64">
        <v>6</v>
      </c>
      <c r="I15" s="64">
        <v>2</v>
      </c>
      <c r="J15" s="65">
        <v>14.88</v>
      </c>
      <c r="K15" s="66">
        <v>0.12121212121212122</v>
      </c>
      <c r="L15" s="66">
        <v>9.0909090909090912E-2</v>
      </c>
      <c r="M15" s="67">
        <v>9.375E-2</v>
      </c>
      <c r="P15" s="25" t="s">
        <v>33</v>
      </c>
      <c r="Q15">
        <v>21</v>
      </c>
      <c r="R15">
        <v>13</v>
      </c>
      <c r="S15">
        <v>4</v>
      </c>
      <c r="T15">
        <v>5</v>
      </c>
      <c r="U15">
        <f t="shared" si="0"/>
        <v>34</v>
      </c>
    </row>
    <row r="16" spans="1:21" ht="15" x14ac:dyDescent="0.25">
      <c r="A16" s="50" t="s">
        <v>31</v>
      </c>
      <c r="B16" s="51" t="s">
        <v>94</v>
      </c>
      <c r="C16" s="52" t="s">
        <v>95</v>
      </c>
      <c r="D16" s="68">
        <v>191</v>
      </c>
      <c r="E16" s="69">
        <v>24</v>
      </c>
      <c r="F16" s="70">
        <v>107</v>
      </c>
      <c r="G16" s="70">
        <v>108</v>
      </c>
      <c r="H16" s="70">
        <v>35</v>
      </c>
      <c r="I16" s="70">
        <v>20</v>
      </c>
      <c r="J16" s="71">
        <v>14.278506262077691</v>
      </c>
      <c r="K16" s="72">
        <v>0.2558139534883721</v>
      </c>
      <c r="L16" s="72">
        <v>0.16279069767441862</v>
      </c>
      <c r="M16" s="73">
        <v>0.20560747663551401</v>
      </c>
      <c r="P16" s="25" t="s">
        <v>96</v>
      </c>
      <c r="Q16">
        <v>32</v>
      </c>
      <c r="R16">
        <v>10</v>
      </c>
      <c r="S16">
        <v>13</v>
      </c>
      <c r="T16">
        <v>10</v>
      </c>
      <c r="U16">
        <f t="shared" si="0"/>
        <v>42</v>
      </c>
    </row>
    <row r="17" spans="1:21" ht="15" x14ac:dyDescent="0.25">
      <c r="A17" s="59" t="s">
        <v>91</v>
      </c>
      <c r="B17" s="60" t="s">
        <v>97</v>
      </c>
      <c r="C17" s="61" t="s">
        <v>98</v>
      </c>
      <c r="D17" s="62">
        <v>48</v>
      </c>
      <c r="E17" s="63">
        <v>11</v>
      </c>
      <c r="F17" s="64">
        <v>57</v>
      </c>
      <c r="G17" s="64">
        <v>2</v>
      </c>
      <c r="H17" s="64">
        <v>15</v>
      </c>
      <c r="I17" s="64">
        <v>2</v>
      </c>
      <c r="J17" s="65">
        <v>14.578547008547009</v>
      </c>
      <c r="K17" s="66">
        <v>0.28813559322033899</v>
      </c>
      <c r="L17" s="66">
        <v>0.25423728813559321</v>
      </c>
      <c r="M17" s="67">
        <v>0.2807017543859649</v>
      </c>
      <c r="P17" s="25" t="s">
        <v>35</v>
      </c>
      <c r="Q17">
        <v>28</v>
      </c>
      <c r="R17">
        <v>7</v>
      </c>
      <c r="S17">
        <v>12</v>
      </c>
      <c r="T17">
        <v>3</v>
      </c>
      <c r="U17">
        <f t="shared" si="0"/>
        <v>35</v>
      </c>
    </row>
    <row r="18" spans="1:21" ht="15" x14ac:dyDescent="0.25">
      <c r="A18" s="50" t="s">
        <v>33</v>
      </c>
      <c r="B18" s="51" t="s">
        <v>99</v>
      </c>
      <c r="C18" s="52" t="s">
        <v>33</v>
      </c>
      <c r="D18" s="68">
        <v>5</v>
      </c>
      <c r="E18" s="69">
        <v>3</v>
      </c>
      <c r="F18" s="70">
        <v>8</v>
      </c>
      <c r="G18" s="70">
        <v>0</v>
      </c>
      <c r="H18" s="70">
        <v>1</v>
      </c>
      <c r="I18" s="70">
        <v>0</v>
      </c>
      <c r="J18" s="71">
        <v>30</v>
      </c>
      <c r="K18" s="72">
        <v>0.125</v>
      </c>
      <c r="L18" s="72">
        <v>0.125</v>
      </c>
      <c r="M18" s="73">
        <v>0.125</v>
      </c>
      <c r="P18" s="25" t="s">
        <v>36</v>
      </c>
      <c r="Q18">
        <v>70</v>
      </c>
      <c r="R18">
        <v>20</v>
      </c>
      <c r="S18">
        <v>15</v>
      </c>
      <c r="T18">
        <v>10</v>
      </c>
      <c r="U18">
        <f t="shared" si="0"/>
        <v>90</v>
      </c>
    </row>
    <row r="19" spans="1:21" ht="15" x14ac:dyDescent="0.25">
      <c r="A19" s="59" t="s">
        <v>33</v>
      </c>
      <c r="B19" s="60" t="s">
        <v>100</v>
      </c>
      <c r="C19" s="61" t="s">
        <v>101</v>
      </c>
      <c r="D19" s="62">
        <v>6</v>
      </c>
      <c r="E19" s="63">
        <v>9</v>
      </c>
      <c r="F19" s="64">
        <v>15</v>
      </c>
      <c r="G19" s="64">
        <v>0</v>
      </c>
      <c r="H19" s="64">
        <v>1</v>
      </c>
      <c r="I19" s="64">
        <v>1</v>
      </c>
      <c r="J19" s="65">
        <v>15</v>
      </c>
      <c r="K19" s="66">
        <v>0.13333333333333333</v>
      </c>
      <c r="L19" s="66">
        <v>6.6666666666666666E-2</v>
      </c>
      <c r="M19" s="67">
        <v>0.2</v>
      </c>
      <c r="P19" s="25" t="s">
        <v>37</v>
      </c>
      <c r="Q19">
        <v>20</v>
      </c>
      <c r="R19">
        <v>10</v>
      </c>
      <c r="S19">
        <v>8</v>
      </c>
      <c r="T19">
        <v>9</v>
      </c>
      <c r="U19">
        <f t="shared" si="0"/>
        <v>30</v>
      </c>
    </row>
    <row r="20" spans="1:21" ht="15" x14ac:dyDescent="0.25">
      <c r="A20" s="50" t="s">
        <v>33</v>
      </c>
      <c r="B20" s="51" t="s">
        <v>102</v>
      </c>
      <c r="C20" s="52" t="s">
        <v>103</v>
      </c>
      <c r="D20" s="68">
        <v>10</v>
      </c>
      <c r="E20" s="69">
        <v>1</v>
      </c>
      <c r="F20" s="70">
        <v>7</v>
      </c>
      <c r="G20" s="70">
        <v>4</v>
      </c>
      <c r="H20" s="70">
        <v>2</v>
      </c>
      <c r="I20" s="70">
        <v>4</v>
      </c>
      <c r="J20" s="71">
        <v>13.5</v>
      </c>
      <c r="K20" s="72">
        <v>0.54545454545454541</v>
      </c>
      <c r="L20" s="72">
        <v>0.18181818181818182</v>
      </c>
      <c r="M20" s="73">
        <v>0.2857142857142857</v>
      </c>
      <c r="P20" s="25" t="s">
        <v>104</v>
      </c>
      <c r="Q20">
        <v>1240</v>
      </c>
      <c r="R20">
        <v>216</v>
      </c>
      <c r="S20">
        <v>343</v>
      </c>
      <c r="T20">
        <v>116</v>
      </c>
      <c r="U20">
        <f t="shared" si="0"/>
        <v>1456</v>
      </c>
    </row>
    <row r="21" spans="1:21" ht="15" x14ac:dyDescent="0.25">
      <c r="A21" s="59" t="s">
        <v>96</v>
      </c>
      <c r="B21" s="60" t="s">
        <v>105</v>
      </c>
      <c r="C21" s="61" t="s">
        <v>106</v>
      </c>
      <c r="D21" s="62">
        <v>16</v>
      </c>
      <c r="E21" s="63">
        <v>9</v>
      </c>
      <c r="F21" s="64">
        <v>20</v>
      </c>
      <c r="G21" s="64">
        <v>5</v>
      </c>
      <c r="H21" s="64">
        <v>8</v>
      </c>
      <c r="I21" s="64">
        <v>7</v>
      </c>
      <c r="J21" s="65">
        <v>15.376249999999999</v>
      </c>
      <c r="K21" s="66">
        <v>0.6</v>
      </c>
      <c r="L21" s="66">
        <v>0.32</v>
      </c>
      <c r="M21" s="67">
        <v>0.35</v>
      </c>
    </row>
    <row r="22" spans="1:21" ht="15" x14ac:dyDescent="0.25">
      <c r="A22" s="50" t="s">
        <v>96</v>
      </c>
      <c r="B22" s="51" t="s">
        <v>107</v>
      </c>
      <c r="C22" s="52" t="s">
        <v>108</v>
      </c>
      <c r="D22" s="68">
        <v>16</v>
      </c>
      <c r="E22" s="69">
        <v>1</v>
      </c>
      <c r="F22" s="70">
        <v>11</v>
      </c>
      <c r="G22" s="70">
        <v>6</v>
      </c>
      <c r="H22" s="70">
        <v>5</v>
      </c>
      <c r="I22" s="70">
        <v>3</v>
      </c>
      <c r="J22" s="71">
        <v>17.966775000000002</v>
      </c>
      <c r="K22" s="72">
        <v>0.47058823529411764</v>
      </c>
      <c r="L22" s="72">
        <v>0.29411764705882354</v>
      </c>
      <c r="M22" s="73">
        <v>0.45454545454545453</v>
      </c>
    </row>
    <row r="23" spans="1:21" ht="15" x14ac:dyDescent="0.25">
      <c r="A23" s="59" t="s">
        <v>35</v>
      </c>
      <c r="B23" s="60" t="s">
        <v>109</v>
      </c>
      <c r="C23" s="61" t="s">
        <v>35</v>
      </c>
      <c r="D23" s="62">
        <v>28</v>
      </c>
      <c r="E23" s="63">
        <v>7</v>
      </c>
      <c r="F23" s="64">
        <v>32</v>
      </c>
      <c r="G23" s="64">
        <v>3</v>
      </c>
      <c r="H23" s="64">
        <v>12</v>
      </c>
      <c r="I23" s="64">
        <v>3</v>
      </c>
      <c r="J23" s="65">
        <v>14.200000000000001</v>
      </c>
      <c r="K23" s="66">
        <v>0.42857142857142855</v>
      </c>
      <c r="L23" s="66">
        <v>0.34285714285714286</v>
      </c>
      <c r="M23" s="67">
        <v>0.375</v>
      </c>
    </row>
    <row r="24" spans="1:21" ht="15" x14ac:dyDescent="0.25">
      <c r="A24" s="50" t="s">
        <v>36</v>
      </c>
      <c r="B24" s="51" t="s">
        <v>110</v>
      </c>
      <c r="C24" s="52" t="s">
        <v>111</v>
      </c>
      <c r="D24" s="68">
        <v>5</v>
      </c>
      <c r="E24" s="69">
        <v>0</v>
      </c>
      <c r="F24" s="70">
        <v>5</v>
      </c>
      <c r="G24" s="70">
        <v>0</v>
      </c>
      <c r="H24" s="70">
        <v>0</v>
      </c>
      <c r="I24" s="70">
        <v>0</v>
      </c>
      <c r="J24" s="71" t="s">
        <v>112</v>
      </c>
      <c r="K24" s="72">
        <v>0</v>
      </c>
      <c r="L24" s="72">
        <v>0</v>
      </c>
      <c r="M24" s="73">
        <v>0</v>
      </c>
    </row>
    <row r="25" spans="1:21" ht="15" x14ac:dyDescent="0.25">
      <c r="A25" s="59" t="s">
        <v>36</v>
      </c>
      <c r="B25" s="60" t="s">
        <v>113</v>
      </c>
      <c r="C25" s="61" t="s">
        <v>114</v>
      </c>
      <c r="D25" s="62">
        <v>10</v>
      </c>
      <c r="E25" s="63">
        <v>3</v>
      </c>
      <c r="F25" s="64">
        <v>8</v>
      </c>
      <c r="G25" s="64">
        <v>5</v>
      </c>
      <c r="H25" s="64">
        <v>3</v>
      </c>
      <c r="I25" s="64">
        <v>4</v>
      </c>
      <c r="J25" s="65">
        <v>13.333333333333334</v>
      </c>
      <c r="K25" s="66">
        <v>0.53846153846153844</v>
      </c>
      <c r="L25" s="66">
        <v>0.23076923076923078</v>
      </c>
      <c r="M25" s="67">
        <v>0.375</v>
      </c>
    </row>
    <row r="26" spans="1:21" ht="15" x14ac:dyDescent="0.25">
      <c r="A26" s="50" t="s">
        <v>36</v>
      </c>
      <c r="B26" s="51" t="s">
        <v>115</v>
      </c>
      <c r="C26" s="52" t="s">
        <v>116</v>
      </c>
      <c r="D26" s="68">
        <v>55</v>
      </c>
      <c r="E26" s="69">
        <v>17</v>
      </c>
      <c r="F26" s="70">
        <v>66</v>
      </c>
      <c r="G26" s="70">
        <v>6</v>
      </c>
      <c r="H26" s="70">
        <v>12</v>
      </c>
      <c r="I26" s="70">
        <v>6</v>
      </c>
      <c r="J26" s="71">
        <v>16.968301282051282</v>
      </c>
      <c r="K26" s="72">
        <v>0.25</v>
      </c>
      <c r="L26" s="72">
        <v>0.16666666666666666</v>
      </c>
      <c r="M26" s="73">
        <v>0.19696969696969696</v>
      </c>
    </row>
    <row r="27" spans="1:21" ht="15" x14ac:dyDescent="0.25">
      <c r="A27" s="59" t="s">
        <v>37</v>
      </c>
      <c r="B27" s="60" t="s">
        <v>117</v>
      </c>
      <c r="C27" s="61" t="s">
        <v>118</v>
      </c>
      <c r="D27" s="62">
        <v>4</v>
      </c>
      <c r="E27" s="63">
        <v>2</v>
      </c>
      <c r="F27" s="64">
        <v>4</v>
      </c>
      <c r="G27" s="64">
        <v>2</v>
      </c>
      <c r="H27" s="64">
        <v>1</v>
      </c>
      <c r="I27" s="64">
        <v>1</v>
      </c>
      <c r="J27" s="65">
        <v>18</v>
      </c>
      <c r="K27" s="66">
        <v>0.33333333333333331</v>
      </c>
      <c r="L27" s="66">
        <v>0.16666666666666666</v>
      </c>
      <c r="M27" s="67">
        <v>0.25</v>
      </c>
    </row>
    <row r="28" spans="1:21" ht="15" x14ac:dyDescent="0.25">
      <c r="A28" s="50" t="s">
        <v>37</v>
      </c>
      <c r="B28" s="51" t="s">
        <v>119</v>
      </c>
      <c r="C28" s="52" t="s">
        <v>120</v>
      </c>
      <c r="D28" s="68">
        <v>16</v>
      </c>
      <c r="E28" s="69">
        <v>8</v>
      </c>
      <c r="F28" s="70">
        <v>15</v>
      </c>
      <c r="G28" s="70">
        <v>9</v>
      </c>
      <c r="H28" s="70">
        <v>7</v>
      </c>
      <c r="I28" s="70">
        <v>8</v>
      </c>
      <c r="J28" s="71">
        <v>16.357142857142858</v>
      </c>
      <c r="K28" s="72">
        <v>0.625</v>
      </c>
      <c r="L28" s="72">
        <v>0.29166666666666669</v>
      </c>
      <c r="M28" s="73">
        <v>0.46666666666666667</v>
      </c>
    </row>
    <row r="29" spans="1:21" x14ac:dyDescent="0.25">
      <c r="C29" t="s">
        <v>38</v>
      </c>
      <c r="D29">
        <f>SUM(D2:D28)</f>
        <v>1240</v>
      </c>
      <c r="E29">
        <f t="shared" ref="E29:M29" si="1">SUM(E2:E28)</f>
        <v>216</v>
      </c>
      <c r="F29">
        <f t="shared" si="1"/>
        <v>1192</v>
      </c>
      <c r="G29">
        <f t="shared" si="1"/>
        <v>264</v>
      </c>
      <c r="H29">
        <f t="shared" si="1"/>
        <v>343</v>
      </c>
      <c r="I29">
        <f t="shared" si="1"/>
        <v>116</v>
      </c>
      <c r="J29" s="21">
        <f t="shared" si="1"/>
        <v>412.32140084623745</v>
      </c>
      <c r="K29" s="22">
        <f t="shared" si="1"/>
        <v>9.9810685305076063</v>
      </c>
      <c r="L29" s="22">
        <f t="shared" si="1"/>
        <v>6.6498918428680662</v>
      </c>
      <c r="M29" s="22">
        <f t="shared" si="1"/>
        <v>8.1972778663692711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8"/>
  <sheetViews>
    <sheetView topLeftCell="C1" zoomScale="80" zoomScaleNormal="80" workbookViewId="0">
      <selection activeCell="O1" sqref="O1:S5"/>
    </sheetView>
  </sheetViews>
  <sheetFormatPr defaultRowHeight="12.5" x14ac:dyDescent="0.25"/>
  <cols>
    <col min="1" max="1" width="22.453125" bestFit="1" customWidth="1"/>
    <col min="2" max="2" width="34.453125" bestFit="1" customWidth="1"/>
    <col min="3" max="3" width="29.453125" bestFit="1" customWidth="1"/>
    <col min="6" max="6" width="27.1796875" bestFit="1" customWidth="1"/>
    <col min="7" max="7" width="14.1796875" bestFit="1" customWidth="1"/>
    <col min="11" max="11" width="22.1796875" bestFit="1" customWidth="1"/>
    <col min="15" max="15" width="3.453125" bestFit="1" customWidth="1"/>
    <col min="16" max="16" width="13.81640625" bestFit="1" customWidth="1"/>
    <col min="17" max="17" width="22.1796875" bestFit="1" customWidth="1"/>
  </cols>
  <sheetData>
    <row r="1" spans="1:19" ht="15.5" thickBot="1" x14ac:dyDescent="0.4">
      <c r="A1" s="45" t="s">
        <v>48</v>
      </c>
      <c r="B1" s="46" t="s">
        <v>49</v>
      </c>
      <c r="C1" s="47" t="s">
        <v>50</v>
      </c>
      <c r="F1" s="74" t="s">
        <v>121</v>
      </c>
      <c r="G1" s="74" t="s">
        <v>122</v>
      </c>
      <c r="K1" s="16" t="s">
        <v>11</v>
      </c>
      <c r="O1" s="79"/>
      <c r="P1" s="79"/>
      <c r="Q1" s="80" t="s">
        <v>123</v>
      </c>
    </row>
    <row r="2" spans="1:19" ht="15.5" thickBot="1" x14ac:dyDescent="0.4">
      <c r="A2" s="50" t="s">
        <v>22</v>
      </c>
      <c r="B2" s="51" t="s">
        <v>61</v>
      </c>
      <c r="C2" s="52" t="s">
        <v>22</v>
      </c>
      <c r="F2" s="78" t="s">
        <v>124</v>
      </c>
      <c r="G2" s="75">
        <v>41646</v>
      </c>
      <c r="K2" s="17" t="s">
        <v>22</v>
      </c>
      <c r="L2" s="76">
        <f>G17</f>
        <v>14948</v>
      </c>
      <c r="O2" s="81" t="s">
        <v>125</v>
      </c>
      <c r="P2" s="82" t="s">
        <v>126</v>
      </c>
      <c r="Q2" s="83">
        <v>140080.98989898988</v>
      </c>
    </row>
    <row r="3" spans="1:19" ht="15.5" thickBot="1" x14ac:dyDescent="0.4">
      <c r="A3" s="59" t="s">
        <v>23</v>
      </c>
      <c r="B3" s="60" t="s">
        <v>62</v>
      </c>
      <c r="C3" s="61" t="s">
        <v>23</v>
      </c>
      <c r="F3" s="78" t="s">
        <v>127</v>
      </c>
      <c r="G3" s="75">
        <v>41838</v>
      </c>
      <c r="K3" s="17" t="s">
        <v>23</v>
      </c>
      <c r="L3" s="76">
        <f>G16+G14</f>
        <v>70912</v>
      </c>
      <c r="O3" s="84" t="s">
        <v>128</v>
      </c>
      <c r="P3" s="85" t="s">
        <v>129</v>
      </c>
      <c r="Q3" s="86">
        <v>2759.5955010101006</v>
      </c>
      <c r="R3" s="88">
        <f>Q3/Q2</f>
        <v>1.9699999999999999E-2</v>
      </c>
      <c r="S3" t="s">
        <v>130</v>
      </c>
    </row>
    <row r="4" spans="1:19" ht="15.5" thickBot="1" x14ac:dyDescent="0.4">
      <c r="A4" s="50" t="s">
        <v>23</v>
      </c>
      <c r="B4" s="51" t="s">
        <v>68</v>
      </c>
      <c r="C4" s="52" t="s">
        <v>69</v>
      </c>
      <c r="F4" s="78" t="s">
        <v>131</v>
      </c>
      <c r="G4" s="75">
        <v>23461</v>
      </c>
      <c r="K4" s="17" t="s">
        <v>24</v>
      </c>
      <c r="L4" s="76">
        <f>G4+G21</f>
        <v>50779</v>
      </c>
      <c r="O4" s="84" t="s">
        <v>132</v>
      </c>
      <c r="P4" s="85" t="s">
        <v>133</v>
      </c>
      <c r="Q4" s="86">
        <v>857159.41460000002</v>
      </c>
    </row>
    <row r="5" spans="1:19" ht="15" x14ac:dyDescent="0.35">
      <c r="A5" s="59" t="s">
        <v>24</v>
      </c>
      <c r="B5" s="60" t="s">
        <v>70</v>
      </c>
      <c r="C5" s="61" t="s">
        <v>71</v>
      </c>
      <c r="F5" s="78" t="s">
        <v>134</v>
      </c>
      <c r="G5" s="75">
        <v>22203</v>
      </c>
      <c r="K5" s="17" t="s">
        <v>25</v>
      </c>
      <c r="L5" s="76">
        <f>G2</f>
        <v>41646</v>
      </c>
      <c r="O5" s="79"/>
      <c r="P5" s="79"/>
      <c r="Q5" s="87">
        <v>1000000</v>
      </c>
    </row>
    <row r="6" spans="1:19" ht="15" x14ac:dyDescent="0.35">
      <c r="A6" s="50" t="s">
        <v>24</v>
      </c>
      <c r="B6" s="51" t="s">
        <v>72</v>
      </c>
      <c r="C6" s="52" t="s">
        <v>73</v>
      </c>
      <c r="F6" s="78" t="s">
        <v>135</v>
      </c>
      <c r="G6" s="75">
        <v>20230</v>
      </c>
      <c r="K6" s="17" t="s">
        <v>26</v>
      </c>
      <c r="L6" s="76">
        <f>G9</f>
        <v>15759</v>
      </c>
    </row>
    <row r="7" spans="1:19" ht="15" x14ac:dyDescent="0.35">
      <c r="A7" s="59" t="s">
        <v>24</v>
      </c>
      <c r="B7" s="60" t="s">
        <v>74</v>
      </c>
      <c r="C7" s="61" t="s">
        <v>75</v>
      </c>
      <c r="F7" s="78" t="s">
        <v>136</v>
      </c>
      <c r="G7" s="75">
        <v>9672</v>
      </c>
      <c r="K7" s="17" t="s">
        <v>27</v>
      </c>
      <c r="L7" s="76">
        <f>G19+G22</f>
        <v>55340</v>
      </c>
    </row>
    <row r="8" spans="1:19" ht="15" x14ac:dyDescent="0.35">
      <c r="A8" s="50" t="s">
        <v>25</v>
      </c>
      <c r="B8" s="51" t="s">
        <v>76</v>
      </c>
      <c r="C8" s="52" t="s">
        <v>77</v>
      </c>
      <c r="F8" s="78" t="s">
        <v>137</v>
      </c>
      <c r="G8" s="75">
        <v>29570</v>
      </c>
      <c r="K8" s="17" t="s">
        <v>28</v>
      </c>
      <c r="L8" s="76">
        <f>G7</f>
        <v>9672</v>
      </c>
    </row>
    <row r="9" spans="1:19" ht="15" x14ac:dyDescent="0.35">
      <c r="A9" s="59" t="s">
        <v>78</v>
      </c>
      <c r="B9" s="60" t="s">
        <v>79</v>
      </c>
      <c r="C9" s="61" t="s">
        <v>78</v>
      </c>
      <c r="F9" s="78" t="s">
        <v>138</v>
      </c>
      <c r="G9" s="75">
        <v>15759</v>
      </c>
      <c r="K9" s="17" t="s">
        <v>29</v>
      </c>
      <c r="L9" s="76">
        <f>G11</f>
        <v>28405</v>
      </c>
    </row>
    <row r="10" spans="1:19" ht="15" x14ac:dyDescent="0.35">
      <c r="A10" s="50" t="s">
        <v>80</v>
      </c>
      <c r="B10" s="51" t="s">
        <v>81</v>
      </c>
      <c r="C10" s="52" t="s">
        <v>82</v>
      </c>
      <c r="F10" s="78" t="s">
        <v>139</v>
      </c>
      <c r="G10" s="75">
        <v>41404</v>
      </c>
      <c r="K10" s="17" t="s">
        <v>30</v>
      </c>
      <c r="L10" s="76">
        <f>G13</f>
        <v>29351</v>
      </c>
    </row>
    <row r="11" spans="1:19" ht="15" x14ac:dyDescent="0.35">
      <c r="A11" s="59" t="s">
        <v>80</v>
      </c>
      <c r="B11" s="60" t="s">
        <v>84</v>
      </c>
      <c r="C11" s="61" t="s">
        <v>85</v>
      </c>
      <c r="F11" s="78" t="s">
        <v>140</v>
      </c>
      <c r="G11" s="75">
        <v>28405</v>
      </c>
      <c r="K11" s="17" t="s">
        <v>31</v>
      </c>
      <c r="L11" s="76">
        <f>G8+G20</f>
        <v>94150</v>
      </c>
    </row>
    <row r="12" spans="1:19" ht="15" x14ac:dyDescent="0.35">
      <c r="A12" s="50" t="s">
        <v>83</v>
      </c>
      <c r="B12" s="51" t="s">
        <v>86</v>
      </c>
      <c r="C12" s="52" t="s">
        <v>87</v>
      </c>
      <c r="F12" s="78" t="s">
        <v>141</v>
      </c>
      <c r="G12" s="75">
        <v>23866</v>
      </c>
      <c r="K12" s="17" t="s">
        <v>32</v>
      </c>
      <c r="L12" s="76">
        <f>G10</f>
        <v>41404</v>
      </c>
    </row>
    <row r="13" spans="1:19" ht="15" x14ac:dyDescent="0.35">
      <c r="A13" s="59" t="s">
        <v>29</v>
      </c>
      <c r="B13" s="60" t="s">
        <v>88</v>
      </c>
      <c r="C13" s="61" t="s">
        <v>89</v>
      </c>
      <c r="F13" s="78" t="s">
        <v>142</v>
      </c>
      <c r="G13" s="75">
        <v>29351</v>
      </c>
      <c r="K13" s="17" t="s">
        <v>33</v>
      </c>
      <c r="L13" s="76">
        <f>G3+G12</f>
        <v>65704</v>
      </c>
    </row>
    <row r="14" spans="1:19" ht="15" x14ac:dyDescent="0.35">
      <c r="A14" s="50" t="s">
        <v>30</v>
      </c>
      <c r="B14" s="51" t="s">
        <v>90</v>
      </c>
      <c r="C14" s="52" t="s">
        <v>30</v>
      </c>
      <c r="F14" s="78" t="s">
        <v>143</v>
      </c>
      <c r="G14" s="75"/>
      <c r="K14" s="17" t="s">
        <v>34</v>
      </c>
      <c r="L14" s="76">
        <f>G6</f>
        <v>20230</v>
      </c>
    </row>
    <row r="15" spans="1:19" ht="15" x14ac:dyDescent="0.35">
      <c r="A15" s="59" t="s">
        <v>31</v>
      </c>
      <c r="B15" s="60" t="s">
        <v>92</v>
      </c>
      <c r="C15" s="61" t="s">
        <v>93</v>
      </c>
      <c r="F15" s="78" t="s">
        <v>144</v>
      </c>
      <c r="G15" s="75">
        <v>39285</v>
      </c>
      <c r="K15" s="17" t="s">
        <v>35</v>
      </c>
      <c r="L15" s="76">
        <f>G5</f>
        <v>22203</v>
      </c>
    </row>
    <row r="16" spans="1:19" ht="15" x14ac:dyDescent="0.35">
      <c r="A16" s="50" t="s">
        <v>31</v>
      </c>
      <c r="B16" s="51" t="s">
        <v>94</v>
      </c>
      <c r="C16" s="52" t="s">
        <v>95</v>
      </c>
      <c r="F16" s="78" t="s">
        <v>145</v>
      </c>
      <c r="G16" s="75">
        <v>70912</v>
      </c>
      <c r="K16" s="17" t="s">
        <v>36</v>
      </c>
      <c r="L16" s="76">
        <f>G15</f>
        <v>39285</v>
      </c>
    </row>
    <row r="17" spans="1:12" ht="15" x14ac:dyDescent="0.35">
      <c r="A17" s="59" t="s">
        <v>91</v>
      </c>
      <c r="B17" s="60" t="s">
        <v>97</v>
      </c>
      <c r="C17" s="61" t="s">
        <v>98</v>
      </c>
      <c r="F17" s="78" t="s">
        <v>146</v>
      </c>
      <c r="G17" s="75">
        <v>14948</v>
      </c>
      <c r="K17" s="17" t="s">
        <v>37</v>
      </c>
      <c r="L17" s="76">
        <f>G18</f>
        <v>39468</v>
      </c>
    </row>
    <row r="18" spans="1:12" ht="15" x14ac:dyDescent="0.35">
      <c r="A18" s="50" t="s">
        <v>33</v>
      </c>
      <c r="B18" s="51" t="s">
        <v>99</v>
      </c>
      <c r="C18" s="52" t="s">
        <v>33</v>
      </c>
      <c r="F18" s="78" t="s">
        <v>147</v>
      </c>
      <c r="G18" s="75">
        <v>39468</v>
      </c>
      <c r="L18">
        <f>SUM(L2:L17)</f>
        <v>639256</v>
      </c>
    </row>
    <row r="19" spans="1:12" ht="15" x14ac:dyDescent="0.35">
      <c r="A19" s="59" t="s">
        <v>33</v>
      </c>
      <c r="B19" s="60" t="s">
        <v>100</v>
      </c>
      <c r="C19" s="61" t="s">
        <v>101</v>
      </c>
      <c r="F19" s="78" t="s">
        <v>148</v>
      </c>
      <c r="G19" s="75">
        <v>13152</v>
      </c>
    </row>
    <row r="20" spans="1:12" ht="15" x14ac:dyDescent="0.35">
      <c r="A20" s="50" t="s">
        <v>33</v>
      </c>
      <c r="B20" s="51" t="s">
        <v>102</v>
      </c>
      <c r="C20" s="52" t="s">
        <v>103</v>
      </c>
      <c r="F20" s="78" t="s">
        <v>149</v>
      </c>
      <c r="G20" s="75">
        <v>64580</v>
      </c>
      <c r="L20" s="76">
        <f>G23-L18</f>
        <v>0</v>
      </c>
    </row>
    <row r="21" spans="1:12" ht="15" x14ac:dyDescent="0.35">
      <c r="A21" s="59" t="s">
        <v>96</v>
      </c>
      <c r="B21" s="60" t="s">
        <v>105</v>
      </c>
      <c r="C21" s="61" t="s">
        <v>106</v>
      </c>
      <c r="F21" s="78" t="s">
        <v>150</v>
      </c>
      <c r="G21" s="75">
        <v>27318</v>
      </c>
    </row>
    <row r="22" spans="1:12" ht="15" x14ac:dyDescent="0.35">
      <c r="A22" s="50" t="s">
        <v>96</v>
      </c>
      <c r="B22" s="51" t="s">
        <v>107</v>
      </c>
      <c r="C22" s="52" t="s">
        <v>108</v>
      </c>
      <c r="F22" s="78" t="s">
        <v>151</v>
      </c>
      <c r="G22" s="75">
        <v>42188</v>
      </c>
    </row>
    <row r="23" spans="1:12" ht="15" x14ac:dyDescent="0.3">
      <c r="A23" s="59" t="s">
        <v>35</v>
      </c>
      <c r="B23" s="60" t="s">
        <v>109</v>
      </c>
      <c r="C23" s="61" t="s">
        <v>35</v>
      </c>
      <c r="G23" s="77">
        <f>SUM(G2:G22)</f>
        <v>639256</v>
      </c>
    </row>
    <row r="24" spans="1:12" ht="15" x14ac:dyDescent="0.25">
      <c r="A24" s="50" t="s">
        <v>36</v>
      </c>
      <c r="B24" s="51" t="s">
        <v>110</v>
      </c>
      <c r="C24" s="52" t="s">
        <v>111</v>
      </c>
    </row>
    <row r="25" spans="1:12" ht="15" x14ac:dyDescent="0.25">
      <c r="A25" s="59" t="s">
        <v>36</v>
      </c>
      <c r="B25" s="60" t="s">
        <v>113</v>
      </c>
      <c r="C25" s="61" t="s">
        <v>114</v>
      </c>
    </row>
    <row r="26" spans="1:12" ht="15" x14ac:dyDescent="0.25">
      <c r="A26" s="50" t="s">
        <v>36</v>
      </c>
      <c r="B26" s="51" t="s">
        <v>115</v>
      </c>
      <c r="C26" s="52" t="s">
        <v>116</v>
      </c>
    </row>
    <row r="27" spans="1:12" ht="15" x14ac:dyDescent="0.25">
      <c r="A27" s="59" t="s">
        <v>37</v>
      </c>
      <c r="B27" s="60" t="s">
        <v>117</v>
      </c>
      <c r="C27" s="61" t="s">
        <v>118</v>
      </c>
    </row>
    <row r="28" spans="1:12" ht="15" x14ac:dyDescent="0.25">
      <c r="A28" s="50" t="s">
        <v>37</v>
      </c>
      <c r="B28" s="51" t="s">
        <v>119</v>
      </c>
      <c r="C28" s="52" t="s">
        <v>120</v>
      </c>
    </row>
  </sheetData>
  <autoFilter ref="F1:G1" xr:uid="{00000000-0009-0000-0000-000002000000}">
    <sortState xmlns:xlrd2="http://schemas.microsoft.com/office/spreadsheetml/2017/richdata2" ref="F2:G23">
      <sortCondition ref="F1"/>
    </sortState>
  </autoFilter>
  <sortState xmlns:xlrd2="http://schemas.microsoft.com/office/spreadsheetml/2017/richdata2" ref="D2:E22">
    <sortCondition ref="D2:D22"/>
  </sortState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A6"/>
  <sheetViews>
    <sheetView workbookViewId="0">
      <selection activeCell="A10" sqref="A10"/>
    </sheetView>
  </sheetViews>
  <sheetFormatPr defaultRowHeight="12.5" x14ac:dyDescent="0.25"/>
  <cols>
    <col min="1" max="1" width="108.453125" customWidth="1"/>
  </cols>
  <sheetData>
    <row r="5" spans="1:1" ht="13" x14ac:dyDescent="0.3">
      <c r="A5" s="14" t="s">
        <v>152</v>
      </c>
    </row>
    <row r="6" spans="1:1" ht="132" customHeight="1" x14ac:dyDescent="0.25">
      <c r="A6" s="102" t="s">
        <v>153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32159C95269649829869F39D3D78A7" ma:contentTypeVersion="17" ma:contentTypeDescription="Create a new document." ma:contentTypeScope="" ma:versionID="ac0a8c891d6a4903ebe4b5c9ba868924">
  <xsd:schema xmlns:xsd="http://www.w3.org/2001/XMLSchema" xmlns:xs="http://www.w3.org/2001/XMLSchema" xmlns:p="http://schemas.microsoft.com/office/2006/metadata/properties" xmlns:ns1="http://schemas.microsoft.com/sharepoint/v3" xmlns:ns2="69eef59b-4fb6-4551-80fa-880d5adf8c10" xmlns:ns3="704fe8ed-9af7-42bb-ab2d-7383d487533c" targetNamespace="http://schemas.microsoft.com/office/2006/metadata/properties" ma:root="true" ma:fieldsID="3c058ec50868d38fdccb723d3ead1f2a" ns1:_="" ns2:_="" ns3:_="">
    <xsd:import namespace="http://schemas.microsoft.com/sharepoint/v3"/>
    <xsd:import namespace="69eef59b-4fb6-4551-80fa-880d5adf8c10"/>
    <xsd:import namespace="704fe8ed-9af7-42bb-ab2d-7383d48753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Processed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fe8ed-9af7-42bb-ab2d-7383d48753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Processed" ma:index="20" nillable="true" ma:displayName="Processed" ma:default="1" ma:format="Dropdown" ma:internalName="Processe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9eef59b-4fb6-4551-80fa-880d5adf8c10" xsi:nil="true"/>
    <_ip_UnifiedCompliancePolicyProperties xmlns="http://schemas.microsoft.com/sharepoint/v3" xsi:nil="true"/>
    <Processed xmlns="704fe8ed-9af7-42bb-ab2d-7383d487533c">true</Processed>
    <lcf76f155ced4ddcb4097134ff3c332f xmlns="704fe8ed-9af7-42bb-ab2d-7383d48753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E0BFA9-BF21-4E54-A127-D2EF5CAAD6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9eef59b-4fb6-4551-80fa-880d5adf8c10"/>
    <ds:schemaRef ds:uri="704fe8ed-9af7-42bb-ab2d-7383d48753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A4DF7A-10BC-45C6-9E8A-5EE4F9A82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14D80F-3EFD-4C7D-81A3-04BE8FDB2BDE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microsoft.com/sharepoint/v3"/>
    <ds:schemaRef ds:uri="704fe8ed-9af7-42bb-ab2d-7383d487533c"/>
    <ds:schemaRef ds:uri="http://schemas.openxmlformats.org/package/2006/metadata/core-properties"/>
    <ds:schemaRef ds:uri="http://purl.org/dc/terms/"/>
    <ds:schemaRef ds:uri="69eef59b-4fb6-4551-80fa-880d5adf8c10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FY23 Allocations - breakdown</vt:lpstr>
      <vt:lpstr>FY21 performance wpp dashboard</vt:lpstr>
      <vt:lpstr>FY23 allocations</vt:lpstr>
      <vt:lpstr>TOADBeacon SQL</vt:lpstr>
      <vt:lpstr>'FY23 Allocations - breakdown'!Print_Area</vt:lpstr>
    </vt:vector>
  </TitlesOfParts>
  <Manager/>
  <Company>DWD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bgoguen</dc:creator>
  <cp:keywords/>
  <dc:description/>
  <cp:lastModifiedBy>Pinkham, Laurie (EOL)</cp:lastModifiedBy>
  <cp:revision/>
  <dcterms:created xsi:type="dcterms:W3CDTF">2012-05-11T12:28:37Z</dcterms:created>
  <dcterms:modified xsi:type="dcterms:W3CDTF">2026-06-10T15:36:35Z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0x010100AD32159C95269649829869F39D3D78A7</vt:lpwstr>
  </property>
  <property fmtid="{D5CDD505-2E9C-101B-9397-08002B2CF9AE}" pid="3" name="MediaServiceImageTags">
    <vt:lpwstr/>
  </property>
</Properties>
</file>