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1"/>
  <workbookPr defaultThemeVersion="124226"/>
  <mc:AlternateContent xmlns:mc="http://schemas.openxmlformats.org/markup-compatibility/2006">
    <mc:Choice Requires="x15">
      <x15ac:absPath xmlns:x15ac="http://schemas.microsoft.com/office/spreadsheetml/2010/11/ac" url="https://massgov-my.sharepoint.com/personal/marilyn_boyle_mass_gov/Documents/FY26 Allocations/Working Tables Not For DistributionsNew folder/"/>
    </mc:Choice>
  </mc:AlternateContent>
  <xr:revisionPtr revIDLastSave="122" documentId="8_{60FF6F34-52EF-4E20-BFD3-D4A21EC4648D}" xr6:coauthVersionLast="47" xr6:coauthVersionMax="47" xr10:uidLastSave="{C4C40515-7A1A-4D00-A162-9C995D1AAC90}"/>
  <bookViews>
    <workbookView xWindow="0" yWindow="100" windowWidth="19190" windowHeight="10070" xr2:uid="{A405EC1E-51BF-4A28-BC20-8691EFD3768D}"/>
  </bookViews>
  <sheets>
    <sheet name=" FY26 Allotments  05 19 25" sheetId="27" r:id="rId1"/>
    <sheet name="FY26 Qtr 1 &amp; Qtr 2-4  (2)" sheetId="28" r:id="rId2"/>
  </sheets>
  <definedNames>
    <definedName name="_xlnm.Print_Area" localSheetId="0">' FY26 Allotments  05 19 25'!$B$2:$F$41</definedName>
    <definedName name="_xlnm.Print_Area" localSheetId="1">'FY26 Qtr 1 &amp; Qtr 2-4  (2)'!$B$2:$E$42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27" l="1"/>
  <c r="D10" i="28" l="1"/>
  <c r="D14" i="28" l="1"/>
  <c r="E7" i="27" l="1"/>
  <c r="F7" i="27" s="1"/>
  <c r="C8" i="27"/>
  <c r="C9" i="27" s="1"/>
  <c r="D9" i="27"/>
  <c r="E9" i="27" s="1"/>
  <c r="F9" i="27" s="1"/>
  <c r="C11" i="27"/>
  <c r="D11" i="27"/>
  <c r="D27" i="27" s="1"/>
  <c r="C12" i="27"/>
  <c r="D12" i="27"/>
  <c r="E12" i="27"/>
  <c r="F12" i="27" s="1"/>
  <c r="E13" i="27"/>
  <c r="F13" i="27"/>
  <c r="C14" i="27"/>
  <c r="D14" i="27"/>
  <c r="C17" i="27"/>
  <c r="C28" i="27" s="1"/>
  <c r="C29" i="27" s="1"/>
  <c r="D17" i="27"/>
  <c r="E18" i="27"/>
  <c r="F18" i="27" s="1"/>
  <c r="C19" i="27"/>
  <c r="D19" i="27"/>
  <c r="C20" i="27"/>
  <c r="C21" i="27" s="1"/>
  <c r="C22" i="27"/>
  <c r="D22" i="27"/>
  <c r="E22" i="27" s="1"/>
  <c r="F22" i="27" s="1"/>
  <c r="C23" i="27"/>
  <c r="D23" i="27"/>
  <c r="C27" i="27"/>
  <c r="C30" i="27"/>
  <c r="D30" i="27"/>
  <c r="E30" i="27" s="1"/>
  <c r="F30" i="27" s="1"/>
  <c r="E31" i="27"/>
  <c r="F31" i="27"/>
  <c r="C34" i="27"/>
  <c r="C35" i="27" s="1"/>
  <c r="D34" i="27"/>
  <c r="D35" i="27" s="1"/>
  <c r="E34" i="27"/>
  <c r="F34" i="27" s="1"/>
  <c r="C37" i="27"/>
  <c r="D37" i="27"/>
  <c r="D38" i="27" s="1"/>
  <c r="D37" i="28"/>
  <c r="D38" i="28" s="1"/>
  <c r="D34" i="28"/>
  <c r="D35" i="28" s="1"/>
  <c r="C34" i="28"/>
  <c r="C37" i="28" s="1"/>
  <c r="C30" i="28"/>
  <c r="E30" i="28" s="1"/>
  <c r="C23" i="28"/>
  <c r="C22" i="28"/>
  <c r="C19" i="28"/>
  <c r="C17" i="28"/>
  <c r="C14" i="28"/>
  <c r="C15" i="28" s="1"/>
  <c r="C12" i="28"/>
  <c r="C28" i="28" s="1"/>
  <c r="C11" i="28"/>
  <c r="C27" i="28" s="1"/>
  <c r="C8" i="28"/>
  <c r="C24" i="28" s="1"/>
  <c r="D23" i="28"/>
  <c r="E13" i="28"/>
  <c r="D30" i="28"/>
  <c r="D17" i="28"/>
  <c r="E17" i="28" s="1"/>
  <c r="D15" i="28"/>
  <c r="D11" i="28"/>
  <c r="E11" i="28" s="1"/>
  <c r="D8" i="28"/>
  <c r="E7" i="28"/>
  <c r="D9" i="28"/>
  <c r="D27" i="28" l="1"/>
  <c r="E27" i="28" s="1"/>
  <c r="D25" i="28"/>
  <c r="D12" i="28"/>
  <c r="D28" i="28" s="1"/>
  <c r="D29" i="28" s="1"/>
  <c r="D24" i="28"/>
  <c r="E24" i="28" s="1"/>
  <c r="E23" i="28"/>
  <c r="D16" i="28"/>
  <c r="D26" i="28" s="1"/>
  <c r="E15" i="28"/>
  <c r="C24" i="27"/>
  <c r="E23" i="27"/>
  <c r="F23" i="27" s="1"/>
  <c r="E27" i="27"/>
  <c r="F27" i="27" s="1"/>
  <c r="E14" i="27"/>
  <c r="F14" i="27" s="1"/>
  <c r="C36" i="27"/>
  <c r="D32" i="27"/>
  <c r="E35" i="27"/>
  <c r="F35" i="27" s="1"/>
  <c r="D36" i="27"/>
  <c r="E36" i="27" s="1"/>
  <c r="F36" i="27" s="1"/>
  <c r="E11" i="27"/>
  <c r="F11" i="27" s="1"/>
  <c r="C38" i="27"/>
  <c r="E38" i="27" s="1"/>
  <c r="F38" i="27" s="1"/>
  <c r="E37" i="27"/>
  <c r="F37" i="27" s="1"/>
  <c r="E17" i="27"/>
  <c r="F17" i="27" s="1"/>
  <c r="D10" i="27"/>
  <c r="E10" i="27" s="1"/>
  <c r="F10" i="27" s="1"/>
  <c r="C10" i="27"/>
  <c r="E8" i="27"/>
  <c r="F8" i="27" s="1"/>
  <c r="D20" i="27"/>
  <c r="E20" i="27" s="1"/>
  <c r="F20" i="27" s="1"/>
  <c r="D39" i="27"/>
  <c r="E19" i="27"/>
  <c r="F19" i="27" s="1"/>
  <c r="D28" i="27"/>
  <c r="D15" i="27"/>
  <c r="D16" i="27" s="1"/>
  <c r="C15" i="27"/>
  <c r="C25" i="27" s="1"/>
  <c r="D24" i="27"/>
  <c r="D32" i="28"/>
  <c r="D36" i="28"/>
  <c r="D39" i="28"/>
  <c r="E28" i="28"/>
  <c r="C29" i="28"/>
  <c r="E29" i="28" s="1"/>
  <c r="C21" i="28"/>
  <c r="C38" i="28"/>
  <c r="C39" i="28"/>
  <c r="C16" i="28"/>
  <c r="E14" i="28"/>
  <c r="E8" i="28"/>
  <c r="C35" i="28"/>
  <c r="C32" i="28" s="1"/>
  <c r="E12" i="28"/>
  <c r="C9" i="28"/>
  <c r="C36" i="28"/>
  <c r="C33" i="28" s="1"/>
  <c r="C20" i="28"/>
  <c r="E16" i="28" l="1"/>
  <c r="E24" i="27"/>
  <c r="F24" i="27" s="1"/>
  <c r="D33" i="27"/>
  <c r="C16" i="27"/>
  <c r="C26" i="27" s="1"/>
  <c r="C39" i="27"/>
  <c r="C33" i="27" s="1"/>
  <c r="E33" i="27" s="1"/>
  <c r="F33" i="27" s="1"/>
  <c r="D21" i="27"/>
  <c r="E21" i="27" s="1"/>
  <c r="F21" i="27" s="1"/>
  <c r="C32" i="27"/>
  <c r="E32" i="27" s="1"/>
  <c r="F32" i="27" s="1"/>
  <c r="E15" i="27"/>
  <c r="F15" i="27" s="1"/>
  <c r="D25" i="27"/>
  <c r="E25" i="27" s="1"/>
  <c r="F25" i="27" s="1"/>
  <c r="E28" i="27"/>
  <c r="F28" i="27" s="1"/>
  <c r="D29" i="27"/>
  <c r="E29" i="27" s="1"/>
  <c r="F29" i="27" s="1"/>
  <c r="E16" i="27"/>
  <c r="F16" i="27" s="1"/>
  <c r="D33" i="28"/>
  <c r="C25" i="28"/>
  <c r="E25" i="28" s="1"/>
  <c r="E9" i="28"/>
  <c r="C10" i="28"/>
  <c r="D26" i="27" l="1"/>
  <c r="E26" i="27" s="1"/>
  <c r="F26" i="27" s="1"/>
  <c r="E39" i="27"/>
  <c r="F39" i="27" s="1"/>
  <c r="E10" i="28"/>
  <c r="C26" i="28"/>
  <c r="E26" i="28" s="1"/>
</calcChain>
</file>

<file path=xl/sharedStrings.xml><?xml version="1.0" encoding="utf-8"?>
<sst xmlns="http://schemas.openxmlformats.org/spreadsheetml/2006/main" count="96" uniqueCount="51">
  <si>
    <t>FISCAL YEAR 2026 WIOA TITLE I AND WAGNER-PEYSER ES STATE ALLOTMENTS</t>
  </si>
  <si>
    <t>FY 2026 Allotments Published in Training and Employment Guidance Letter (TEGL) 11-24, Issued May 20, 2025</t>
  </si>
  <si>
    <t>FY 2026 Allotments Published in the Federal Register (2025-08879), Issued May 19, 2025
FY 2025 Allotments Published in Training and Employment Guidance Letter (TEGL) 12-23, Issued May 8, 2024</t>
  </si>
  <si>
    <t>B</t>
  </si>
  <si>
    <t>C</t>
  </si>
  <si>
    <t>D</t>
  </si>
  <si>
    <t>E</t>
  </si>
  <si>
    <t>CATEGORY</t>
  </si>
  <si>
    <r>
      <t>FY 2025
Allotment</t>
    </r>
    <r>
      <rPr>
        <b/>
        <vertAlign val="superscript"/>
        <sz val="10"/>
        <rFont val="Arial Narrow"/>
        <family val="2"/>
      </rPr>
      <t>2a</t>
    </r>
  </si>
  <si>
    <r>
      <t>FY 2026
Initial
Allotment</t>
    </r>
    <r>
      <rPr>
        <b/>
        <vertAlign val="superscript"/>
        <sz val="10"/>
        <rFont val="Arial Narrow"/>
        <family val="2"/>
      </rPr>
      <t>1a</t>
    </r>
  </si>
  <si>
    <t>Change
From
FY 2025
(C - B)</t>
  </si>
  <si>
    <t>% Change
From
FY 2025
(D/B)</t>
  </si>
  <si>
    <t xml:space="preserve">A. TITLE I DISLOCATED WORKER TOTAL </t>
  </si>
  <si>
    <t>1. FORMULA ALLOCATIONS 60%</t>
  </si>
  <si>
    <t>a. PROGRAM  90%</t>
  </si>
  <si>
    <t>b. LOCAL ADMINISTRATION 10%</t>
  </si>
  <si>
    <t>2. RAPID RESPONSE  25%</t>
  </si>
  <si>
    <t>3. STATEWIDE PROGRAMS 15%</t>
  </si>
  <si>
    <t xml:space="preserve">B. TITLE I ADULT TOTAL </t>
  </si>
  <si>
    <t>1. FORMULA ALLOCATIONS 85%</t>
  </si>
  <si>
    <t>2. STATEWIDE  PROGRAMS 15%</t>
  </si>
  <si>
    <t>C. TITLE I YOUTH TOTAL</t>
  </si>
  <si>
    <t xml:space="preserve">D. TITLE I TOTAL  </t>
  </si>
  <si>
    <t>1. LOCAL FORMULA ALLOCATIONS</t>
  </si>
  <si>
    <t>a. PROGRAM 90%</t>
  </si>
  <si>
    <t>2. RAPID RESPONSE</t>
  </si>
  <si>
    <t xml:space="preserve">3. STATEWIDE PROGRAMS </t>
  </si>
  <si>
    <t>a. PROGRAM 66.7%</t>
  </si>
  <si>
    <t>b. STATE ADMINISTRATION 33.3%</t>
  </si>
  <si>
    <t>E. Wagner-Peyser ES 100%</t>
  </si>
  <si>
    <t>a. FORMULA ALLOCATIONS TOTAL</t>
  </si>
  <si>
    <t>b. STATEWIDE ACTIVITIES TOTAL</t>
  </si>
  <si>
    <t>1. WP 90%</t>
  </si>
  <si>
    <t>a. FORMULA ALLOCATIONS  80%</t>
  </si>
  <si>
    <t>b. STATEWIDE ACTIVITIES  20%</t>
  </si>
  <si>
    <t>2. WP 10%</t>
  </si>
  <si>
    <t>a. FORMULA ALLOCATIONS  62%</t>
  </si>
  <si>
    <t>b. STATEWIDE ACTIVITIES  38%</t>
  </si>
  <si>
    <t xml:space="preserve">(1)  Source for FY 2026 (PY 2025) Allotments: (a) Ttraining and Employment Guidance Letter (TEGL) No. 11-24, Workforce Innovation and Opportunity Act Adult, Dislocated Worker and Youth Activities Program Allotments for Program Year (PY) 2025; PY 2025 Allotments for the Wagner-Peyser Act Employment Service Program; and PY 2025 Allotments of Workforce Information Grants to States and Outlying Areas, issued May 20, 2025. The Federal Register Notice was issued on May 19, 2025. (b)  Note per 29 U.S. Code § 49f(c) and 20 CFR 652.205: WP90% and WP10% funds authorized under the Wagner-Peyser Act may be used per Section 7(c) to provide additional funding for other activities authorized under the Workforce Innovation and Opportunity Act provided the activities meet requirements defined in Section 7(c)(1-4)..
(2)  Source for FY 2025 (PY 2024) Allotments: (a) TEGL 12-23, Workforce Innovation and Opportunity Act (WIOA) Adult, Dislocated Worker and Youth Activities Program Allotments for Program Year (PY) 2024; PY 2024 Allotments for the Wagner-Peyser Act Employment Service (ES) Programs; and PY 2024 Allotments of Workforce Information Grants to States and Outlying Areas, issued May 8, 2024. The Federal Register Notice was issued on May 9, 2024. (b)  Note per 29 U.S. Code § 49f(c) and 20 CFR 652.205: WP90% and WP10% funds authorized under the Wagner-Peyser Act may be used per Section 7(c) to provide additional funding for other activities authorized under the Workforce Innovation and Opportunity Act provided the activities meet requirements defined in Section 7(c)(1-4).
(3)  Totals may not add due to rounding. </t>
  </si>
  <si>
    <t>MassHire Department of Career Services</t>
  </si>
  <si>
    <t>Updated:</t>
  </si>
  <si>
    <t xml:space="preserve"> </t>
  </si>
  <si>
    <t xml:space="preserve"> FISCAL YEAR 2026 WIOA TITLE I AND WAGNER-PEYSER ES STATE ALLOTMENTS</t>
  </si>
  <si>
    <t xml:space="preserve">FY 2026 Training and Employment Guidance Letter (TEGL) 11-24, Issued May 20, 2025                                                                                                     FY 2026 Allotments Published in the Federal Register (2025-08879), Issued May 19, 2025                                                                                                                                                                                                                                                                                                                                                                                                                                 </t>
  </si>
  <si>
    <r>
      <t>FY 2026
Initial
Allotment</t>
    </r>
    <r>
      <rPr>
        <b/>
        <vertAlign val="superscript"/>
        <sz val="10"/>
        <rFont val="Arial Narrow"/>
        <family val="2"/>
      </rPr>
      <t>1</t>
    </r>
  </si>
  <si>
    <r>
      <t>First 
Quarter</t>
    </r>
    <r>
      <rPr>
        <b/>
        <vertAlign val="superscript"/>
        <sz val="11"/>
        <rFont val="Arial Narrow"/>
        <family val="2"/>
      </rPr>
      <t>1</t>
    </r>
  </si>
  <si>
    <r>
      <t>Funding
Qrts 2-4</t>
    </r>
    <r>
      <rPr>
        <b/>
        <vertAlign val="superscript"/>
        <sz val="11"/>
        <rFont val="Arial Narrow"/>
        <family val="2"/>
      </rPr>
      <t>1</t>
    </r>
    <r>
      <rPr>
        <b/>
        <sz val="11"/>
        <rFont val="Arial Narrow"/>
        <family val="2"/>
      </rPr>
      <t xml:space="preserve">
</t>
    </r>
    <r>
      <rPr>
        <b/>
        <sz val="10"/>
        <rFont val="Arial Narrow"/>
        <family val="2"/>
      </rPr>
      <t>(B-C)</t>
    </r>
  </si>
  <si>
    <t>b. LOCAL ADMINISTRATION  10%</t>
  </si>
  <si>
    <t>a. PROGRAM  66.7%</t>
  </si>
  <si>
    <r>
      <rPr>
        <sz val="8"/>
        <rFont val="Arial Narrow"/>
        <family val="2"/>
      </rPr>
      <t xml:space="preserve">(1)   Source for FY 2026 (PY 2025) Allotments: (a) Ttraining and Employment Guidance Letter (TEGL) No.11-24, Workforce Innovation and Opportunity Act Adult, Dislocated Worker and Youth Activities Program Allotments for Program Year (PY) 2025; PY 2025 Allotments for the Wagner-Peyser Act Employment Service  Program;; and PY 2025 Allotments of Workforce Information Grants to States and Outlying Areas, issued May 20, 2025. The Federal Register Notice was issued on May 19, 2025. (b)  Note per 29 U.S. Code § 49f(c) and 20 CFR 652.205: WP90% and WP10% funds authorized under the Wagner-Peyser Act may be used per Section 7(c) to provide additional funding for other activities authorized under the Workforce Innovation and Opportunity Act provided the activities meet requirements defined in Section 7(c)(1-4)...                                     
(2)    Totals may not add due to rounding.   </t>
    </r>
    <r>
      <rPr>
        <sz val="9"/>
        <rFont val="Arial Narrow"/>
        <family val="2"/>
      </rPr>
      <t xml:space="preserve">                  </t>
    </r>
    <r>
      <rPr>
        <sz val="10"/>
        <rFont val="Arial Narrow"/>
        <family val="2"/>
      </rPr>
      <t xml:space="preserve">                                        </t>
    </r>
  </si>
  <si>
    <t>5/20//2025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</si>
</sst>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quot;#,##0"/>
    <numFmt numFmtId="166" formatCode="[$-409]mmmm\ d\,\ yyyy;@"/>
    <numFmt numFmtId="167" formatCode="&quot;$&quot;#,##0.00"/>
  </numFmts>
  <fonts count="18">
    <font>
      <sz val="10"/>
      <name val="Arial"/>
    </font>
    <font>
      <b/>
      <sz val="12"/>
      <name val="Times New Roman"/>
      <family val="1"/>
    </font>
    <font>
      <b/>
      <sz val="11"/>
      <name val="Arial Narrow"/>
      <family val="2"/>
    </font>
    <font>
      <sz val="11"/>
      <name val="Arial Narrow"/>
      <family val="2"/>
    </font>
    <font>
      <b/>
      <sz val="8"/>
      <name val="Arial Narrow"/>
      <family val="2"/>
    </font>
    <font>
      <sz val="10"/>
      <name val="Arial Narrow"/>
      <family val="2"/>
    </font>
    <font>
      <b/>
      <sz val="10"/>
      <name val="Arial Narrow"/>
      <family val="2"/>
    </font>
    <font>
      <sz val="11"/>
      <name val="Arial"/>
      <family val="2"/>
    </font>
    <font>
      <sz val="10"/>
      <name val="Arial"/>
      <family val="2"/>
    </font>
    <font>
      <sz val="9"/>
      <name val="Arial Narrow"/>
      <family val="2"/>
    </font>
    <font>
      <b/>
      <sz val="12"/>
      <name val="Arial Narrow"/>
      <family val="2"/>
    </font>
    <font>
      <b/>
      <vertAlign val="superscript"/>
      <sz val="11"/>
      <name val="Arial Narrow"/>
      <family val="2"/>
    </font>
    <font>
      <b/>
      <vertAlign val="superscript"/>
      <sz val="10"/>
      <name val="Arial Narrow"/>
      <family val="2"/>
    </font>
    <font>
      <sz val="8"/>
      <name val="Arial Narrow"/>
      <family val="2"/>
    </font>
    <font>
      <sz val="9"/>
      <name val="Arial"/>
      <family val="2"/>
    </font>
    <font>
      <b/>
      <sz val="11"/>
      <color rgb="FFFF0000"/>
      <name val="Arial Narrow"/>
      <family val="2"/>
    </font>
    <font>
      <b/>
      <sz val="10"/>
      <color rgb="FFFF0000"/>
      <name val="Arial"/>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4">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8" fillId="0" borderId="0"/>
  </cellStyleXfs>
  <cellXfs count="105">
    <xf numFmtId="0" fontId="0" fillId="0" borderId="0" xfId="0"/>
    <xf numFmtId="0" fontId="8" fillId="0" borderId="0" xfId="1"/>
    <xf numFmtId="0" fontId="8" fillId="0" borderId="0" xfId="1" applyAlignment="1">
      <alignment vertical="center"/>
    </xf>
    <xf numFmtId="0" fontId="1" fillId="0" borderId="0" xfId="1" applyFont="1"/>
    <xf numFmtId="0" fontId="8" fillId="0" borderId="1" xfId="1" applyBorder="1"/>
    <xf numFmtId="0" fontId="4" fillId="0" borderId="2" xfId="1" applyFont="1" applyBorder="1" applyAlignment="1">
      <alignment horizontal="center" vertical="center"/>
    </xf>
    <xf numFmtId="0" fontId="2" fillId="0" borderId="2" xfId="1" applyFont="1" applyBorder="1" applyAlignment="1">
      <alignment horizontal="center" vertical="center" wrapText="1"/>
    </xf>
    <xf numFmtId="0" fontId="3" fillId="0" borderId="3" xfId="1" applyFont="1" applyBorder="1"/>
    <xf numFmtId="0" fontId="3" fillId="0" borderId="0" xfId="1" applyFont="1"/>
    <xf numFmtId="0" fontId="6" fillId="0" borderId="4" xfId="1" applyFont="1" applyBorder="1" applyAlignment="1">
      <alignment vertical="center"/>
    </xf>
    <xf numFmtId="0" fontId="5" fillId="0" borderId="5" xfId="1" applyFont="1" applyBorder="1" applyAlignment="1">
      <alignment vertical="center"/>
    </xf>
    <xf numFmtId="0" fontId="5" fillId="0" borderId="6" xfId="1" applyFont="1" applyBorder="1" applyAlignment="1">
      <alignment horizontal="left" vertical="center" indent="1"/>
    </xf>
    <xf numFmtId="0" fontId="5" fillId="0" borderId="7" xfId="1" applyFont="1" applyBorder="1" applyAlignment="1">
      <alignment vertical="center"/>
    </xf>
    <xf numFmtId="0" fontId="5" fillId="0" borderId="6" xfId="1" applyFont="1" applyBorder="1" applyAlignment="1">
      <alignment vertical="center"/>
    </xf>
    <xf numFmtId="0" fontId="5" fillId="0" borderId="7" xfId="1" applyFont="1" applyBorder="1" applyAlignment="1">
      <alignment horizontal="left" vertical="center" indent="1"/>
    </xf>
    <xf numFmtId="0" fontId="5" fillId="0" borderId="0" xfId="1" applyFont="1" applyAlignment="1">
      <alignment horizontal="left" indent="1"/>
    </xf>
    <xf numFmtId="0" fontId="5" fillId="0" borderId="0" xfId="1" applyFont="1"/>
    <xf numFmtId="0" fontId="8" fillId="0" borderId="0" xfId="1" applyAlignment="1">
      <alignment horizontal="center"/>
    </xf>
    <xf numFmtId="0" fontId="8" fillId="0" borderId="0" xfId="1" applyAlignment="1">
      <alignment horizontal="center" vertical="center"/>
    </xf>
    <xf numFmtId="165" fontId="8" fillId="0" borderId="0" xfId="1" applyNumberFormat="1" applyAlignment="1">
      <alignment vertical="center"/>
    </xf>
    <xf numFmtId="0" fontId="5" fillId="0" borderId="8" xfId="1" applyFont="1" applyBorder="1" applyAlignment="1">
      <alignment vertical="center"/>
    </xf>
    <xf numFmtId="0" fontId="5" fillId="0" borderId="9" xfId="1" applyFont="1" applyBorder="1" applyAlignment="1">
      <alignment horizontal="left" vertical="center" indent="1"/>
    </xf>
    <xf numFmtId="0" fontId="5" fillId="0" borderId="10" xfId="1" applyFont="1" applyBorder="1" applyAlignment="1">
      <alignment horizontal="left" vertical="center" indent="1"/>
    </xf>
    <xf numFmtId="164" fontId="3" fillId="0" borderId="0" xfId="1" applyNumberFormat="1" applyFont="1" applyAlignment="1">
      <alignment horizontal="center"/>
    </xf>
    <xf numFmtId="0" fontId="9" fillId="0" borderId="0" xfId="1" applyFont="1" applyAlignment="1">
      <alignment horizontal="left"/>
    </xf>
    <xf numFmtId="0" fontId="9" fillId="0" borderId="0" xfId="1" applyFont="1" applyAlignment="1">
      <alignment horizontal="right" wrapText="1"/>
    </xf>
    <xf numFmtId="166" fontId="9" fillId="0" borderId="0" xfId="1" applyNumberFormat="1" applyFont="1" applyAlignment="1">
      <alignment horizontal="center" wrapText="1"/>
    </xf>
    <xf numFmtId="164" fontId="8" fillId="0" borderId="0" xfId="1" applyNumberFormat="1" applyAlignment="1">
      <alignment vertical="center"/>
    </xf>
    <xf numFmtId="3" fontId="8" fillId="0" borderId="0" xfId="0" applyNumberFormat="1" applyFont="1"/>
    <xf numFmtId="3" fontId="8" fillId="0" borderId="0" xfId="1" applyNumberFormat="1" applyAlignment="1">
      <alignment vertical="center"/>
    </xf>
    <xf numFmtId="0" fontId="8" fillId="0" borderId="0" xfId="1" applyAlignment="1">
      <alignment horizontal="left"/>
    </xf>
    <xf numFmtId="165" fontId="5" fillId="0" borderId="9" xfId="0" applyNumberFormat="1" applyFont="1" applyBorder="1" applyAlignment="1">
      <alignment horizontal="center" vertical="center"/>
    </xf>
    <xf numFmtId="165" fontId="6" fillId="0" borderId="9" xfId="0" applyNumberFormat="1" applyFont="1" applyBorder="1" applyAlignment="1">
      <alignment horizontal="center" vertical="center"/>
    </xf>
    <xf numFmtId="165" fontId="5" fillId="0" borderId="10" xfId="0" applyNumberFormat="1" applyFont="1" applyBorder="1" applyAlignment="1">
      <alignment horizontal="center" vertical="center"/>
    </xf>
    <xf numFmtId="165" fontId="5" fillId="0" borderId="11" xfId="1" applyNumberFormat="1" applyFont="1" applyBorder="1" applyAlignment="1">
      <alignment horizontal="center" vertical="center"/>
    </xf>
    <xf numFmtId="165" fontId="5" fillId="0" borderId="3" xfId="1" applyNumberFormat="1" applyFont="1" applyBorder="1" applyAlignment="1">
      <alignment horizontal="center" vertical="center"/>
    </xf>
    <xf numFmtId="165" fontId="5" fillId="0" borderId="9" xfId="1" applyNumberFormat="1" applyFont="1" applyBorder="1" applyAlignment="1">
      <alignment horizontal="center" vertical="center"/>
    </xf>
    <xf numFmtId="165" fontId="6" fillId="0" borderId="9" xfId="1" applyNumberFormat="1" applyFont="1" applyBorder="1" applyAlignment="1">
      <alignment horizontal="center" vertical="center"/>
    </xf>
    <xf numFmtId="165" fontId="5" fillId="0" borderId="10" xfId="1" applyNumberFormat="1" applyFont="1" applyBorder="1" applyAlignment="1">
      <alignment horizontal="center" vertical="center"/>
    </xf>
    <xf numFmtId="165" fontId="5" fillId="0" borderId="3" xfId="0" applyNumberFormat="1" applyFont="1" applyBorder="1" applyAlignment="1">
      <alignment horizontal="center" vertical="center"/>
    </xf>
    <xf numFmtId="165" fontId="5" fillId="0" borderId="12" xfId="0" applyNumberFormat="1" applyFont="1" applyBorder="1" applyAlignment="1">
      <alignment horizontal="center" vertical="center"/>
    </xf>
    <xf numFmtId="165" fontId="5" fillId="0" borderId="15" xfId="0" applyNumberFormat="1" applyFont="1" applyBorder="1" applyAlignment="1">
      <alignment horizontal="center" vertical="center"/>
    </xf>
    <xf numFmtId="165" fontId="5" fillId="0" borderId="11" xfId="0" applyNumberFormat="1" applyFont="1" applyBorder="1" applyAlignment="1">
      <alignment horizontal="center" vertical="center"/>
    </xf>
    <xf numFmtId="165" fontId="6" fillId="0" borderId="3" xfId="1" applyNumberFormat="1" applyFont="1" applyBorder="1" applyAlignment="1">
      <alignment horizontal="center" vertical="center"/>
    </xf>
    <xf numFmtId="0" fontId="6" fillId="0" borderId="2" xfId="1" applyFont="1" applyBorder="1" applyAlignment="1">
      <alignment horizontal="center" vertical="center"/>
    </xf>
    <xf numFmtId="0" fontId="6" fillId="0" borderId="13" xfId="1" applyFont="1" applyBorder="1" applyAlignment="1">
      <alignment horizontal="center" vertical="center"/>
    </xf>
    <xf numFmtId="0" fontId="6" fillId="0" borderId="2" xfId="1" applyFont="1" applyBorder="1" applyAlignment="1">
      <alignment horizontal="center" vertical="center" wrapText="1"/>
    </xf>
    <xf numFmtId="165" fontId="6" fillId="0" borderId="16" xfId="1" applyNumberFormat="1" applyFont="1" applyBorder="1" applyAlignment="1">
      <alignment horizontal="center" vertical="center" wrapText="1"/>
    </xf>
    <xf numFmtId="165" fontId="5" fillId="0" borderId="12" xfId="1" applyNumberFormat="1" applyFont="1" applyBorder="1" applyAlignment="1">
      <alignment horizontal="center" vertical="center"/>
    </xf>
    <xf numFmtId="0" fontId="5" fillId="0" borderId="9" xfId="1" applyFont="1" applyBorder="1" applyAlignment="1">
      <alignment vertical="center"/>
    </xf>
    <xf numFmtId="165" fontId="5" fillId="0" borderId="15" xfId="1" applyNumberFormat="1" applyFont="1" applyBorder="1" applyAlignment="1">
      <alignment horizontal="center" vertical="center"/>
    </xf>
    <xf numFmtId="165" fontId="0" fillId="0" borderId="0" xfId="0" applyNumberFormat="1"/>
    <xf numFmtId="9" fontId="8" fillId="0" borderId="0" xfId="1" applyNumberFormat="1" applyAlignment="1">
      <alignment vertical="center"/>
    </xf>
    <xf numFmtId="0" fontId="10" fillId="0" borderId="0" xfId="1" applyFont="1" applyAlignment="1">
      <alignment wrapText="1"/>
    </xf>
    <xf numFmtId="165" fontId="5" fillId="0" borderId="0" xfId="0" applyNumberFormat="1" applyFont="1" applyAlignment="1">
      <alignment horizontal="center" vertical="center"/>
    </xf>
    <xf numFmtId="165" fontId="5" fillId="2" borderId="9" xfId="0" applyNumberFormat="1" applyFont="1" applyFill="1" applyBorder="1" applyAlignment="1">
      <alignment horizontal="center" vertical="center"/>
    </xf>
    <xf numFmtId="165" fontId="6" fillId="2" borderId="9" xfId="0" applyNumberFormat="1" applyFont="1" applyFill="1" applyBorder="1" applyAlignment="1">
      <alignment horizontal="center" vertical="center"/>
    </xf>
    <xf numFmtId="165" fontId="5" fillId="2" borderId="10" xfId="0" applyNumberFormat="1" applyFont="1" applyFill="1" applyBorder="1" applyAlignment="1">
      <alignment horizontal="center" vertical="center"/>
    </xf>
    <xf numFmtId="165" fontId="5" fillId="2" borderId="3" xfId="0" applyNumberFormat="1" applyFont="1" applyFill="1" applyBorder="1" applyAlignment="1">
      <alignment horizontal="center" vertical="center"/>
    </xf>
    <xf numFmtId="165" fontId="5" fillId="2" borderId="15" xfId="0" applyNumberFormat="1" applyFont="1" applyFill="1" applyBorder="1" applyAlignment="1">
      <alignment horizontal="center" vertical="center"/>
    </xf>
    <xf numFmtId="165" fontId="5" fillId="2" borderId="11" xfId="0" applyNumberFormat="1" applyFont="1" applyFill="1" applyBorder="1" applyAlignment="1">
      <alignment horizontal="center" vertical="center"/>
    </xf>
    <xf numFmtId="10" fontId="5" fillId="0" borderId="11" xfId="1" applyNumberFormat="1" applyFont="1" applyBorder="1" applyAlignment="1">
      <alignment horizontal="center"/>
    </xf>
    <xf numFmtId="10" fontId="6" fillId="0" borderId="9" xfId="1" applyNumberFormat="1" applyFont="1" applyBorder="1" applyAlignment="1">
      <alignment horizontal="center"/>
    </xf>
    <xf numFmtId="10" fontId="5" fillId="0" borderId="9" xfId="1" applyNumberFormat="1" applyFont="1" applyBorder="1" applyAlignment="1">
      <alignment horizontal="center"/>
    </xf>
    <xf numFmtId="10" fontId="5" fillId="0" borderId="3" xfId="1" applyNumberFormat="1" applyFont="1" applyBorder="1" applyAlignment="1">
      <alignment horizontal="center"/>
    </xf>
    <xf numFmtId="10" fontId="5" fillId="0" borderId="10" xfId="1" applyNumberFormat="1" applyFont="1" applyBorder="1" applyAlignment="1">
      <alignment horizontal="center"/>
    </xf>
    <xf numFmtId="10" fontId="5" fillId="0" borderId="12" xfId="1" applyNumberFormat="1" applyFont="1" applyBorder="1" applyAlignment="1">
      <alignment horizontal="center"/>
    </xf>
    <xf numFmtId="10" fontId="5" fillId="0" borderId="15" xfId="1" applyNumberFormat="1" applyFont="1" applyBorder="1" applyAlignment="1">
      <alignment horizontal="center"/>
    </xf>
    <xf numFmtId="165" fontId="5" fillId="2" borderId="9" xfId="1" applyNumberFormat="1" applyFont="1" applyFill="1" applyBorder="1" applyAlignment="1">
      <alignment horizontal="center" vertical="center"/>
    </xf>
    <xf numFmtId="165" fontId="6" fillId="2" borderId="9" xfId="1" applyNumberFormat="1" applyFont="1" applyFill="1" applyBorder="1" applyAlignment="1">
      <alignment horizontal="center" vertical="center"/>
    </xf>
    <xf numFmtId="165" fontId="5" fillId="2" borderId="10" xfId="1" applyNumberFormat="1" applyFont="1" applyFill="1" applyBorder="1" applyAlignment="1">
      <alignment horizontal="center" vertical="center"/>
    </xf>
    <xf numFmtId="165" fontId="5" fillId="2" borderId="11" xfId="1" applyNumberFormat="1" applyFont="1" applyFill="1" applyBorder="1" applyAlignment="1">
      <alignment horizontal="center" vertical="center"/>
    </xf>
    <xf numFmtId="165" fontId="5" fillId="3" borderId="13" xfId="1" applyNumberFormat="1" applyFont="1" applyFill="1" applyBorder="1" applyAlignment="1">
      <alignment horizontal="center" vertical="center"/>
    </xf>
    <xf numFmtId="165" fontId="5" fillId="3" borderId="14" xfId="1" applyNumberFormat="1" applyFont="1" applyFill="1" applyBorder="1" applyAlignment="1">
      <alignment horizontal="center" vertical="center"/>
    </xf>
    <xf numFmtId="165" fontId="5" fillId="3" borderId="12" xfId="1" applyNumberFormat="1" applyFont="1" applyFill="1" applyBorder="1" applyAlignment="1">
      <alignment horizontal="center" vertical="center"/>
    </xf>
    <xf numFmtId="165" fontId="6" fillId="3" borderId="14" xfId="1" applyNumberFormat="1" applyFont="1" applyFill="1" applyBorder="1" applyAlignment="1">
      <alignment horizontal="center" vertical="center"/>
    </xf>
    <xf numFmtId="167" fontId="8" fillId="0" borderId="0" xfId="1" applyNumberFormat="1" applyAlignment="1">
      <alignment vertical="center"/>
    </xf>
    <xf numFmtId="0" fontId="15" fillId="0" borderId="17" xfId="1" applyFont="1" applyBorder="1" applyAlignment="1">
      <alignment horizontal="center"/>
    </xf>
    <xf numFmtId="0" fontId="15" fillId="0" borderId="18" xfId="1" applyFont="1" applyBorder="1" applyAlignment="1">
      <alignment horizontal="center"/>
    </xf>
    <xf numFmtId="0" fontId="15" fillId="0" borderId="19" xfId="1" applyFont="1" applyBorder="1" applyAlignment="1">
      <alignment horizontal="center"/>
    </xf>
    <xf numFmtId="0" fontId="2" fillId="0" borderId="20" xfId="1" applyFont="1" applyBorder="1" applyAlignment="1">
      <alignment horizontal="center" vertical="center" wrapText="1"/>
    </xf>
    <xf numFmtId="0" fontId="2" fillId="0" borderId="21" xfId="1" applyFont="1" applyBorder="1" applyAlignment="1">
      <alignment horizontal="center" vertical="center" wrapText="1"/>
    </xf>
    <xf numFmtId="0" fontId="2" fillId="0" borderId="16" xfId="1" applyFont="1" applyBorder="1" applyAlignment="1">
      <alignment horizontal="center" vertical="center" wrapText="1"/>
    </xf>
    <xf numFmtId="0" fontId="2" fillId="0" borderId="7" xfId="1" applyFont="1" applyBorder="1" applyAlignment="1">
      <alignment horizontal="center" vertical="center" wrapText="1"/>
    </xf>
    <xf numFmtId="0" fontId="2" fillId="0" borderId="22" xfId="1" applyFont="1" applyBorder="1" applyAlignment="1">
      <alignment horizontal="center" vertical="center" wrapText="1"/>
    </xf>
    <xf numFmtId="0" fontId="2" fillId="0" borderId="23" xfId="1" applyFont="1" applyBorder="1" applyAlignment="1">
      <alignment horizontal="center" vertical="center" wrapText="1"/>
    </xf>
    <xf numFmtId="0" fontId="13" fillId="0" borderId="17" xfId="1" applyFont="1" applyBorder="1" applyAlignment="1">
      <alignment horizontal="left" vertical="center" wrapText="1" indent="1"/>
    </xf>
    <xf numFmtId="0" fontId="9" fillId="0" borderId="18" xfId="1" applyFont="1" applyBorder="1" applyAlignment="1">
      <alignment horizontal="left" vertical="center" wrapText="1" indent="1"/>
    </xf>
    <xf numFmtId="0" fontId="9" fillId="0" borderId="19" xfId="1" applyFont="1" applyBorder="1" applyAlignment="1">
      <alignment horizontal="left" vertical="center" wrapText="1" indent="1"/>
    </xf>
    <xf numFmtId="0" fontId="14" fillId="0" borderId="21" xfId="1" applyFont="1" applyBorder="1" applyAlignment="1">
      <alignment horizontal="center"/>
    </xf>
    <xf numFmtId="0" fontId="2" fillId="0" borderId="8" xfId="1" applyFont="1" applyBorder="1" applyAlignment="1">
      <alignment horizontal="center" vertical="center" wrapText="1"/>
    </xf>
    <xf numFmtId="0" fontId="2" fillId="0" borderId="0" xfId="1" applyFont="1" applyAlignment="1">
      <alignment horizontal="center" vertical="center" wrapText="1"/>
    </xf>
    <xf numFmtId="0" fontId="2" fillId="0" borderId="1" xfId="1" applyFont="1" applyBorder="1" applyAlignment="1">
      <alignment horizontal="center" vertical="center" wrapText="1"/>
    </xf>
    <xf numFmtId="0" fontId="16" fillId="0" borderId="17" xfId="1" applyFont="1" applyBorder="1" applyAlignment="1">
      <alignment horizontal="center"/>
    </xf>
    <xf numFmtId="0" fontId="17" fillId="0" borderId="18" xfId="0" applyFont="1" applyBorder="1" applyAlignment="1">
      <alignment horizontal="center"/>
    </xf>
    <xf numFmtId="0" fontId="17" fillId="0" borderId="19" xfId="0" applyFont="1" applyBorder="1" applyAlignment="1">
      <alignment horizontal="center"/>
    </xf>
    <xf numFmtId="0" fontId="7" fillId="0" borderId="21" xfId="1" applyFont="1" applyBorder="1" applyAlignment="1">
      <alignment horizontal="center" vertical="center" wrapText="1"/>
    </xf>
    <xf numFmtId="0" fontId="7" fillId="0" borderId="16" xfId="1" applyFont="1" applyBorder="1" applyAlignment="1">
      <alignment horizontal="center" vertical="center" wrapText="1"/>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2" fillId="0" borderId="13" xfId="1" applyFont="1" applyBorder="1" applyAlignment="1">
      <alignment horizontal="center" vertical="center"/>
    </xf>
    <xf numFmtId="0" fontId="3" fillId="0" borderId="14" xfId="1" applyFont="1" applyBorder="1" applyAlignment="1">
      <alignment horizontal="center" vertical="center"/>
    </xf>
    <xf numFmtId="0" fontId="5" fillId="0" borderId="17" xfId="1" applyFont="1" applyBorder="1" applyAlignment="1">
      <alignment horizontal="left" vertical="center" wrapText="1" indent="1"/>
    </xf>
    <xf numFmtId="0" fontId="5" fillId="0" borderId="18" xfId="1" applyFont="1" applyBorder="1" applyAlignment="1">
      <alignment horizontal="left" vertical="center" wrapText="1" indent="1"/>
    </xf>
    <xf numFmtId="0" fontId="5" fillId="0" borderId="19" xfId="1" applyFont="1" applyBorder="1" applyAlignment="1">
      <alignment horizontal="left" vertical="center" wrapText="1" indent="1"/>
    </xf>
  </cellXfs>
  <cellStyles count="2">
    <cellStyle name="Normal" xfId="0" builtinId="0"/>
    <cellStyle name="Normal 2" xfId="1" xr:uid="{8DD7261C-48DB-4B1B-888D-50AE183F68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5EE1A-CA90-49CE-A336-4E45ECCFF10E}">
  <dimension ref="A1:I44"/>
  <sheetViews>
    <sheetView tabSelected="1" zoomScale="160" zoomScaleNormal="160" workbookViewId="0">
      <selection activeCell="B1" sqref="B1:F1"/>
    </sheetView>
  </sheetViews>
  <sheetFormatPr defaultColWidth="8.85546875" defaultRowHeight="12.6"/>
  <cols>
    <col min="1" max="1" width="2.85546875" style="1" customWidth="1"/>
    <col min="2" max="2" width="32.28515625" style="1" customWidth="1"/>
    <col min="3" max="3" width="17.42578125" style="1" customWidth="1"/>
    <col min="4" max="4" width="16.85546875" style="1" customWidth="1"/>
    <col min="5" max="5" width="16.140625" style="1" customWidth="1"/>
    <col min="6" max="6" width="15.85546875" style="1" customWidth="1"/>
    <col min="7" max="7" width="13.42578125" style="1" customWidth="1"/>
    <col min="8" max="8" width="15.7109375" style="1" customWidth="1"/>
    <col min="9" max="9" width="20.28515625" style="1" customWidth="1"/>
    <col min="10" max="16384" width="8.85546875" style="1"/>
  </cols>
  <sheetData>
    <row r="1" spans="1:9" ht="14.45" thickBot="1">
      <c r="B1" s="77"/>
      <c r="C1" s="78"/>
      <c r="D1" s="78"/>
      <c r="E1" s="78"/>
      <c r="F1" s="79"/>
    </row>
    <row r="2" spans="1:9" ht="19.5" customHeight="1">
      <c r="B2" s="80" t="s">
        <v>0</v>
      </c>
      <c r="C2" s="81"/>
      <c r="D2" s="81"/>
      <c r="E2" s="81"/>
      <c r="F2" s="82"/>
    </row>
    <row r="3" spans="1:9" ht="17.100000000000001" customHeight="1">
      <c r="B3" s="90" t="s">
        <v>1</v>
      </c>
      <c r="C3" s="91"/>
      <c r="D3" s="91"/>
      <c r="E3" s="91"/>
      <c r="F3" s="92"/>
    </row>
    <row r="4" spans="1:9" ht="27.95" customHeight="1" thickBot="1">
      <c r="B4" s="83" t="s">
        <v>2</v>
      </c>
      <c r="C4" s="84"/>
      <c r="D4" s="84"/>
      <c r="E4" s="84"/>
      <c r="F4" s="85"/>
    </row>
    <row r="5" spans="1:9" ht="14.25" customHeight="1" thickBot="1">
      <c r="A5" s="4"/>
      <c r="B5" s="44"/>
      <c r="C5" s="44" t="s">
        <v>3</v>
      </c>
      <c r="D5" s="44" t="s">
        <v>4</v>
      </c>
      <c r="E5" s="44" t="s">
        <v>5</v>
      </c>
      <c r="F5" s="44" t="s">
        <v>6</v>
      </c>
      <c r="H5" s="53"/>
    </row>
    <row r="6" spans="1:9" ht="54.95" customHeight="1" thickBot="1">
      <c r="B6" s="45" t="s">
        <v>7</v>
      </c>
      <c r="C6" s="46" t="s">
        <v>8</v>
      </c>
      <c r="D6" s="46" t="s">
        <v>9</v>
      </c>
      <c r="E6" s="47" t="s">
        <v>10</v>
      </c>
      <c r="F6" s="46" t="s">
        <v>11</v>
      </c>
    </row>
    <row r="7" spans="1:9" s="2" customFormat="1" ht="17.100000000000001" customHeight="1">
      <c r="B7" s="9" t="s">
        <v>12</v>
      </c>
      <c r="C7" s="31">
        <v>19860355</v>
      </c>
      <c r="D7" s="39">
        <v>17871146</v>
      </c>
      <c r="E7" s="34">
        <f t="shared" ref="E7:E39" si="0">D7-C7</f>
        <v>-1989209</v>
      </c>
      <c r="F7" s="61">
        <f t="shared" ref="F7:F39" si="1">E7/C7</f>
        <v>-0.10015979069860534</v>
      </c>
      <c r="H7" s="19"/>
      <c r="I7" s="29"/>
    </row>
    <row r="8" spans="1:9" s="2" customFormat="1" ht="17.100000000000001" customHeight="1">
      <c r="B8" s="10" t="s">
        <v>13</v>
      </c>
      <c r="C8" s="32">
        <f>ROUND(C7*0.6,0)</f>
        <v>11916213</v>
      </c>
      <c r="D8" s="32">
        <f>ROUND(D7*0.6,0)</f>
        <v>10722688</v>
      </c>
      <c r="E8" s="37">
        <f t="shared" si="0"/>
        <v>-1193525</v>
      </c>
      <c r="F8" s="62">
        <f t="shared" si="1"/>
        <v>-0.10015975713089385</v>
      </c>
      <c r="H8" s="19"/>
      <c r="I8" s="19"/>
    </row>
    <row r="9" spans="1:9" s="2" customFormat="1" ht="17.100000000000001" customHeight="1">
      <c r="B9" s="11" t="s">
        <v>14</v>
      </c>
      <c r="C9" s="31">
        <f>ROUND(C8*0.9,0)</f>
        <v>10724592</v>
      </c>
      <c r="D9" s="31">
        <f>ROUND(D8*0.9,0)</f>
        <v>9650419</v>
      </c>
      <c r="E9" s="36">
        <f t="shared" si="0"/>
        <v>-1074173</v>
      </c>
      <c r="F9" s="63">
        <f t="shared" si="1"/>
        <v>-0.10015980095093595</v>
      </c>
      <c r="H9" s="19"/>
      <c r="I9" s="19"/>
    </row>
    <row r="10" spans="1:9" s="2" customFormat="1" ht="17.100000000000001" customHeight="1">
      <c r="B10" s="11" t="s">
        <v>15</v>
      </c>
      <c r="C10" s="31">
        <f>C8-C9</f>
        <v>1191621</v>
      </c>
      <c r="D10" s="31">
        <f>D8-D9</f>
        <v>1072269</v>
      </c>
      <c r="E10" s="36">
        <f t="shared" si="0"/>
        <v>-119352</v>
      </c>
      <c r="F10" s="63">
        <f t="shared" si="1"/>
        <v>-0.1001593627504047</v>
      </c>
      <c r="I10" s="19"/>
    </row>
    <row r="11" spans="1:9" s="2" customFormat="1" ht="17.100000000000001" customHeight="1">
      <c r="B11" s="10" t="s">
        <v>16</v>
      </c>
      <c r="C11" s="31">
        <f>ROUND(C7*0.25,0)</f>
        <v>4965089</v>
      </c>
      <c r="D11" s="31">
        <f>ROUND(D7*0.25,0)</f>
        <v>4467787</v>
      </c>
      <c r="E11" s="35">
        <f t="shared" si="0"/>
        <v>-497302</v>
      </c>
      <c r="F11" s="64">
        <f t="shared" si="1"/>
        <v>-0.10015973530383845</v>
      </c>
      <c r="I11" s="19"/>
    </row>
    <row r="12" spans="1:9" s="2" customFormat="1" ht="17.100000000000001" customHeight="1" thickBot="1">
      <c r="B12" s="12" t="s">
        <v>17</v>
      </c>
      <c r="C12" s="33">
        <f>ROUND(C7*0.15,0)</f>
        <v>2979053</v>
      </c>
      <c r="D12" s="33">
        <f>ROUND(D7*0.15,0)</f>
        <v>2680672</v>
      </c>
      <c r="E12" s="38">
        <f t="shared" si="0"/>
        <v>-298381</v>
      </c>
      <c r="F12" s="65">
        <f t="shared" si="1"/>
        <v>-0.10015968161694337</v>
      </c>
      <c r="H12" s="19"/>
      <c r="I12" s="19"/>
    </row>
    <row r="13" spans="1:9" s="2" customFormat="1" ht="17.100000000000001" customHeight="1">
      <c r="B13" s="9" t="s">
        <v>18</v>
      </c>
      <c r="C13" s="39">
        <v>16243206</v>
      </c>
      <c r="D13" s="39">
        <v>14619763</v>
      </c>
      <c r="E13" s="35">
        <f t="shared" si="0"/>
        <v>-1623443</v>
      </c>
      <c r="F13" s="64">
        <f t="shared" si="1"/>
        <v>-9.9945971257152072E-2</v>
      </c>
      <c r="I13" s="51"/>
    </row>
    <row r="14" spans="1:9" s="2" customFormat="1" ht="17.100000000000001" customHeight="1">
      <c r="B14" s="10" t="s">
        <v>19</v>
      </c>
      <c r="C14" s="32">
        <f>ROUND(C13*0.85, 0)</f>
        <v>13806725</v>
      </c>
      <c r="D14" s="32">
        <f>ROUND(D13*0.85, 0)</f>
        <v>12426799</v>
      </c>
      <c r="E14" s="37">
        <f t="shared" si="0"/>
        <v>-1379926</v>
      </c>
      <c r="F14" s="62">
        <f t="shared" si="1"/>
        <v>-9.9945932145385677E-2</v>
      </c>
      <c r="H14" s="19"/>
      <c r="I14" s="19"/>
    </row>
    <row r="15" spans="1:9" s="2" customFormat="1" ht="17.100000000000001" customHeight="1">
      <c r="B15" s="11" t="s">
        <v>14</v>
      </c>
      <c r="C15" s="31">
        <f>ROUND(C14*0.9,0)</f>
        <v>12426053</v>
      </c>
      <c r="D15" s="31">
        <f>ROUND(D14*0.9,0)</f>
        <v>11184119</v>
      </c>
      <c r="E15" s="36">
        <f t="shared" si="0"/>
        <v>-1241934</v>
      </c>
      <c r="F15" s="63">
        <f t="shared" si="1"/>
        <v>-9.9945976409403697E-2</v>
      </c>
      <c r="G15" s="27"/>
      <c r="H15" s="19"/>
      <c r="I15" s="19"/>
    </row>
    <row r="16" spans="1:9" s="2" customFormat="1" ht="17.100000000000001" customHeight="1">
      <c r="B16" s="11" t="s">
        <v>15</v>
      </c>
      <c r="C16" s="31">
        <f>C14-C15</f>
        <v>1380672</v>
      </c>
      <c r="D16" s="31">
        <f>D14-D15</f>
        <v>1242680</v>
      </c>
      <c r="E16" s="36">
        <f t="shared" si="0"/>
        <v>-137992</v>
      </c>
      <c r="F16" s="63">
        <f t="shared" si="1"/>
        <v>-9.9945533769063177E-2</v>
      </c>
      <c r="I16" s="19"/>
    </row>
    <row r="17" spans="2:9" s="2" customFormat="1" ht="17.100000000000001" customHeight="1" thickBot="1">
      <c r="B17" s="12" t="s">
        <v>20</v>
      </c>
      <c r="C17" s="40">
        <f>ROUND(C13*0.15,0)</f>
        <v>2436481</v>
      </c>
      <c r="D17" s="40">
        <f>ROUND(D13*0.15,0)</f>
        <v>2192964</v>
      </c>
      <c r="E17" s="48">
        <f t="shared" si="0"/>
        <v>-243517</v>
      </c>
      <c r="F17" s="66">
        <f t="shared" si="1"/>
        <v>-9.9946192890484273E-2</v>
      </c>
      <c r="I17" s="51"/>
    </row>
    <row r="18" spans="2:9" s="2" customFormat="1" ht="17.100000000000001" customHeight="1">
      <c r="B18" s="9" t="s">
        <v>21</v>
      </c>
      <c r="C18" s="39">
        <v>18926398</v>
      </c>
      <c r="D18" s="54">
        <v>16905672</v>
      </c>
      <c r="E18" s="34">
        <f t="shared" si="0"/>
        <v>-2020726</v>
      </c>
      <c r="F18" s="61">
        <f t="shared" si="1"/>
        <v>-0.10676759518636351</v>
      </c>
      <c r="I18" s="19"/>
    </row>
    <row r="19" spans="2:9" s="2" customFormat="1" ht="17.100000000000001" customHeight="1">
      <c r="B19" s="10" t="s">
        <v>19</v>
      </c>
      <c r="C19" s="32">
        <f>ROUND(C18*0.85,0)</f>
        <v>16087438</v>
      </c>
      <c r="D19" s="32">
        <f>ROUND(D18*0.85,0)</f>
        <v>14369821</v>
      </c>
      <c r="E19" s="37">
        <f t="shared" si="0"/>
        <v>-1717617</v>
      </c>
      <c r="F19" s="62">
        <f t="shared" si="1"/>
        <v>-0.10676759096134512</v>
      </c>
      <c r="H19" s="19"/>
      <c r="I19" s="19"/>
    </row>
    <row r="20" spans="2:9" s="2" customFormat="1" ht="17.100000000000001" customHeight="1">
      <c r="B20" s="11" t="s">
        <v>14</v>
      </c>
      <c r="C20" s="31">
        <f>ROUND(C19*0.9,0)</f>
        <v>14478694</v>
      </c>
      <c r="D20" s="31">
        <f>ROUND(D19*0.9,0)</f>
        <v>12932839</v>
      </c>
      <c r="E20" s="36">
        <f t="shared" si="0"/>
        <v>-1545855</v>
      </c>
      <c r="F20" s="63">
        <f t="shared" si="1"/>
        <v>-0.10676757171606777</v>
      </c>
      <c r="H20" s="19"/>
    </row>
    <row r="21" spans="2:9" s="2" customFormat="1" ht="17.100000000000001" customHeight="1">
      <c r="B21" s="11" t="s">
        <v>15</v>
      </c>
      <c r="C21" s="31">
        <f>C19-C20</f>
        <v>1608744</v>
      </c>
      <c r="D21" s="31">
        <f>D19-D20</f>
        <v>1436982</v>
      </c>
      <c r="E21" s="36">
        <f t="shared" si="0"/>
        <v>-171762</v>
      </c>
      <c r="F21" s="63">
        <f t="shared" si="1"/>
        <v>-0.10676776416881742</v>
      </c>
      <c r="H21" s="76"/>
    </row>
    <row r="22" spans="2:9" s="2" customFormat="1" ht="17.100000000000001" customHeight="1" thickBot="1">
      <c r="B22" s="12" t="s">
        <v>20</v>
      </c>
      <c r="C22" s="41">
        <f>ROUND(C18*0.15,0)</f>
        <v>2838960</v>
      </c>
      <c r="D22" s="41">
        <f>ROUND(D18*0.15,0)</f>
        <v>2535851</v>
      </c>
      <c r="E22" s="38">
        <f t="shared" si="0"/>
        <v>-303109</v>
      </c>
      <c r="F22" s="65">
        <f t="shared" si="1"/>
        <v>-0.10676761912813143</v>
      </c>
    </row>
    <row r="23" spans="2:9" s="2" customFormat="1" ht="17.100000000000001" customHeight="1">
      <c r="B23" s="9" t="s">
        <v>22</v>
      </c>
      <c r="C23" s="42">
        <f t="shared" ref="C23:D26" si="2">C7+C13+C18</f>
        <v>55029959</v>
      </c>
      <c r="D23" s="42">
        <f t="shared" si="2"/>
        <v>49396581</v>
      </c>
      <c r="E23" s="34">
        <f t="shared" si="0"/>
        <v>-5633378</v>
      </c>
      <c r="F23" s="61">
        <f t="shared" si="1"/>
        <v>-0.10236929306089435</v>
      </c>
    </row>
    <row r="24" spans="2:9" s="2" customFormat="1" ht="17.100000000000001" customHeight="1">
      <c r="B24" s="10" t="s">
        <v>23</v>
      </c>
      <c r="C24" s="32">
        <f t="shared" si="2"/>
        <v>41810376</v>
      </c>
      <c r="D24" s="32">
        <f t="shared" si="2"/>
        <v>37519308</v>
      </c>
      <c r="E24" s="37">
        <f t="shared" si="0"/>
        <v>-4291068</v>
      </c>
      <c r="F24" s="62">
        <f t="shared" si="1"/>
        <v>-0.10263165296576142</v>
      </c>
      <c r="H24" s="19"/>
    </row>
    <row r="25" spans="2:9" s="2" customFormat="1" ht="17.100000000000001" customHeight="1">
      <c r="B25" s="11" t="s">
        <v>24</v>
      </c>
      <c r="C25" s="31">
        <f t="shared" si="2"/>
        <v>37629339</v>
      </c>
      <c r="D25" s="31">
        <f t="shared" si="2"/>
        <v>33767377</v>
      </c>
      <c r="E25" s="36">
        <f t="shared" si="0"/>
        <v>-3861962</v>
      </c>
      <c r="F25" s="63">
        <f t="shared" si="1"/>
        <v>-0.10263167258930592</v>
      </c>
      <c r="H25" s="19"/>
    </row>
    <row r="26" spans="2:9" s="2" customFormat="1" ht="17.100000000000001" customHeight="1">
      <c r="B26" s="11" t="s">
        <v>15</v>
      </c>
      <c r="C26" s="31">
        <f t="shared" si="2"/>
        <v>4181037</v>
      </c>
      <c r="D26" s="31">
        <f t="shared" si="2"/>
        <v>3751931</v>
      </c>
      <c r="E26" s="36">
        <f t="shared" si="0"/>
        <v>-429106</v>
      </c>
      <c r="F26" s="63">
        <f t="shared" si="1"/>
        <v>-0.1026314763538328</v>
      </c>
      <c r="H26" s="19"/>
    </row>
    <row r="27" spans="2:9" s="2" customFormat="1" ht="17.100000000000001" customHeight="1">
      <c r="B27" s="10" t="s">
        <v>25</v>
      </c>
      <c r="C27" s="31">
        <f>C11</f>
        <v>4965089</v>
      </c>
      <c r="D27" s="31">
        <f>D11</f>
        <v>4467787</v>
      </c>
      <c r="E27" s="36">
        <f t="shared" si="0"/>
        <v>-497302</v>
      </c>
      <c r="F27" s="63">
        <f t="shared" si="1"/>
        <v>-0.10015973530383845</v>
      </c>
    </row>
    <row r="28" spans="2:9" s="2" customFormat="1" ht="17.100000000000001" customHeight="1">
      <c r="B28" s="49" t="s">
        <v>26</v>
      </c>
      <c r="C28" s="41">
        <f>+C12+C17+C22</f>
        <v>8254494</v>
      </c>
      <c r="D28" s="41">
        <f>+D12+D17+D22</f>
        <v>7409487</v>
      </c>
      <c r="E28" s="50">
        <f t="shared" si="0"/>
        <v>-845007</v>
      </c>
      <c r="F28" s="67">
        <f t="shared" si="1"/>
        <v>-0.10236932754448667</v>
      </c>
      <c r="H28" s="19"/>
    </row>
    <row r="29" spans="2:9" s="2" customFormat="1" ht="17.100000000000001" customHeight="1">
      <c r="B29" s="11" t="s">
        <v>27</v>
      </c>
      <c r="C29" s="31">
        <f>C28-C30</f>
        <v>5502996.0499999998</v>
      </c>
      <c r="D29" s="31">
        <f>D28-D30</f>
        <v>4939657.9499999993</v>
      </c>
      <c r="E29" s="50">
        <f t="shared" si="0"/>
        <v>-563338.10000000056</v>
      </c>
      <c r="F29" s="67">
        <f t="shared" si="1"/>
        <v>-0.10236934478628248</v>
      </c>
    </row>
    <row r="30" spans="2:9" s="2" customFormat="1" ht="17.100000000000001" customHeight="1" thickBot="1">
      <c r="B30" s="11" t="s">
        <v>28</v>
      </c>
      <c r="C30" s="33">
        <f>(C7*0.05)+(C13*0.05)+(C18*0.05)</f>
        <v>2751497.95</v>
      </c>
      <c r="D30" s="33">
        <f>(D7*0.05)+(D13*0.05)+(D18*0.05)</f>
        <v>2469829.0500000003</v>
      </c>
      <c r="E30" s="50">
        <f t="shared" si="0"/>
        <v>-281668.89999999991</v>
      </c>
      <c r="F30" s="67">
        <f t="shared" si="1"/>
        <v>-0.1023692930608943</v>
      </c>
    </row>
    <row r="31" spans="2:9" s="2" customFormat="1" ht="17.100000000000001" customHeight="1">
      <c r="B31" s="9" t="s">
        <v>29</v>
      </c>
      <c r="C31" s="34">
        <v>14419020</v>
      </c>
      <c r="D31" s="34">
        <v>14256605</v>
      </c>
      <c r="E31" s="34">
        <f t="shared" si="0"/>
        <v>-162415</v>
      </c>
      <c r="F31" s="61">
        <f t="shared" si="1"/>
        <v>-1.1263941654842007E-2</v>
      </c>
      <c r="I31" s="28"/>
    </row>
    <row r="32" spans="2:9" s="2" customFormat="1" ht="17.100000000000001" customHeight="1">
      <c r="B32" s="11" t="s">
        <v>30</v>
      </c>
      <c r="C32" s="43">
        <f>C35+C38</f>
        <v>11275673</v>
      </c>
      <c r="D32" s="43">
        <f>D35+D38</f>
        <v>11148665</v>
      </c>
      <c r="E32" s="37">
        <f t="shared" si="0"/>
        <v>-127008</v>
      </c>
      <c r="F32" s="62">
        <f t="shared" si="1"/>
        <v>-1.1263895290329898E-2</v>
      </c>
    </row>
    <row r="33" spans="2:6" s="2" customFormat="1" ht="17.100000000000001" customHeight="1">
      <c r="B33" s="11" t="s">
        <v>31</v>
      </c>
      <c r="C33" s="35">
        <f>C36+C39</f>
        <v>3143347</v>
      </c>
      <c r="D33" s="35">
        <f>D36+D39</f>
        <v>3107940</v>
      </c>
      <c r="E33" s="36">
        <f t="shared" si="0"/>
        <v>-35407</v>
      </c>
      <c r="F33" s="63">
        <f t="shared" si="1"/>
        <v>-1.1264107971534801E-2</v>
      </c>
    </row>
    <row r="34" spans="2:6" s="2" customFormat="1" ht="17.100000000000001" customHeight="1">
      <c r="B34" s="13" t="s">
        <v>32</v>
      </c>
      <c r="C34" s="36">
        <f>ROUND(C31*0.9,0)</f>
        <v>12977118</v>
      </c>
      <c r="D34" s="36">
        <f>ROUND(D31*0.9,0)</f>
        <v>12830945</v>
      </c>
      <c r="E34" s="36">
        <f t="shared" si="0"/>
        <v>-146173</v>
      </c>
      <c r="F34" s="63">
        <f t="shared" si="1"/>
        <v>-1.1263903125485952E-2</v>
      </c>
    </row>
    <row r="35" spans="2:6" s="2" customFormat="1" ht="17.100000000000001" customHeight="1">
      <c r="B35" s="11" t="s">
        <v>33</v>
      </c>
      <c r="C35" s="37">
        <f>ROUND(C34*0.8,0)</f>
        <v>10381694</v>
      </c>
      <c r="D35" s="37">
        <f>ROUND(D34*0.8,0)</f>
        <v>10264756</v>
      </c>
      <c r="E35" s="37">
        <f t="shared" si="0"/>
        <v>-116938</v>
      </c>
      <c r="F35" s="62">
        <f t="shared" si="1"/>
        <v>-1.1263865030119362E-2</v>
      </c>
    </row>
    <row r="36" spans="2:6" s="2" customFormat="1" ht="17.100000000000001" customHeight="1">
      <c r="B36" s="11" t="s">
        <v>34</v>
      </c>
      <c r="C36" s="36">
        <f>C34-C35</f>
        <v>2595424</v>
      </c>
      <c r="D36" s="36">
        <f>D34-D35</f>
        <v>2566189</v>
      </c>
      <c r="E36" s="36">
        <f t="shared" si="0"/>
        <v>-29235</v>
      </c>
      <c r="F36" s="63">
        <f t="shared" si="1"/>
        <v>-1.1264055506922954E-2</v>
      </c>
    </row>
    <row r="37" spans="2:6" s="2" customFormat="1" ht="17.100000000000001" customHeight="1">
      <c r="B37" s="13" t="s">
        <v>35</v>
      </c>
      <c r="C37" s="36">
        <f>C31-C34</f>
        <v>1441902</v>
      </c>
      <c r="D37" s="36">
        <f>D31-D34</f>
        <v>1425660</v>
      </c>
      <c r="E37" s="36">
        <f t="shared" si="0"/>
        <v>-16242</v>
      </c>
      <c r="F37" s="63">
        <f t="shared" si="1"/>
        <v>-1.126428841904651E-2</v>
      </c>
    </row>
    <row r="38" spans="2:6" s="2" customFormat="1" ht="17.100000000000001" customHeight="1">
      <c r="B38" s="11" t="s">
        <v>36</v>
      </c>
      <c r="C38" s="37">
        <f>ROUND(C37*0.62,0)</f>
        <v>893979</v>
      </c>
      <c r="D38" s="37">
        <f>ROUND(D37*0.62,0)</f>
        <v>883909</v>
      </c>
      <c r="E38" s="37">
        <f t="shared" si="0"/>
        <v>-10070</v>
      </c>
      <c r="F38" s="62">
        <f t="shared" si="1"/>
        <v>-1.1264246699307255E-2</v>
      </c>
    </row>
    <row r="39" spans="2:6" s="2" customFormat="1" ht="18" customHeight="1" thickBot="1">
      <c r="B39" s="14" t="s">
        <v>37</v>
      </c>
      <c r="C39" s="38">
        <f>C37-C38</f>
        <v>547923</v>
      </c>
      <c r="D39" s="38">
        <f>D37-D38</f>
        <v>541751</v>
      </c>
      <c r="E39" s="38">
        <f t="shared" si="0"/>
        <v>-6172</v>
      </c>
      <c r="F39" s="65">
        <f t="shared" si="1"/>
        <v>-1.1264356488046677E-2</v>
      </c>
    </row>
    <row r="40" spans="2:6" ht="128.1" customHeight="1" thickBot="1">
      <c r="B40" s="86" t="s">
        <v>38</v>
      </c>
      <c r="C40" s="87"/>
      <c r="D40" s="87"/>
      <c r="E40" s="87"/>
      <c r="F40" s="88"/>
    </row>
    <row r="41" spans="2:6" ht="14.1" customHeight="1">
      <c r="B41" s="24" t="s">
        <v>39</v>
      </c>
      <c r="C41" s="89"/>
      <c r="D41" s="89"/>
      <c r="E41" s="25" t="s">
        <v>40</v>
      </c>
      <c r="F41" s="26">
        <v>45797</v>
      </c>
    </row>
    <row r="44" spans="2:6">
      <c r="C44" s="1" t="s">
        <v>41</v>
      </c>
    </row>
  </sheetData>
  <mergeCells count="6">
    <mergeCell ref="B1:F1"/>
    <mergeCell ref="B2:F2"/>
    <mergeCell ref="B4:F4"/>
    <mergeCell ref="B40:F40"/>
    <mergeCell ref="C41:D41"/>
    <mergeCell ref="B3:F3"/>
  </mergeCells>
  <printOptions horizontalCentered="1"/>
  <pageMargins left="0.45" right="0.45" top="0.25" bottom="0.25" header="0.05" footer="0.05"/>
  <pageSetup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BC878-1CDA-4B71-816A-FC9B40F20330}">
  <dimension ref="A1:H43"/>
  <sheetViews>
    <sheetView topLeftCell="B1" zoomScale="160" zoomScaleNormal="160" workbookViewId="0">
      <selection activeCell="B5" sqref="B5:B6"/>
    </sheetView>
  </sheetViews>
  <sheetFormatPr defaultColWidth="8.85546875" defaultRowHeight="12.6"/>
  <cols>
    <col min="1" max="1" width="2.5703125" style="1" customWidth="1"/>
    <col min="2" max="2" width="35.85546875" style="1" customWidth="1"/>
    <col min="3" max="3" width="15.7109375" style="1" customWidth="1"/>
    <col min="4" max="4" width="18.5703125" style="1" customWidth="1"/>
    <col min="5" max="5" width="19.140625" style="1" customWidth="1"/>
    <col min="6" max="6" width="11" style="1" bestFit="1" customWidth="1"/>
    <col min="7" max="7" width="14.42578125" style="1" customWidth="1"/>
    <col min="8" max="16384" width="8.85546875" style="1"/>
  </cols>
  <sheetData>
    <row r="1" spans="1:8" ht="13.5" thickBot="1">
      <c r="B1" s="93"/>
      <c r="C1" s="94"/>
      <c r="D1" s="94"/>
      <c r="E1" s="95"/>
    </row>
    <row r="2" spans="1:8" ht="20.100000000000001" customHeight="1">
      <c r="B2" s="80" t="s">
        <v>42</v>
      </c>
      <c r="C2" s="96"/>
      <c r="D2" s="96"/>
      <c r="E2" s="97"/>
      <c r="G2" s="2"/>
    </row>
    <row r="3" spans="1:8" s="3" customFormat="1" ht="29.45" customHeight="1" thickBot="1">
      <c r="B3" s="83" t="s">
        <v>43</v>
      </c>
      <c r="C3" s="98"/>
      <c r="D3" s="98"/>
      <c r="E3" s="99"/>
      <c r="F3" s="18"/>
    </row>
    <row r="4" spans="1:8" ht="13.5" customHeight="1" thickBot="1">
      <c r="A4" s="4"/>
      <c r="B4" s="5"/>
      <c r="C4" s="5" t="s">
        <v>3</v>
      </c>
      <c r="D4" s="5" t="s">
        <v>4</v>
      </c>
      <c r="E4" s="5" t="s">
        <v>5</v>
      </c>
    </row>
    <row r="5" spans="1:8" ht="64.900000000000006" customHeight="1" thickBot="1">
      <c r="B5" s="100" t="s">
        <v>7</v>
      </c>
      <c r="C5" s="46" t="s">
        <v>44</v>
      </c>
      <c r="D5" s="6" t="s">
        <v>45</v>
      </c>
      <c r="E5" s="6" t="s">
        <v>46</v>
      </c>
    </row>
    <row r="6" spans="1:8" ht="1.1499999999999999" hidden="1" customHeight="1" thickBot="1">
      <c r="B6" s="101"/>
      <c r="C6" s="31">
        <v>20790363</v>
      </c>
      <c r="D6" s="7"/>
      <c r="E6" s="8"/>
    </row>
    <row r="7" spans="1:8" s="2" customFormat="1" ht="17.100000000000001" customHeight="1">
      <c r="B7" s="9" t="s">
        <v>12</v>
      </c>
      <c r="C7" s="39">
        <v>17871146</v>
      </c>
      <c r="D7" s="55">
        <v>3814593</v>
      </c>
      <c r="E7" s="68">
        <f t="shared" ref="E7:E17" si="0">C7-D7</f>
        <v>14056553</v>
      </c>
      <c r="G7" s="52"/>
      <c r="H7" s="27"/>
    </row>
    <row r="8" spans="1:8" s="2" customFormat="1" ht="17.100000000000001" customHeight="1">
      <c r="B8" s="10" t="s">
        <v>13</v>
      </c>
      <c r="C8" s="32">
        <f>ROUND(C7*0.6,0)</f>
        <v>10722688</v>
      </c>
      <c r="D8" s="56">
        <f>ROUND(D7*0.6, 0)</f>
        <v>2288756</v>
      </c>
      <c r="E8" s="69">
        <f t="shared" si="0"/>
        <v>8433932</v>
      </c>
      <c r="G8" s="19"/>
    </row>
    <row r="9" spans="1:8" s="2" customFormat="1" ht="17.100000000000001" customHeight="1">
      <c r="B9" s="11" t="s">
        <v>14</v>
      </c>
      <c r="C9" s="31">
        <f>ROUND(C8*0.9,0)</f>
        <v>9650419</v>
      </c>
      <c r="D9" s="55">
        <f>ROUND(D8*0.9,0)</f>
        <v>2059880</v>
      </c>
      <c r="E9" s="68">
        <f t="shared" si="0"/>
        <v>7590539</v>
      </c>
      <c r="G9" s="19"/>
    </row>
    <row r="10" spans="1:8" s="2" customFormat="1" ht="17.100000000000001" customHeight="1">
      <c r="B10" s="11" t="s">
        <v>47</v>
      </c>
      <c r="C10" s="31">
        <f>C8-C9</f>
        <v>1072269</v>
      </c>
      <c r="D10" s="55">
        <f>D8-D9</f>
        <v>228876</v>
      </c>
      <c r="E10" s="68">
        <f t="shared" si="0"/>
        <v>843393</v>
      </c>
      <c r="G10" s="19"/>
    </row>
    <row r="11" spans="1:8" s="2" customFormat="1" ht="17.100000000000001" customHeight="1">
      <c r="B11" s="10" t="s">
        <v>16</v>
      </c>
      <c r="C11" s="31">
        <f>ROUND(C7*0.25,0)</f>
        <v>4467787</v>
      </c>
      <c r="D11" s="55">
        <f>ROUND(D7*0.25,0)</f>
        <v>953648</v>
      </c>
      <c r="E11" s="68">
        <f t="shared" si="0"/>
        <v>3514139</v>
      </c>
      <c r="G11" s="19"/>
    </row>
    <row r="12" spans="1:8" s="2" customFormat="1" ht="17.100000000000001" customHeight="1" thickBot="1">
      <c r="B12" s="12" t="s">
        <v>17</v>
      </c>
      <c r="C12" s="33">
        <f>ROUND(C7*0.15,0)</f>
        <v>2680672</v>
      </c>
      <c r="D12" s="57">
        <f>D7-(D8+D11)</f>
        <v>572189</v>
      </c>
      <c r="E12" s="70">
        <f t="shared" si="0"/>
        <v>2108483</v>
      </c>
      <c r="G12" s="19"/>
    </row>
    <row r="13" spans="1:8" s="2" customFormat="1" ht="17.100000000000001" customHeight="1">
      <c r="B13" s="9" t="s">
        <v>18</v>
      </c>
      <c r="C13" s="39">
        <v>14619763</v>
      </c>
      <c r="D13" s="58">
        <v>2845219</v>
      </c>
      <c r="E13" s="71">
        <f t="shared" si="0"/>
        <v>11774544</v>
      </c>
      <c r="G13" s="19"/>
      <c r="H13" s="27"/>
    </row>
    <row r="14" spans="1:8" s="2" customFormat="1" ht="17.100000000000001" customHeight="1">
      <c r="B14" s="10" t="s">
        <v>19</v>
      </c>
      <c r="C14" s="32">
        <f>ROUND(C13*0.85, 0)</f>
        <v>12426799</v>
      </c>
      <c r="D14" s="56">
        <f>ROUND(D13*0.85,0)</f>
        <v>2418436</v>
      </c>
      <c r="E14" s="69">
        <f t="shared" si="0"/>
        <v>10008363</v>
      </c>
      <c r="F14" s="19"/>
      <c r="G14" s="19"/>
    </row>
    <row r="15" spans="1:8" s="2" customFormat="1" ht="17.100000000000001" customHeight="1">
      <c r="B15" s="11" t="s">
        <v>14</v>
      </c>
      <c r="C15" s="31">
        <f>ROUND(C14*0.9,0)</f>
        <v>11184119</v>
      </c>
      <c r="D15" s="55">
        <f>ROUND(D14*0.9,0)</f>
        <v>2176592</v>
      </c>
      <c r="E15" s="68">
        <f t="shared" si="0"/>
        <v>9007527</v>
      </c>
      <c r="G15" s="19"/>
    </row>
    <row r="16" spans="1:8" s="2" customFormat="1" ht="17.100000000000001" customHeight="1">
      <c r="B16" s="11" t="s">
        <v>47</v>
      </c>
      <c r="C16" s="31">
        <f>C14-C15</f>
        <v>1242680</v>
      </c>
      <c r="D16" s="55">
        <f>D14-D15</f>
        <v>241844</v>
      </c>
      <c r="E16" s="68">
        <f t="shared" si="0"/>
        <v>1000836</v>
      </c>
      <c r="G16" s="19"/>
    </row>
    <row r="17" spans="2:8" s="2" customFormat="1" ht="17.100000000000001" customHeight="1" thickBot="1">
      <c r="B17" s="12" t="s">
        <v>20</v>
      </c>
      <c r="C17" s="40">
        <f>ROUND(C13*0.15,0)</f>
        <v>2192964</v>
      </c>
      <c r="D17" s="57">
        <f>ROUND(D13*0.15,0)</f>
        <v>426783</v>
      </c>
      <c r="E17" s="70">
        <f t="shared" si="0"/>
        <v>1766181</v>
      </c>
      <c r="G17" s="19"/>
    </row>
    <row r="18" spans="2:8" s="2" customFormat="1" ht="17.100000000000001" customHeight="1">
      <c r="B18" s="9" t="s">
        <v>21</v>
      </c>
      <c r="C18" s="42">
        <v>16905672</v>
      </c>
      <c r="D18" s="58">
        <v>16905672</v>
      </c>
      <c r="E18" s="72"/>
      <c r="H18" s="27"/>
    </row>
    <row r="19" spans="2:8" s="2" customFormat="1" ht="17.100000000000001" customHeight="1">
      <c r="B19" s="10" t="s">
        <v>19</v>
      </c>
      <c r="C19" s="32">
        <f>ROUND(C18*0.85,0)</f>
        <v>14369821</v>
      </c>
      <c r="D19" s="56">
        <v>14369821</v>
      </c>
      <c r="E19" s="73"/>
    </row>
    <row r="20" spans="2:8" s="2" customFormat="1" ht="17.100000000000001" customHeight="1">
      <c r="B20" s="11" t="s">
        <v>14</v>
      </c>
      <c r="C20" s="31">
        <f>ROUND(C19*0.9,0)</f>
        <v>12932839</v>
      </c>
      <c r="D20" s="55">
        <v>12932839</v>
      </c>
      <c r="E20" s="73"/>
    </row>
    <row r="21" spans="2:8" s="2" customFormat="1" ht="17.100000000000001" customHeight="1">
      <c r="B21" s="11" t="s">
        <v>47</v>
      </c>
      <c r="C21" s="31">
        <f>C19-C20</f>
        <v>1436982</v>
      </c>
      <c r="D21" s="55">
        <v>1436982</v>
      </c>
      <c r="E21" s="73"/>
    </row>
    <row r="22" spans="2:8" s="2" customFormat="1" ht="17.100000000000001" customHeight="1" thickBot="1">
      <c r="B22" s="12" t="s">
        <v>20</v>
      </c>
      <c r="C22" s="41">
        <f>ROUND(C18*0.15,0)</f>
        <v>2535851</v>
      </c>
      <c r="D22" s="59">
        <v>2535851</v>
      </c>
      <c r="E22" s="74"/>
    </row>
    <row r="23" spans="2:8" s="2" customFormat="1" ht="17.100000000000001" customHeight="1">
      <c r="B23" s="9" t="s">
        <v>22</v>
      </c>
      <c r="C23" s="42">
        <f>C7+C13+C18</f>
        <v>49396581</v>
      </c>
      <c r="D23" s="60">
        <f t="shared" ref="D23:D26" si="1">D7+D13+D18</f>
        <v>23565484</v>
      </c>
      <c r="E23" s="71">
        <f>C23-D23</f>
        <v>25831097</v>
      </c>
      <c r="G23" s="19"/>
    </row>
    <row r="24" spans="2:8" s="2" customFormat="1" ht="17.100000000000001" customHeight="1">
      <c r="B24" s="10" t="s">
        <v>23</v>
      </c>
      <c r="C24" s="32">
        <f>C8+C14+C19</f>
        <v>37519308</v>
      </c>
      <c r="D24" s="56">
        <f t="shared" si="1"/>
        <v>19077013</v>
      </c>
      <c r="E24" s="69">
        <f t="shared" ref="E24:E30" si="2">C24-D24</f>
        <v>18442295</v>
      </c>
      <c r="G24" s="19"/>
    </row>
    <row r="25" spans="2:8" s="2" customFormat="1" ht="17.100000000000001" customHeight="1">
      <c r="B25" s="11" t="s">
        <v>14</v>
      </c>
      <c r="C25" s="31">
        <f>C9+C15+C20</f>
        <v>33767377</v>
      </c>
      <c r="D25" s="55">
        <f t="shared" si="1"/>
        <v>17169311</v>
      </c>
      <c r="E25" s="68">
        <f t="shared" si="2"/>
        <v>16598066</v>
      </c>
    </row>
    <row r="26" spans="2:8" s="2" customFormat="1" ht="17.100000000000001" customHeight="1">
      <c r="B26" s="11" t="s">
        <v>47</v>
      </c>
      <c r="C26" s="31">
        <f>C10+C16+C21</f>
        <v>3751931</v>
      </c>
      <c r="D26" s="55">
        <f t="shared" si="1"/>
        <v>1907702</v>
      </c>
      <c r="E26" s="68">
        <f t="shared" si="2"/>
        <v>1844229</v>
      </c>
    </row>
    <row r="27" spans="2:8" s="2" customFormat="1" ht="17.100000000000001" customHeight="1">
      <c r="B27" s="10" t="s">
        <v>25</v>
      </c>
      <c r="C27" s="31">
        <f>C11</f>
        <v>4467787</v>
      </c>
      <c r="D27" s="55">
        <f>D11</f>
        <v>953648</v>
      </c>
      <c r="E27" s="68">
        <f t="shared" si="2"/>
        <v>3514139</v>
      </c>
    </row>
    <row r="28" spans="2:8" s="2" customFormat="1" ht="17.100000000000001" customHeight="1">
      <c r="B28" s="20" t="s">
        <v>26</v>
      </c>
      <c r="C28" s="41">
        <f>+C12+C17+C22</f>
        <v>7409487</v>
      </c>
      <c r="D28" s="59">
        <f>+D12+D17+D22</f>
        <v>3534823</v>
      </c>
      <c r="E28" s="68">
        <f t="shared" si="2"/>
        <v>3874664</v>
      </c>
      <c r="F28" s="23"/>
    </row>
    <row r="29" spans="2:8" s="2" customFormat="1" ht="17.100000000000001" customHeight="1">
      <c r="B29" s="21" t="s">
        <v>48</v>
      </c>
      <c r="C29" s="31">
        <f>C28-C30</f>
        <v>4939657.9499999993</v>
      </c>
      <c r="D29" s="55">
        <f>D28-D30</f>
        <v>2356548.7999999998</v>
      </c>
      <c r="E29" s="68">
        <f t="shared" si="2"/>
        <v>2583109.1499999994</v>
      </c>
      <c r="F29" s="23"/>
    </row>
    <row r="30" spans="2:8" s="2" customFormat="1" ht="17.100000000000001" customHeight="1" thickBot="1">
      <c r="B30" s="22" t="s">
        <v>28</v>
      </c>
      <c r="C30" s="33">
        <f>(C7*0.05)+(C13*0.05)+(C18*0.05)</f>
        <v>2469829.0500000003</v>
      </c>
      <c r="D30" s="57">
        <f>(D7*0.05)+(D13*0.05)+(D18*0.05)</f>
        <v>1178274.2000000002</v>
      </c>
      <c r="E30" s="70">
        <f t="shared" si="2"/>
        <v>1291554.8500000001</v>
      </c>
      <c r="F30" s="23"/>
    </row>
    <row r="31" spans="2:8" s="2" customFormat="1" ht="17.100000000000001" customHeight="1">
      <c r="B31" s="9" t="s">
        <v>29</v>
      </c>
      <c r="C31" s="34">
        <v>14256605</v>
      </c>
      <c r="D31" s="34">
        <v>14256605</v>
      </c>
      <c r="E31" s="72"/>
    </row>
    <row r="32" spans="2:8" s="2" customFormat="1" ht="17.100000000000001" customHeight="1">
      <c r="B32" s="11" t="s">
        <v>30</v>
      </c>
      <c r="C32" s="43">
        <f>C35+C38</f>
        <v>11148665</v>
      </c>
      <c r="D32" s="43">
        <f>D35+D38</f>
        <v>11148665</v>
      </c>
      <c r="E32" s="75"/>
    </row>
    <row r="33" spans="2:8" s="2" customFormat="1" ht="17.100000000000001" customHeight="1">
      <c r="B33" s="11" t="s">
        <v>31</v>
      </c>
      <c r="C33" s="35">
        <f>C36+C39</f>
        <v>3107940</v>
      </c>
      <c r="D33" s="35">
        <f>D36+D39</f>
        <v>3107940</v>
      </c>
      <c r="E33" s="73"/>
    </row>
    <row r="34" spans="2:8" s="2" customFormat="1" ht="17.100000000000001" customHeight="1">
      <c r="B34" s="13" t="s">
        <v>32</v>
      </c>
      <c r="C34" s="36">
        <f>ROUND(C31*0.9,0)</f>
        <v>12830945</v>
      </c>
      <c r="D34" s="36">
        <f>ROUND(D31*0.9,0)</f>
        <v>12830945</v>
      </c>
      <c r="E34" s="73"/>
    </row>
    <row r="35" spans="2:8" s="2" customFormat="1" ht="17.100000000000001" customHeight="1">
      <c r="B35" s="11" t="s">
        <v>33</v>
      </c>
      <c r="C35" s="37">
        <f>ROUND(C34*0.8,0)</f>
        <v>10264756</v>
      </c>
      <c r="D35" s="37">
        <f>ROUND(D34*0.8,0)</f>
        <v>10264756</v>
      </c>
      <c r="E35" s="73"/>
    </row>
    <row r="36" spans="2:8" s="2" customFormat="1" ht="17.100000000000001" customHeight="1">
      <c r="B36" s="11" t="s">
        <v>34</v>
      </c>
      <c r="C36" s="36">
        <f>C34-C35</f>
        <v>2566189</v>
      </c>
      <c r="D36" s="36">
        <f>D34-D35</f>
        <v>2566189</v>
      </c>
      <c r="E36" s="73"/>
    </row>
    <row r="37" spans="2:8" s="2" customFormat="1" ht="17.100000000000001" customHeight="1">
      <c r="B37" s="13" t="s">
        <v>35</v>
      </c>
      <c r="C37" s="36">
        <f>C31-C34</f>
        <v>1425660</v>
      </c>
      <c r="D37" s="36">
        <f>D31-D34</f>
        <v>1425660</v>
      </c>
      <c r="E37" s="73"/>
    </row>
    <row r="38" spans="2:8" s="2" customFormat="1" ht="17.100000000000001" customHeight="1">
      <c r="B38" s="11" t="s">
        <v>36</v>
      </c>
      <c r="C38" s="37">
        <f>ROUND(C37*0.62,0)</f>
        <v>883909</v>
      </c>
      <c r="D38" s="37">
        <f>ROUND(D37*0.62,0)</f>
        <v>883909</v>
      </c>
      <c r="E38" s="73"/>
    </row>
    <row r="39" spans="2:8" s="2" customFormat="1" ht="17.100000000000001" customHeight="1" thickBot="1">
      <c r="B39" s="14" t="s">
        <v>37</v>
      </c>
      <c r="C39" s="38">
        <f>C37-C38</f>
        <v>541751</v>
      </c>
      <c r="D39" s="38">
        <f>D37-D38</f>
        <v>541751</v>
      </c>
      <c r="E39" s="74"/>
    </row>
    <row r="40" spans="2:8" ht="87.95" customHeight="1" thickBot="1">
      <c r="B40" s="102" t="s">
        <v>49</v>
      </c>
      <c r="C40" s="103"/>
      <c r="D40" s="103"/>
      <c r="E40" s="104"/>
      <c r="H40" s="30"/>
    </row>
    <row r="41" spans="2:8" ht="5.25" hidden="1" customHeight="1">
      <c r="B41" s="15"/>
      <c r="C41" s="16"/>
      <c r="D41" s="16"/>
      <c r="E41" s="8"/>
    </row>
    <row r="42" spans="2:8" ht="13.5" customHeight="1">
      <c r="B42" s="24" t="s">
        <v>39</v>
      </c>
      <c r="C42" s="17" t="s">
        <v>41</v>
      </c>
      <c r="D42" s="25" t="s">
        <v>40</v>
      </c>
      <c r="E42" s="26" t="s">
        <v>50</v>
      </c>
    </row>
    <row r="43" spans="2:8" ht="25.5" customHeight="1"/>
  </sheetData>
  <mergeCells count="5">
    <mergeCell ref="B1:E1"/>
    <mergeCell ref="B2:E2"/>
    <mergeCell ref="B3:E3"/>
    <mergeCell ref="B5:B6"/>
    <mergeCell ref="B40:E40"/>
  </mergeCells>
  <printOptions horizontalCentered="1"/>
  <pageMargins left="0.25" right="0.25" top="0.27" bottom="0.3" header="0.12" footer="0.13"/>
  <pageSetup scale="9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D32159C95269649829869F39D3D78A7" ma:contentTypeVersion="19" ma:contentTypeDescription="Create a new document." ma:contentTypeScope="" ma:versionID="1a2d33048aced3fc96af3c7c7b89deea">
  <xsd:schema xmlns:xsd="http://www.w3.org/2001/XMLSchema" xmlns:xs="http://www.w3.org/2001/XMLSchema" xmlns:p="http://schemas.microsoft.com/office/2006/metadata/properties" xmlns:ns1="http://schemas.microsoft.com/sharepoint/v3" xmlns:ns2="69eef59b-4fb6-4551-80fa-880d5adf8c10" xmlns:ns3="704fe8ed-9af7-42bb-ab2d-7383d487533c" targetNamespace="http://schemas.microsoft.com/office/2006/metadata/properties" ma:root="true" ma:fieldsID="fa495fdc121c5706b94e864a694dff84" ns1:_="" ns2:_="" ns3:_="">
    <xsd:import namespace="http://schemas.microsoft.com/sharepoint/v3"/>
    <xsd:import namespace="69eef59b-4fb6-4551-80fa-880d5adf8c10"/>
    <xsd:import namespace="704fe8ed-9af7-42bb-ab2d-7383d487533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1:_ip_UnifiedCompliancePolicyProperties" minOccurs="0"/>
                <xsd:element ref="ns1:_ip_UnifiedCompliancePolicyUIAction" minOccurs="0"/>
                <xsd:element ref="ns3:MediaLengthInSeconds" minOccurs="0"/>
                <xsd:element ref="ns3:Processed"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04fe8ed-9af7-42bb-ab2d-7383d487533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Processed" ma:index="20" nillable="true" ma:displayName="Processed" ma:default="1" ma:format="Dropdown" ma:internalName="Processed">
      <xsd:simpleType>
        <xsd:restriction base="dms:Boolea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69eef59b-4fb6-4551-80fa-880d5adf8c10" xsi:nil="true"/>
    <Processed xmlns="704fe8ed-9af7-42bb-ab2d-7383d487533c">true</Processed>
    <lcf76f155ced4ddcb4097134ff3c332f xmlns="704fe8ed-9af7-42bb-ab2d-7383d487533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72FD32C-D71C-40C6-879E-50959855FBE2}"/>
</file>

<file path=customXml/itemProps2.xml><?xml version="1.0" encoding="utf-8"?>
<ds:datastoreItem xmlns:ds="http://schemas.openxmlformats.org/officeDocument/2006/customXml" ds:itemID="{E2EE24A8-1D40-4CA6-BBF9-76CA793181C6}"/>
</file>

<file path=customXml/itemProps3.xml><?xml version="1.0" encoding="utf-8"?>
<ds:datastoreItem xmlns:ds="http://schemas.openxmlformats.org/officeDocument/2006/customXml" ds:itemID="{8CC33DF2-F8DC-4615-BC4F-53D3CC421FDB}"/>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Home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Gene White</dc:creator>
  <cp:keywords/>
  <dc:description/>
  <cp:lastModifiedBy>Seifried, Leslie (DCS)</cp:lastModifiedBy>
  <cp:revision/>
  <dcterms:created xsi:type="dcterms:W3CDTF">2004-03-25T11:45:49Z</dcterms:created>
  <dcterms:modified xsi:type="dcterms:W3CDTF">2025-07-08T11:17:56Z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0x010100AD32159C95269649829869F39D3D78A7</vt:lpwstr>
  </property>
  <property fmtid="{D5CDD505-2E9C-101B-9397-08002B2CF9AE}" pid="3" name="MediaServiceImageTags">
    <vt:lpwstr/>
  </property>
</Properties>
</file>