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elizabeth_m_goguen_mass_gov/Documents/HomeDrive/Beth-Personnel/Shelter Pilots/Supplemental Budget Proposals/"/>
    </mc:Choice>
  </mc:AlternateContent>
  <xr:revisionPtr revIDLastSave="2" documentId="8_{BB3894CC-C5DE-4B98-8433-1F7B9630C8B5}" xr6:coauthVersionLast="47" xr6:coauthVersionMax="47" xr10:uidLastSave="{3708BD2E-891D-4738-846C-4659A8DE513B}"/>
  <bookViews>
    <workbookView xWindow="-110" yWindow="-110" windowWidth="19420" windowHeight="10420" xr2:uid="{00000000-000D-0000-FFFF-FFFF00000000}"/>
  </bookViews>
  <sheets>
    <sheet name="Field" sheetId="1" r:id="rId1"/>
  </sheets>
  <definedNames>
    <definedName name="_xlnm.Print_Area" localSheetId="0">Field!$A$1:$O$30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P13" i="1"/>
  <c r="P15" i="1" l="1"/>
  <c r="P14" i="1" l="1"/>
  <c r="O9" i="1"/>
  <c r="P12" i="1"/>
  <c r="P21" i="1"/>
  <c r="O17" i="1" l="1"/>
  <c r="O7" i="1"/>
  <c r="O19" i="1"/>
  <c r="O11" i="1"/>
  <c r="O20" i="1"/>
  <c r="O18" i="1"/>
  <c r="O16" i="1"/>
  <c r="O10" i="1"/>
  <c r="O8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4" i="1" l="1"/>
  <c r="K23" i="1" l="1"/>
  <c r="K4" i="1"/>
  <c r="L21" i="1" l="1"/>
  <c r="M21" i="1" s="1"/>
  <c r="L13" i="1"/>
  <c r="M13" i="1" s="1"/>
  <c r="L10" i="1"/>
  <c r="M10" i="1" s="1"/>
  <c r="L11" i="1"/>
  <c r="M11" i="1" s="1"/>
  <c r="L9" i="1"/>
  <c r="M9" i="1" s="1"/>
  <c r="L20" i="1"/>
  <c r="M20" i="1" s="1"/>
  <c r="L12" i="1"/>
  <c r="M12" i="1" s="1"/>
  <c r="L19" i="1"/>
  <c r="M19" i="1" s="1"/>
  <c r="L18" i="1"/>
  <c r="M18" i="1" s="1"/>
  <c r="L17" i="1"/>
  <c r="M17" i="1" s="1"/>
  <c r="L14" i="1"/>
  <c r="M14" i="1" s="1"/>
  <c r="L16" i="1"/>
  <c r="M16" i="1" s="1"/>
  <c r="L8" i="1"/>
  <c r="M8" i="1" s="1"/>
  <c r="L15" i="1"/>
  <c r="M15" i="1" s="1"/>
  <c r="L7" i="1"/>
  <c r="M7" i="1" s="1"/>
  <c r="L22" i="1"/>
  <c r="M22" i="1" s="1"/>
  <c r="H4" i="1"/>
  <c r="B23" i="1"/>
  <c r="C21" i="1" s="1"/>
  <c r="E23" i="1"/>
  <c r="F22" i="1" s="1"/>
  <c r="H23" i="1"/>
  <c r="I18" i="1" s="1"/>
  <c r="J18" i="1" s="1"/>
  <c r="B4" i="1"/>
  <c r="M23" i="1" l="1"/>
  <c r="L23" i="1"/>
  <c r="C16" i="1"/>
  <c r="D16" i="1" s="1"/>
  <c r="C17" i="1"/>
  <c r="D17" i="1" s="1"/>
  <c r="C15" i="1"/>
  <c r="D15" i="1" s="1"/>
  <c r="C7" i="1"/>
  <c r="D7" i="1" s="1"/>
  <c r="C11" i="1"/>
  <c r="D11" i="1" s="1"/>
  <c r="C8" i="1"/>
  <c r="D8" i="1" s="1"/>
  <c r="C18" i="1"/>
  <c r="D18" i="1" s="1"/>
  <c r="C20" i="1"/>
  <c r="D20" i="1" s="1"/>
  <c r="I12" i="1"/>
  <c r="J12" i="1" s="1"/>
  <c r="I22" i="1"/>
  <c r="J22" i="1" s="1"/>
  <c r="F8" i="1"/>
  <c r="G8" i="1" s="1"/>
  <c r="F13" i="1"/>
  <c r="G13" i="1" s="1"/>
  <c r="F9" i="1"/>
  <c r="G9" i="1" s="1"/>
  <c r="F19" i="1"/>
  <c r="G19" i="1" s="1"/>
  <c r="F12" i="1"/>
  <c r="G12" i="1" s="1"/>
  <c r="F14" i="1"/>
  <c r="G14" i="1" s="1"/>
  <c r="F11" i="1"/>
  <c r="G11" i="1" s="1"/>
  <c r="F21" i="1"/>
  <c r="G21" i="1" s="1"/>
  <c r="F18" i="1"/>
  <c r="G18" i="1" s="1"/>
  <c r="F10" i="1"/>
  <c r="G10" i="1" s="1"/>
  <c r="F7" i="1"/>
  <c r="G7" i="1" s="1"/>
  <c r="C10" i="1"/>
  <c r="D10" i="1" s="1"/>
  <c r="C9" i="1"/>
  <c r="D9" i="1" s="1"/>
  <c r="C14" i="1"/>
  <c r="D14" i="1" s="1"/>
  <c r="C19" i="1"/>
  <c r="D19" i="1" s="1"/>
  <c r="C22" i="1"/>
  <c r="D22" i="1" s="1"/>
  <c r="C12" i="1"/>
  <c r="D12" i="1" s="1"/>
  <c r="C13" i="1"/>
  <c r="D13" i="1" s="1"/>
  <c r="G22" i="1"/>
  <c r="F20" i="1"/>
  <c r="G20" i="1" s="1"/>
  <c r="F17" i="1"/>
  <c r="G17" i="1" s="1"/>
  <c r="I13" i="1"/>
  <c r="J13" i="1" s="1"/>
  <c r="F15" i="1"/>
  <c r="G15" i="1" s="1"/>
  <c r="F16" i="1"/>
  <c r="I15" i="1"/>
  <c r="J15" i="1" s="1"/>
  <c r="I14" i="1"/>
  <c r="J14" i="1" s="1"/>
  <c r="I21" i="1"/>
  <c r="J21" i="1" s="1"/>
  <c r="I9" i="1"/>
  <c r="J9" i="1" s="1"/>
  <c r="I8" i="1"/>
  <c r="J8" i="1" s="1"/>
  <c r="I16" i="1"/>
  <c r="J16" i="1" s="1"/>
  <c r="I20" i="1"/>
  <c r="J20" i="1" s="1"/>
  <c r="I11" i="1"/>
  <c r="J11" i="1" s="1"/>
  <c r="I17" i="1"/>
  <c r="J17" i="1" s="1"/>
  <c r="I10" i="1"/>
  <c r="J10" i="1" s="1"/>
  <c r="I7" i="1"/>
  <c r="I19" i="1"/>
  <c r="J19" i="1" s="1"/>
  <c r="D21" i="1"/>
  <c r="N10" i="1" l="1"/>
  <c r="N14" i="1"/>
  <c r="N11" i="1"/>
  <c r="N13" i="1"/>
  <c r="N21" i="1"/>
  <c r="N8" i="1"/>
  <c r="N12" i="1"/>
  <c r="N15" i="1"/>
  <c r="N17" i="1"/>
  <c r="N22" i="1"/>
  <c r="N19" i="1"/>
  <c r="N9" i="1"/>
  <c r="N20" i="1"/>
  <c r="N18" i="1"/>
  <c r="C23" i="1"/>
  <c r="F23" i="1"/>
  <c r="G16" i="1"/>
  <c r="G23" i="1" s="1"/>
  <c r="I23" i="1"/>
  <c r="J7" i="1"/>
  <c r="J23" i="1" s="1"/>
  <c r="D23" i="1"/>
  <c r="N7" i="1" l="1"/>
  <c r="N16" i="1"/>
  <c r="P23" i="1"/>
  <c r="O23" i="1"/>
  <c r="N23" i="1" l="1"/>
</calcChain>
</file>

<file path=xl/sharedStrings.xml><?xml version="1.0" encoding="utf-8"?>
<sst xmlns="http://schemas.openxmlformats.org/spreadsheetml/2006/main" count="48" uniqueCount="43">
  <si>
    <t>Part I:  MCC Capacity Funding for EA Shelter Work</t>
  </si>
  <si>
    <t>TOTAL</t>
  </si>
  <si>
    <t>40% based on working age adults in shelter</t>
  </si>
  <si>
    <t>30% based on Shelter Activity (resumes,assessments)</t>
  </si>
  <si>
    <t>20% based on job placements*</t>
  </si>
  <si>
    <t>10% based on work authorized individuals</t>
  </si>
  <si>
    <t>(Command Center data source as of September 1, 2024)</t>
  </si>
  <si>
    <t>(MOSES Data as of September 3, 2024 )</t>
  </si>
  <si>
    <t>(MOSES data source as of September 3, 2024)</t>
  </si>
  <si>
    <t>WIOA Area</t>
  </si>
  <si>
    <t>%</t>
  </si>
  <si>
    <t>$$</t>
  </si>
  <si>
    <t>TOTALS P/AREA</t>
  </si>
  <si>
    <t>Contracted</t>
  </si>
  <si>
    <t>Retained</t>
  </si>
  <si>
    <t>Berkshire</t>
  </si>
  <si>
    <t>Boston</t>
  </si>
  <si>
    <t>Bristol</t>
  </si>
  <si>
    <t>Brockton</t>
  </si>
  <si>
    <t>Cape and Islands</t>
  </si>
  <si>
    <t>Central MA</t>
  </si>
  <si>
    <t>Franklin-Hampshire</t>
  </si>
  <si>
    <t>Greater Lowell</t>
  </si>
  <si>
    <t>Greater New Bedford</t>
  </si>
  <si>
    <t>Hampden</t>
  </si>
  <si>
    <t>Merrimack Valley</t>
  </si>
  <si>
    <t>Metro North</t>
  </si>
  <si>
    <t>Metro SW</t>
  </si>
  <si>
    <t>No. Central</t>
  </si>
  <si>
    <t>North Shore</t>
  </si>
  <si>
    <t>South Shore</t>
  </si>
  <si>
    <t>Total</t>
  </si>
  <si>
    <t>As of November 18, 2024</t>
  </si>
  <si>
    <t xml:space="preserve">Program Name:    </t>
  </si>
  <si>
    <t>EA Shelter Supplemental Funding</t>
  </si>
  <si>
    <t xml:space="preserve">Service Dates:      </t>
  </si>
  <si>
    <t>October 1, 2024-December 31, 2025</t>
  </si>
  <si>
    <t xml:space="preserve">SSTA Code:             </t>
  </si>
  <si>
    <t>DCS_WKFO_COMP_EOL234</t>
  </si>
  <si>
    <t xml:space="preserve">Phase Code:          </t>
  </si>
  <si>
    <t>EDCS</t>
  </si>
  <si>
    <t xml:space="preserve">Appropriation:    </t>
  </si>
  <si>
    <t>WKFO107425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</si>
</sst>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22"/>
      <name val="Calibri"/>
      <family val="2"/>
    </font>
    <font>
      <sz val="20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sz val="22"/>
      <name val="Calibri"/>
      <family val="2"/>
      <scheme val="minor"/>
    </font>
    <font>
      <b/>
      <sz val="22"/>
      <color indexed="10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6"/>
      <name val="Calibri"/>
      <family val="2"/>
    </font>
    <font>
      <u/>
      <sz val="16"/>
      <color rgb="FF0078D4"/>
      <name val="Calibri"/>
      <family val="2"/>
    </font>
    <font>
      <b/>
      <sz val="36"/>
      <color indexed="8"/>
      <name val="Calibri"/>
      <family val="2"/>
      <scheme val="minor"/>
    </font>
    <font>
      <b/>
      <i/>
      <sz val="22"/>
      <color indexed="8"/>
      <name val="Calibri"/>
      <family val="2"/>
      <scheme val="minor"/>
    </font>
    <font>
      <i/>
      <sz val="22"/>
      <color indexed="8"/>
      <name val="Calibri"/>
      <family val="2"/>
      <scheme val="minor"/>
    </font>
    <font>
      <b/>
      <sz val="14"/>
      <color rgb="FF00800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3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8" fontId="13" fillId="0" borderId="0" xfId="0" applyNumberFormat="1" applyFont="1" applyAlignment="1">
      <alignment horizontal="center"/>
    </xf>
    <xf numFmtId="44" fontId="13" fillId="0" borderId="0" xfId="0" applyNumberFormat="1" applyFont="1" applyAlignment="1">
      <alignment horizontal="center"/>
    </xf>
    <xf numFmtId="44" fontId="11" fillId="0" borderId="0" xfId="0" applyNumberFormat="1" applyFont="1"/>
    <xf numFmtId="44" fontId="12" fillId="0" borderId="0" xfId="0" applyNumberFormat="1" applyFont="1"/>
    <xf numFmtId="0" fontId="13" fillId="0" borderId="0" xfId="0" applyFont="1"/>
    <xf numFmtId="44" fontId="13" fillId="0" borderId="0" xfId="0" applyNumberFormat="1" applyFont="1"/>
    <xf numFmtId="9" fontId="13" fillId="0" borderId="0" xfId="0" applyNumberFormat="1" applyFont="1"/>
    <xf numFmtId="44" fontId="12" fillId="0" borderId="0" xfId="1" applyFont="1" applyFill="1"/>
    <xf numFmtId="8" fontId="14" fillId="0" borderId="0" xfId="0" applyNumberFormat="1" applyFont="1"/>
    <xf numFmtId="0" fontId="14" fillId="0" borderId="0" xfId="0" applyFont="1"/>
    <xf numFmtId="8" fontId="15" fillId="0" borderId="0" xfId="0" applyNumberFormat="1" applyFont="1"/>
    <xf numFmtId="8" fontId="12" fillId="0" borderId="0" xfId="0" applyNumberFormat="1" applyFont="1"/>
    <xf numFmtId="164" fontId="14" fillId="0" borderId="0" xfId="0" applyNumberFormat="1" applyFont="1"/>
    <xf numFmtId="3" fontId="12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44" fontId="15" fillId="0" borderId="0" xfId="1" applyFont="1" applyFill="1"/>
    <xf numFmtId="0" fontId="14" fillId="0" borderId="0" xfId="0" applyFont="1" applyAlignment="1">
      <alignment horizontal="center"/>
    </xf>
    <xf numFmtId="0" fontId="6" fillId="0" borderId="0" xfId="0" applyFont="1"/>
    <xf numFmtId="0" fontId="14" fillId="3" borderId="0" xfId="0" applyFont="1" applyFill="1" applyAlignment="1">
      <alignment horizontal="center"/>
    </xf>
    <xf numFmtId="44" fontId="11" fillId="0" borderId="0" xfId="1" applyFont="1" applyFill="1"/>
    <xf numFmtId="8" fontId="11" fillId="0" borderId="0" xfId="0" applyNumberFormat="1" applyFont="1"/>
    <xf numFmtId="0" fontId="11" fillId="0" borderId="0" xfId="0" applyFont="1" applyAlignment="1">
      <alignment horizontal="center"/>
    </xf>
    <xf numFmtId="0" fontId="10" fillId="4" borderId="0" xfId="0" applyFont="1" applyFill="1" applyAlignment="1">
      <alignment horizontal="left"/>
    </xf>
    <xf numFmtId="0" fontId="11" fillId="4" borderId="0" xfId="0" applyFont="1" applyFill="1"/>
    <xf numFmtId="44" fontId="10" fillId="4" borderId="0" xfId="0" applyNumberFormat="1" applyFont="1" applyFill="1" applyAlignment="1">
      <alignment horizontal="left"/>
    </xf>
    <xf numFmtId="44" fontId="11" fillId="4" borderId="0" xfId="0" applyNumberFormat="1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0" fontId="12" fillId="0" borderId="1" xfId="0" applyFont="1" applyBorder="1"/>
    <xf numFmtId="44" fontId="11" fillId="0" borderId="1" xfId="0" applyNumberFormat="1" applyFont="1" applyBorder="1"/>
    <xf numFmtId="10" fontId="11" fillId="0" borderId="1" xfId="0" applyNumberFormat="1" applyFont="1" applyBorder="1"/>
    <xf numFmtId="44" fontId="12" fillId="0" borderId="1" xfId="1" applyFont="1" applyFill="1" applyBorder="1"/>
    <xf numFmtId="44" fontId="12" fillId="0" borderId="1" xfId="1" applyFont="1" applyBorder="1"/>
    <xf numFmtId="1" fontId="12" fillId="0" borderId="1" xfId="0" applyNumberFormat="1" applyFont="1" applyBorder="1"/>
    <xf numFmtId="44" fontId="4" fillId="0" borderId="1" xfId="1" applyFont="1" applyFill="1" applyBorder="1"/>
    <xf numFmtId="44" fontId="12" fillId="0" borderId="1" xfId="1" applyFont="1" applyFill="1" applyBorder="1" applyAlignment="1">
      <alignment vertical="center"/>
    </xf>
    <xf numFmtId="44" fontId="12" fillId="0" borderId="1" xfId="6" applyFont="1" applyFill="1" applyBorder="1"/>
    <xf numFmtId="0" fontId="13" fillId="0" borderId="1" xfId="0" applyFont="1" applyBorder="1"/>
    <xf numFmtId="9" fontId="13" fillId="0" borderId="1" xfId="0" applyNumberFormat="1" applyFont="1" applyBorder="1"/>
    <xf numFmtId="44" fontId="13" fillId="0" borderId="1" xfId="0" applyNumberFormat="1" applyFont="1" applyBorder="1"/>
    <xf numFmtId="44" fontId="15" fillId="0" borderId="1" xfId="1" applyFont="1" applyFill="1" applyBorder="1"/>
    <xf numFmtId="0" fontId="10" fillId="3" borderId="0" xfId="0" applyFont="1" applyFill="1" applyAlignment="1">
      <alignment horizontal="center" wrapText="1"/>
    </xf>
    <xf numFmtId="10" fontId="11" fillId="0" borderId="1" xfId="0" applyNumberFormat="1" applyFont="1" applyBorder="1" applyAlignment="1">
      <alignment horizontal="center"/>
    </xf>
    <xf numFmtId="0" fontId="11" fillId="5" borderId="1" xfId="0" applyFont="1" applyFill="1" applyBorder="1"/>
    <xf numFmtId="1" fontId="11" fillId="0" borderId="1" xfId="0" applyNumberFormat="1" applyFont="1" applyBorder="1"/>
    <xf numFmtId="44" fontId="14" fillId="0" borderId="0" xfId="1" quotePrefix="1" applyFont="1" applyFill="1" applyBorder="1" applyAlignment="1">
      <alignment horizontal="center" vertical="center"/>
    </xf>
    <xf numFmtId="44" fontId="14" fillId="0" borderId="0" xfId="1" applyFont="1" applyFill="1" applyBorder="1"/>
    <xf numFmtId="0" fontId="14" fillId="0" borderId="0" xfId="0" applyFont="1" applyAlignment="1">
      <alignment horizontal="center" vertical="center" wrapText="1"/>
    </xf>
    <xf numFmtId="0" fontId="5" fillId="0" borderId="0" xfId="0" applyFont="1"/>
    <xf numFmtId="44" fontId="14" fillId="0" borderId="0" xfId="1" applyFont="1" applyFill="1" applyBorder="1" applyAlignment="1">
      <alignment horizontal="center"/>
    </xf>
    <xf numFmtId="1" fontId="12" fillId="0" borderId="0" xfId="0" applyNumberFormat="1" applyFont="1"/>
    <xf numFmtId="0" fontId="4" fillId="0" borderId="0" xfId="0" applyFont="1"/>
    <xf numFmtId="0" fontId="18" fillId="0" borderId="0" xfId="0" applyFont="1"/>
    <xf numFmtId="0" fontId="12" fillId="2" borderId="2" xfId="0" applyFont="1" applyFill="1" applyBorder="1"/>
    <xf numFmtId="0" fontId="12" fillId="2" borderId="3" xfId="0" applyFont="1" applyFill="1" applyBorder="1"/>
    <xf numFmtId="0" fontId="12" fillId="2" borderId="4" xfId="0" applyFont="1" applyFill="1" applyBorder="1"/>
    <xf numFmtId="0" fontId="14" fillId="2" borderId="5" xfId="0" applyFont="1" applyFill="1" applyBorder="1"/>
    <xf numFmtId="0" fontId="12" fillId="2" borderId="6" xfId="0" applyFont="1" applyFill="1" applyBorder="1"/>
    <xf numFmtId="0" fontId="12" fillId="2" borderId="5" xfId="0" applyFont="1" applyFill="1" applyBorder="1"/>
    <xf numFmtId="0" fontId="12" fillId="2" borderId="5" xfId="0" applyFont="1" applyFill="1" applyBorder="1" applyAlignment="1">
      <alignment horizontal="left"/>
    </xf>
    <xf numFmtId="0" fontId="12" fillId="2" borderId="7" xfId="0" applyFont="1" applyFill="1" applyBorder="1"/>
    <xf numFmtId="0" fontId="12" fillId="2" borderId="8" xfId="0" applyFont="1" applyFill="1" applyBorder="1"/>
    <xf numFmtId="0" fontId="12" fillId="2" borderId="9" xfId="0" applyFont="1" applyFill="1" applyBorder="1"/>
    <xf numFmtId="0" fontId="19" fillId="4" borderId="0" xfId="0" applyFont="1" applyFill="1"/>
    <xf numFmtId="44" fontId="19" fillId="4" borderId="0" xfId="0" applyNumberFormat="1" applyFont="1" applyFill="1" applyAlignment="1">
      <alignment horizontal="left"/>
    </xf>
    <xf numFmtId="44" fontId="20" fillId="4" borderId="0" xfId="0" applyNumberFormat="1" applyFont="1" applyFill="1"/>
    <xf numFmtId="0" fontId="12" fillId="2" borderId="0" xfId="0" applyFont="1" applyFill="1"/>
    <xf numFmtId="9" fontId="12" fillId="2" borderId="6" xfId="9" applyFont="1" applyFill="1" applyBorder="1"/>
    <xf numFmtId="4" fontId="4" fillId="0" borderId="0" xfId="0" applyNumberFormat="1" applyFont="1"/>
    <xf numFmtId="4" fontId="12" fillId="0" borderId="0" xfId="0" applyNumberFormat="1" applyFont="1"/>
    <xf numFmtId="0" fontId="21" fillId="0" borderId="0" xfId="0" applyFont="1"/>
    <xf numFmtId="0" fontId="14" fillId="0" borderId="0" xfId="0" applyFont="1" applyFill="1" applyAlignment="1">
      <alignment wrapText="1"/>
    </xf>
    <xf numFmtId="0" fontId="14" fillId="6" borderId="0" xfId="0" applyFont="1" applyFill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9" fillId="4" borderId="0" xfId="0" applyFont="1" applyFill="1" applyAlignment="1">
      <alignment horizontal="left" wrapText="1"/>
    </xf>
    <xf numFmtId="0" fontId="16" fillId="0" borderId="0" xfId="0" applyFont="1" applyAlignment="1">
      <alignment horizontal="left" vertical="center" wrapText="1"/>
    </xf>
  </cellXfs>
  <cellStyles count="27">
    <cellStyle name="Currency" xfId="1" builtinId="4"/>
    <cellStyle name="Currency 2" xfId="2" xr:uid="{00000000-0005-0000-0000-000001000000}"/>
    <cellStyle name="Currency 2 2" xfId="15" xr:uid="{CA577C9C-C5B6-4BB2-AFAB-25110121A60B}"/>
    <cellStyle name="Currency 3" xfId="3" xr:uid="{00000000-0005-0000-0000-000002000000}"/>
    <cellStyle name="Currency 3 2" xfId="4" xr:uid="{00000000-0005-0000-0000-000003000000}"/>
    <cellStyle name="Currency 3 2 2" xfId="17" xr:uid="{764848E8-C39B-4746-90E6-4D11212B3DB2}"/>
    <cellStyle name="Currency 3 3" xfId="5" xr:uid="{00000000-0005-0000-0000-000004000000}"/>
    <cellStyle name="Currency 3 3 2" xfId="18" xr:uid="{D122562F-2F87-4468-9B50-E5C1DC611136}"/>
    <cellStyle name="Currency 3 4" xfId="16" xr:uid="{17FF40B0-9297-4FB9-88BE-CB882F9F1AAF}"/>
    <cellStyle name="Currency 4" xfId="6" xr:uid="{00000000-0005-0000-0000-000005000000}"/>
    <cellStyle name="Currency 4 2" xfId="19" xr:uid="{5B30C85E-6840-4747-930D-D6C7310E59E1}"/>
    <cellStyle name="Normal" xfId="0" builtinId="0"/>
    <cellStyle name="Normal 2" xfId="7" xr:uid="{00000000-0005-0000-0000-000007000000}"/>
    <cellStyle name="Normal 2 2" xfId="20" xr:uid="{DDEEC242-65AC-4A3E-9EF9-C8C4B4871BF1}"/>
    <cellStyle name="Normal 3" xfId="8" xr:uid="{00000000-0005-0000-0000-000008000000}"/>
    <cellStyle name="Normal 3 2" xfId="21" xr:uid="{C50E1FF5-A1E2-4637-9722-905A298CC5B0}"/>
    <cellStyle name="Percent" xfId="9" builtinId="5"/>
    <cellStyle name="Percent 2" xfId="10" xr:uid="{00000000-0005-0000-0000-00000A000000}"/>
    <cellStyle name="Percent 2 2" xfId="22" xr:uid="{358553DA-E3A5-417F-9653-3FBD0B2EC93F}"/>
    <cellStyle name="Percent 3" xfId="11" xr:uid="{00000000-0005-0000-0000-00000B000000}"/>
    <cellStyle name="Percent 3 2" xfId="12" xr:uid="{00000000-0005-0000-0000-00000C000000}"/>
    <cellStyle name="Percent 3 2 2" xfId="24" xr:uid="{2322923E-4F4F-4F2C-B3DA-EFBB1A9A1C72}"/>
    <cellStyle name="Percent 3 3" xfId="13" xr:uid="{00000000-0005-0000-0000-00000D000000}"/>
    <cellStyle name="Percent 3 3 2" xfId="25" xr:uid="{FABAA707-04DC-428C-95D7-A085381260CD}"/>
    <cellStyle name="Percent 3 4" xfId="23" xr:uid="{42A4C226-61C2-4AC6-BE6E-07C9319F2826}"/>
    <cellStyle name="Percent 4" xfId="14" xr:uid="{00000000-0005-0000-0000-00000E000000}"/>
    <cellStyle name="Percent 4 2" xfId="26" xr:uid="{8C1FC593-C58A-4049-8914-C33E4BED55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9"/>
  <sheetViews>
    <sheetView tabSelected="1" zoomScale="40" zoomScaleNormal="40" workbookViewId="0">
      <selection sqref="A1:N1048576"/>
    </sheetView>
  </sheetViews>
  <sheetFormatPr defaultColWidth="40.42578125" defaultRowHeight="28.5"/>
  <cols>
    <col min="1" max="1" width="40.42578125" style="3" customWidth="1"/>
    <col min="2" max="2" width="39.85546875" style="3" customWidth="1"/>
    <col min="3" max="3" width="40.85546875" style="3" customWidth="1"/>
    <col min="4" max="4" width="30.5703125" style="3" customWidth="1"/>
    <col min="5" max="6" width="28.5703125" style="3" customWidth="1"/>
    <col min="7" max="7" width="36.28515625" style="3" customWidth="1"/>
    <col min="8" max="8" width="28.42578125" style="3" customWidth="1"/>
    <col min="9" max="9" width="33.42578125" style="3" customWidth="1"/>
    <col min="10" max="12" width="29" style="3" customWidth="1"/>
    <col min="13" max="13" width="41.140625" style="3" customWidth="1"/>
    <col min="14" max="14" width="28.85546875" style="3" customWidth="1"/>
    <col min="15" max="15" width="30.42578125" style="3" customWidth="1"/>
    <col min="16" max="16" width="29.85546875" style="3" customWidth="1"/>
    <col min="17" max="16384" width="40.42578125" style="3"/>
  </cols>
  <sheetData>
    <row r="1" spans="1:19" ht="45.95">
      <c r="A1" s="58" t="s">
        <v>0</v>
      </c>
      <c r="B1" s="1"/>
      <c r="D1" s="25"/>
      <c r="E1" s="26"/>
      <c r="F1" s="7"/>
      <c r="G1" s="26"/>
      <c r="H1" s="27"/>
      <c r="I1" s="27"/>
      <c r="J1" s="27"/>
      <c r="K1" s="27"/>
      <c r="L1" s="27"/>
      <c r="M1" s="27"/>
      <c r="N1" s="2"/>
      <c r="O1" s="2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9">
      <c r="A3" s="4" t="s">
        <v>1</v>
      </c>
      <c r="B3" s="28" t="s">
        <v>2</v>
      </c>
      <c r="C3" s="28"/>
      <c r="D3" s="28"/>
      <c r="E3" s="28" t="s">
        <v>3</v>
      </c>
      <c r="F3" s="28"/>
      <c r="G3" s="28"/>
      <c r="H3" s="28" t="s">
        <v>4</v>
      </c>
      <c r="I3" s="29"/>
      <c r="J3" s="29"/>
      <c r="K3" s="28" t="s">
        <v>5</v>
      </c>
      <c r="L3" s="29"/>
      <c r="M3" s="29"/>
      <c r="N3" s="2"/>
    </row>
    <row r="4" spans="1:19">
      <c r="A4" s="5">
        <v>1400000</v>
      </c>
      <c r="B4" s="30">
        <f>A4*0.4</f>
        <v>560000</v>
      </c>
      <c r="C4" s="30"/>
      <c r="D4" s="28"/>
      <c r="E4" s="30">
        <f>A4*0.3</f>
        <v>420000</v>
      </c>
      <c r="F4" s="30"/>
      <c r="G4" s="30"/>
      <c r="H4" s="30">
        <f>A4*0.2</f>
        <v>280000</v>
      </c>
      <c r="I4" s="31"/>
      <c r="J4" s="31"/>
      <c r="K4" s="30">
        <f>A4*0.1</f>
        <v>140000</v>
      </c>
      <c r="L4" s="31"/>
      <c r="M4" s="31"/>
      <c r="N4" s="7"/>
      <c r="O4" s="77"/>
      <c r="P4" s="77"/>
    </row>
    <row r="5" spans="1:19" ht="25.5" customHeight="1">
      <c r="A5" s="6"/>
      <c r="B5" s="81" t="s">
        <v>6</v>
      </c>
      <c r="C5" s="81"/>
      <c r="D5" s="81"/>
      <c r="E5" s="69" t="s">
        <v>7</v>
      </c>
      <c r="F5" s="70"/>
      <c r="G5" s="70"/>
      <c r="H5" s="69" t="s">
        <v>8</v>
      </c>
      <c r="I5" s="71"/>
      <c r="J5" s="71"/>
      <c r="K5" s="69" t="s">
        <v>6</v>
      </c>
      <c r="L5" s="71"/>
      <c r="M5" s="71"/>
      <c r="N5" s="7"/>
      <c r="O5" s="77"/>
      <c r="P5" s="77"/>
    </row>
    <row r="6" spans="1:19" ht="57">
      <c r="A6" s="32" t="s">
        <v>9</v>
      </c>
      <c r="B6" s="32"/>
      <c r="C6" s="33" t="s">
        <v>10</v>
      </c>
      <c r="D6" s="33" t="s">
        <v>11</v>
      </c>
      <c r="E6" s="32"/>
      <c r="F6" s="33" t="s">
        <v>10</v>
      </c>
      <c r="G6" s="33" t="s">
        <v>11</v>
      </c>
      <c r="H6" s="32"/>
      <c r="I6" s="33" t="s">
        <v>10</v>
      </c>
      <c r="J6" s="33" t="s">
        <v>11</v>
      </c>
      <c r="K6" s="33"/>
      <c r="L6" s="33"/>
      <c r="M6" s="33"/>
      <c r="N6" s="47" t="s">
        <v>12</v>
      </c>
      <c r="O6" s="78" t="s">
        <v>13</v>
      </c>
      <c r="P6" s="24" t="s">
        <v>14</v>
      </c>
      <c r="Q6" s="22"/>
      <c r="R6" s="82"/>
      <c r="S6" s="80"/>
    </row>
    <row r="7" spans="1:19">
      <c r="A7" s="49" t="s">
        <v>15</v>
      </c>
      <c r="B7" s="34">
        <v>30</v>
      </c>
      <c r="C7" s="48">
        <f>B7/B23</f>
        <v>2.861503243037009E-3</v>
      </c>
      <c r="D7" s="35">
        <f>B4*C7</f>
        <v>1602.441816100725</v>
      </c>
      <c r="E7" s="34">
        <f>40-H7</f>
        <v>27</v>
      </c>
      <c r="F7" s="36">
        <f>E7/E23</f>
        <v>1.5863689776733254E-2</v>
      </c>
      <c r="G7" s="35">
        <f>E4*F7</f>
        <v>6662.7497062279672</v>
      </c>
      <c r="H7" s="34">
        <v>13</v>
      </c>
      <c r="I7" s="36">
        <f>H7/H23</f>
        <v>2.6104417670682729E-2</v>
      </c>
      <c r="J7" s="35">
        <f>H4*I7</f>
        <v>7309.2369477911643</v>
      </c>
      <c r="K7" s="39">
        <v>12</v>
      </c>
      <c r="L7" s="48">
        <f>K7/K23</f>
        <v>1.7313518972731207E-3</v>
      </c>
      <c r="M7" s="35">
        <f>K4*L7</f>
        <v>242.38926561823689</v>
      </c>
      <c r="N7" s="35">
        <f>D7+G7+J7+M7</f>
        <v>15816.817735738092</v>
      </c>
      <c r="O7" s="37">
        <f>N7</f>
        <v>15816.817735738092</v>
      </c>
      <c r="P7" s="37">
        <v>0</v>
      </c>
      <c r="Q7" s="12"/>
      <c r="R7" s="82"/>
      <c r="S7" s="80"/>
    </row>
    <row r="8" spans="1:19">
      <c r="A8" s="49" t="s">
        <v>16</v>
      </c>
      <c r="B8" s="34">
        <v>1672</v>
      </c>
      <c r="C8" s="48">
        <f>B8/B23</f>
        <v>0.15948111407859594</v>
      </c>
      <c r="D8" s="35">
        <f>B4*C8</f>
        <v>89309.423884013726</v>
      </c>
      <c r="E8" s="34">
        <f>69-H8</f>
        <v>41</v>
      </c>
      <c r="F8" s="36">
        <f>E8/E23</f>
        <v>2.4089306698002352E-2</v>
      </c>
      <c r="G8" s="35">
        <f>E4*F8</f>
        <v>10117.508813160988</v>
      </c>
      <c r="H8" s="34">
        <v>28</v>
      </c>
      <c r="I8" s="36">
        <f>H8/H23</f>
        <v>5.6224899598393573E-2</v>
      </c>
      <c r="J8" s="35">
        <f>H4*I8</f>
        <v>15742.9718875502</v>
      </c>
      <c r="K8" s="50">
        <v>1067</v>
      </c>
      <c r="L8" s="48">
        <f>K8/K23</f>
        <v>0.153946039532535</v>
      </c>
      <c r="M8" s="35">
        <f>K4*L8</f>
        <v>21552.445534554899</v>
      </c>
      <c r="N8" s="35">
        <f t="shared" ref="N8:N22" si="0">D8+G8+J8+M8</f>
        <v>136722.35011927981</v>
      </c>
      <c r="O8" s="37">
        <f>N8</f>
        <v>136722.35011927981</v>
      </c>
      <c r="P8" s="37">
        <v>0</v>
      </c>
      <c r="Q8" s="12"/>
      <c r="R8" s="82"/>
      <c r="S8" s="80"/>
    </row>
    <row r="9" spans="1:19">
      <c r="A9" s="49" t="s">
        <v>17</v>
      </c>
      <c r="B9" s="34">
        <v>640</v>
      </c>
      <c r="C9" s="48">
        <f>B9/B23</f>
        <v>6.1045402518122856E-2</v>
      </c>
      <c r="D9" s="35">
        <f>B4*C9</f>
        <v>34185.425410148797</v>
      </c>
      <c r="E9" s="34">
        <f>134-H9</f>
        <v>118</v>
      </c>
      <c r="F9" s="36">
        <f>E9/E23</f>
        <v>6.9330199764982378E-2</v>
      </c>
      <c r="G9" s="35">
        <f>E4*F9</f>
        <v>29118.683901292599</v>
      </c>
      <c r="H9" s="34">
        <v>16</v>
      </c>
      <c r="I9" s="36">
        <f>H9/H23</f>
        <v>3.2128514056224897E-2</v>
      </c>
      <c r="J9" s="35">
        <f>H4*I9</f>
        <v>8995.9839357429719</v>
      </c>
      <c r="K9" s="50">
        <v>409</v>
      </c>
      <c r="L9" s="48">
        <f>K9/K23</f>
        <v>5.9010243832058863E-2</v>
      </c>
      <c r="M9" s="35">
        <f>K4*L9</f>
        <v>8261.4341364882403</v>
      </c>
      <c r="N9" s="35">
        <f t="shared" si="0"/>
        <v>80561.527383672612</v>
      </c>
      <c r="O9" s="37">
        <f>N9</f>
        <v>80561.527383672612</v>
      </c>
      <c r="P9" s="37">
        <v>0</v>
      </c>
      <c r="Q9" s="12"/>
      <c r="R9" s="82"/>
      <c r="S9" s="80"/>
    </row>
    <row r="10" spans="1:19">
      <c r="A10" s="49" t="s">
        <v>18</v>
      </c>
      <c r="B10" s="34">
        <v>552</v>
      </c>
      <c r="C10" s="48">
        <f>B10/B23</f>
        <v>5.2651659671880964E-2</v>
      </c>
      <c r="D10" s="35">
        <f>B4*C10</f>
        <v>29484.929416253341</v>
      </c>
      <c r="E10" s="34">
        <f>133-H10</f>
        <v>108</v>
      </c>
      <c r="F10" s="36">
        <f>E10/E23</f>
        <v>6.3454759106933017E-2</v>
      </c>
      <c r="G10" s="35">
        <f>E4*F10</f>
        <v>26650.998824911869</v>
      </c>
      <c r="H10" s="34">
        <v>25</v>
      </c>
      <c r="I10" s="36">
        <f>H10/H23</f>
        <v>5.0200803212851405E-2</v>
      </c>
      <c r="J10" s="35">
        <f>H4*I10</f>
        <v>14056.224899598394</v>
      </c>
      <c r="K10" s="50">
        <v>406</v>
      </c>
      <c r="L10" s="48">
        <f>K10/$K23</f>
        <v>5.8577405857740586E-2</v>
      </c>
      <c r="M10" s="35">
        <f>K4*L10</f>
        <v>8200.8368200836812</v>
      </c>
      <c r="N10" s="35">
        <f t="shared" si="0"/>
        <v>78392.989960847292</v>
      </c>
      <c r="O10" s="37">
        <f>N10</f>
        <v>78392.989960847292</v>
      </c>
      <c r="P10" s="37">
        <v>0</v>
      </c>
      <c r="Q10" s="12"/>
      <c r="R10" s="79"/>
      <c r="S10" s="80"/>
    </row>
    <row r="11" spans="1:19">
      <c r="A11" s="49" t="s">
        <v>19</v>
      </c>
      <c r="B11" s="34">
        <v>106</v>
      </c>
      <c r="C11" s="48">
        <f>B11/B23</f>
        <v>1.0110644792064097E-2</v>
      </c>
      <c r="D11" s="35">
        <f>B4*C11</f>
        <v>5661.9610835558942</v>
      </c>
      <c r="E11" s="34">
        <f>30-H11</f>
        <v>29</v>
      </c>
      <c r="F11" s="36">
        <f>E11/E23</f>
        <v>1.7038777908343124E-2</v>
      </c>
      <c r="G11" s="35">
        <f>E4*F11</f>
        <v>7156.2867215041124</v>
      </c>
      <c r="H11" s="34">
        <v>1</v>
      </c>
      <c r="I11" s="36">
        <f>H11/H23</f>
        <v>2.008032128514056E-3</v>
      </c>
      <c r="J11" s="35">
        <f>H4*I11</f>
        <v>562.24899598393574</v>
      </c>
      <c r="K11" s="50">
        <v>68</v>
      </c>
      <c r="L11" s="48">
        <f>K11/K23</f>
        <v>9.8109940845476848E-3</v>
      </c>
      <c r="M11" s="35">
        <f>K4*L11</f>
        <v>1373.5391718366759</v>
      </c>
      <c r="N11" s="35">
        <f t="shared" si="0"/>
        <v>14754.035972880618</v>
      </c>
      <c r="O11" s="37">
        <f>N11</f>
        <v>14754.035972880618</v>
      </c>
      <c r="P11" s="38">
        <v>0</v>
      </c>
      <c r="Q11" s="12"/>
      <c r="R11" s="79"/>
      <c r="S11" s="80"/>
    </row>
    <row r="12" spans="1:19">
      <c r="A12" s="49" t="s">
        <v>20</v>
      </c>
      <c r="B12" s="34">
        <v>1073</v>
      </c>
      <c r="C12" s="48">
        <f>B12/B23</f>
        <v>0.10234643265929035</v>
      </c>
      <c r="D12" s="35">
        <f>B4*C12</f>
        <v>57314.002289202595</v>
      </c>
      <c r="E12" s="39">
        <f>487-H12</f>
        <v>461</v>
      </c>
      <c r="F12" s="36">
        <f>E12/E23</f>
        <v>0.2708578143360752</v>
      </c>
      <c r="G12" s="35">
        <f>E4*F12</f>
        <v>113760.28202115158</v>
      </c>
      <c r="H12" s="39">
        <v>26</v>
      </c>
      <c r="I12" s="36">
        <f>H12/H23</f>
        <v>5.2208835341365459E-2</v>
      </c>
      <c r="J12" s="35">
        <f>H4*I12</f>
        <v>14618.473895582329</v>
      </c>
      <c r="K12" s="50">
        <v>579</v>
      </c>
      <c r="L12" s="48">
        <f>K12/K23</f>
        <v>8.3537729043428072E-2</v>
      </c>
      <c r="M12" s="35">
        <f>K4*L12</f>
        <v>11695.28206607993</v>
      </c>
      <c r="N12" s="35">
        <f t="shared" si="0"/>
        <v>197388.04027201646</v>
      </c>
      <c r="O12" s="74">
        <v>133419.76999999999</v>
      </c>
      <c r="P12" s="37">
        <f>N12-O12</f>
        <v>63968.270272016467</v>
      </c>
      <c r="Q12" s="12"/>
      <c r="R12" s="79"/>
      <c r="S12" s="80"/>
    </row>
    <row r="13" spans="1:19">
      <c r="A13" s="49" t="s">
        <v>21</v>
      </c>
      <c r="B13" s="34">
        <v>116</v>
      </c>
      <c r="C13" s="48">
        <f>B13/B23</f>
        <v>1.1064479206409768E-2</v>
      </c>
      <c r="D13" s="35">
        <f>B4*C13</f>
        <v>6196.1083555894702</v>
      </c>
      <c r="E13" s="34">
        <f>117-H13</f>
        <v>60</v>
      </c>
      <c r="F13" s="36">
        <f>E13/E23</f>
        <v>3.5252643948296122E-2</v>
      </c>
      <c r="G13" s="35">
        <f>E4*F13</f>
        <v>14806.110458284371</v>
      </c>
      <c r="H13" s="34">
        <v>57</v>
      </c>
      <c r="I13" s="36">
        <f>H13/H23</f>
        <v>0.1144578313253012</v>
      </c>
      <c r="J13" s="35">
        <f>H4*I13</f>
        <v>32048.192771084337</v>
      </c>
      <c r="K13" s="50">
        <v>79</v>
      </c>
      <c r="L13" s="48">
        <f>K13/K23</f>
        <v>1.1398066657048045E-2</v>
      </c>
      <c r="M13" s="35">
        <f>K4*L13</f>
        <v>1595.7293319867263</v>
      </c>
      <c r="N13" s="35">
        <f t="shared" si="0"/>
        <v>54646.140916944903</v>
      </c>
      <c r="O13" s="37">
        <v>44000</v>
      </c>
      <c r="P13" s="37">
        <f>N13-O13</f>
        <v>10646.140916944903</v>
      </c>
      <c r="Q13" s="12"/>
      <c r="R13" s="79"/>
      <c r="S13" s="80"/>
    </row>
    <row r="14" spans="1:19">
      <c r="A14" s="49" t="s">
        <v>22</v>
      </c>
      <c r="B14" s="34">
        <v>579</v>
      </c>
      <c r="C14" s="48">
        <f>B14/B23</f>
        <v>5.5227012590614272E-2</v>
      </c>
      <c r="D14" s="35">
        <f>B4*C14</f>
        <v>30927.127050743991</v>
      </c>
      <c r="E14" s="34">
        <f>260-H14</f>
        <v>99</v>
      </c>
      <c r="F14" s="36">
        <f>E14/E23</f>
        <v>5.8166862514688604E-2</v>
      </c>
      <c r="G14" s="35">
        <f>E4*F14</f>
        <v>24430.082256169215</v>
      </c>
      <c r="H14" s="34">
        <v>161</v>
      </c>
      <c r="I14" s="36">
        <f>H14/H23</f>
        <v>0.32329317269076308</v>
      </c>
      <c r="J14" s="35">
        <f>H4*I14</f>
        <v>90522.088353413666</v>
      </c>
      <c r="K14" s="50">
        <v>441</v>
      </c>
      <c r="L14" s="48">
        <f>K14/K23</f>
        <v>6.3627182224787193E-2</v>
      </c>
      <c r="M14" s="35">
        <f>K4*L14</f>
        <v>8907.8055114702074</v>
      </c>
      <c r="N14" s="35">
        <f t="shared" si="0"/>
        <v>154787.10317179709</v>
      </c>
      <c r="O14" s="75">
        <v>136505.81</v>
      </c>
      <c r="P14" s="40">
        <f>N14-O14</f>
        <v>18281.293171797093</v>
      </c>
      <c r="Q14" s="12"/>
      <c r="R14" s="8"/>
    </row>
    <row r="15" spans="1:19">
      <c r="A15" s="49" t="s">
        <v>23</v>
      </c>
      <c r="B15" s="34">
        <v>23</v>
      </c>
      <c r="C15" s="48">
        <f>B15/B23</f>
        <v>2.1938191529950399E-3</v>
      </c>
      <c r="D15" s="35">
        <f>B4*C15</f>
        <v>1228.5387256772224</v>
      </c>
      <c r="E15" s="34">
        <f>8-H15</f>
        <v>5</v>
      </c>
      <c r="F15" s="36">
        <f>E15/E23</f>
        <v>2.9377203290246769E-3</v>
      </c>
      <c r="G15" s="35">
        <f>E4*F15</f>
        <v>1233.8425381903644</v>
      </c>
      <c r="H15" s="34">
        <v>3</v>
      </c>
      <c r="I15" s="36">
        <f>H15/H23</f>
        <v>6.024096385542169E-3</v>
      </c>
      <c r="J15" s="35">
        <f>H4*I15</f>
        <v>1686.7469879518073</v>
      </c>
      <c r="K15" s="50">
        <v>12</v>
      </c>
      <c r="L15" s="48">
        <f>K15/K23</f>
        <v>1.7313518972731207E-3</v>
      </c>
      <c r="M15" s="35">
        <f>K4*L15</f>
        <v>242.38926561823689</v>
      </c>
      <c r="N15" s="35">
        <f t="shared" si="0"/>
        <v>4391.5175174376309</v>
      </c>
      <c r="O15" s="40"/>
      <c r="P15" s="37">
        <f>N15</f>
        <v>4391.5175174376309</v>
      </c>
      <c r="Q15" s="12"/>
      <c r="R15" s="8"/>
    </row>
    <row r="16" spans="1:19">
      <c r="A16" s="49" t="s">
        <v>24</v>
      </c>
      <c r="B16" s="34">
        <v>893</v>
      </c>
      <c r="C16" s="48">
        <f>B16/B23</f>
        <v>8.5177413201068294E-2</v>
      </c>
      <c r="D16" s="35">
        <f>B4*C16</f>
        <v>47699.351392598248</v>
      </c>
      <c r="E16" s="34">
        <f>202-H16</f>
        <v>159</v>
      </c>
      <c r="F16" s="36">
        <f>E16/E23</f>
        <v>9.3419506462984719E-2</v>
      </c>
      <c r="G16" s="35">
        <f>E4*F16</f>
        <v>39236.19271445358</v>
      </c>
      <c r="H16" s="34">
        <v>43</v>
      </c>
      <c r="I16" s="36">
        <f>H16/H23</f>
        <v>8.6345381526104423E-2</v>
      </c>
      <c r="J16" s="35">
        <f>H4*I16</f>
        <v>24176.706827309237</v>
      </c>
      <c r="K16" s="50">
        <v>401</v>
      </c>
      <c r="L16" s="48">
        <f>K16/K23</f>
        <v>5.7856009233876786E-2</v>
      </c>
      <c r="M16" s="35">
        <f>K4*L16</f>
        <v>8099.8412927427498</v>
      </c>
      <c r="N16" s="35">
        <f t="shared" si="0"/>
        <v>119212.09222710383</v>
      </c>
      <c r="O16" s="37">
        <f>N16</f>
        <v>119212.09222710383</v>
      </c>
      <c r="P16" s="37">
        <v>0</v>
      </c>
      <c r="Q16" s="12"/>
      <c r="R16" s="8"/>
    </row>
    <row r="17" spans="1:18">
      <c r="A17" s="49" t="s">
        <v>25</v>
      </c>
      <c r="B17" s="34">
        <v>294</v>
      </c>
      <c r="C17" s="48">
        <f>B17/B23</f>
        <v>2.8042731781762687E-2</v>
      </c>
      <c r="D17" s="35">
        <f>B4*C17</f>
        <v>15703.929797787105</v>
      </c>
      <c r="E17" s="34">
        <f>128-H17</f>
        <v>119</v>
      </c>
      <c r="F17" s="36">
        <f>E17/E23</f>
        <v>6.9917743830787304E-2</v>
      </c>
      <c r="G17" s="35">
        <f>E4*F17</f>
        <v>29365.452408930669</v>
      </c>
      <c r="H17" s="34">
        <v>9</v>
      </c>
      <c r="I17" s="36">
        <f>H17/H23</f>
        <v>1.8072289156626505E-2</v>
      </c>
      <c r="J17" s="35">
        <f>H4*I17</f>
        <v>5060.2409638554218</v>
      </c>
      <c r="K17" s="50">
        <v>208</v>
      </c>
      <c r="L17" s="48">
        <f>K17/K23</f>
        <v>3.0010099552734093E-2</v>
      </c>
      <c r="M17" s="35">
        <f>K4*L17</f>
        <v>4201.4139373827729</v>
      </c>
      <c r="N17" s="35">
        <f t="shared" si="0"/>
        <v>54331.03710795597</v>
      </c>
      <c r="O17" s="37">
        <f>N17</f>
        <v>54331.03710795597</v>
      </c>
      <c r="P17" s="37">
        <v>0</v>
      </c>
      <c r="Q17" s="12"/>
      <c r="R17" s="8"/>
    </row>
    <row r="18" spans="1:18">
      <c r="A18" s="49" t="s">
        <v>26</v>
      </c>
      <c r="B18" s="34">
        <v>549</v>
      </c>
      <c r="C18" s="48">
        <f>B18/B23</f>
        <v>5.2365509347577263E-2</v>
      </c>
      <c r="D18" s="35">
        <f>B4*C18</f>
        <v>29324.685234643268</v>
      </c>
      <c r="E18" s="34">
        <f>96-H18</f>
        <v>96</v>
      </c>
      <c r="F18" s="36">
        <f>E18/E23</f>
        <v>5.6404230317273797E-2</v>
      </c>
      <c r="G18" s="35">
        <f>E4*F18</f>
        <v>23689.776733254996</v>
      </c>
      <c r="H18" s="34">
        <v>0</v>
      </c>
      <c r="I18" s="36">
        <f>H18/H23</f>
        <v>0</v>
      </c>
      <c r="J18" s="35">
        <f>H4*I18</f>
        <v>0</v>
      </c>
      <c r="K18" s="50">
        <v>389</v>
      </c>
      <c r="L18" s="48">
        <f>K18/K23</f>
        <v>5.6124657336603663E-2</v>
      </c>
      <c r="M18" s="35">
        <f>K4*L18</f>
        <v>7857.4520271245128</v>
      </c>
      <c r="N18" s="35">
        <f t="shared" si="0"/>
        <v>60871.913995022776</v>
      </c>
      <c r="O18" s="37">
        <f>N18</f>
        <v>60871.913995022776</v>
      </c>
      <c r="P18" s="37">
        <v>0</v>
      </c>
      <c r="Q18" s="12"/>
      <c r="R18" s="8"/>
    </row>
    <row r="19" spans="1:18">
      <c r="A19" s="49" t="s">
        <v>27</v>
      </c>
      <c r="B19" s="34">
        <v>1925</v>
      </c>
      <c r="C19" s="48">
        <f>B19/B23</f>
        <v>0.1836131247615414</v>
      </c>
      <c r="D19" s="35">
        <f>B4*C19</f>
        <v>102823.34986646319</v>
      </c>
      <c r="E19" s="34">
        <f>103-H19</f>
        <v>88</v>
      </c>
      <c r="F19" s="36">
        <f>E19/E23</f>
        <v>5.170387779083431E-2</v>
      </c>
      <c r="G19" s="35">
        <f>E4*F19</f>
        <v>21715.628672150411</v>
      </c>
      <c r="H19" s="34">
        <v>15</v>
      </c>
      <c r="I19" s="36">
        <f>H19/H23</f>
        <v>3.0120481927710843E-2</v>
      </c>
      <c r="J19" s="35">
        <f>H4*I19</f>
        <v>8433.7349397590369</v>
      </c>
      <c r="K19" s="50">
        <v>1303</v>
      </c>
      <c r="L19" s="48">
        <f>K19/K23</f>
        <v>0.18799596017890635</v>
      </c>
      <c r="M19" s="35">
        <f>K4*L19</f>
        <v>26319.434425046889</v>
      </c>
      <c r="N19" s="35">
        <f t="shared" si="0"/>
        <v>159292.14790341954</v>
      </c>
      <c r="O19" s="41">
        <f>N19</f>
        <v>159292.14790341954</v>
      </c>
      <c r="P19" s="41">
        <v>0</v>
      </c>
      <c r="Q19" s="12"/>
      <c r="R19" s="8"/>
    </row>
    <row r="20" spans="1:18">
      <c r="A20" s="49" t="s">
        <v>28</v>
      </c>
      <c r="B20" s="34">
        <v>214</v>
      </c>
      <c r="C20" s="48">
        <f>B20/B23</f>
        <v>2.0412056466997328E-2</v>
      </c>
      <c r="D20" s="35">
        <f>B4*C20</f>
        <v>11430.751621518504</v>
      </c>
      <c r="E20" s="34">
        <f>123-H20</f>
        <v>64</v>
      </c>
      <c r="F20" s="36">
        <f>E20/E23</f>
        <v>3.7602820211515862E-2</v>
      </c>
      <c r="G20" s="35">
        <f>E4*F20</f>
        <v>15793.184488836661</v>
      </c>
      <c r="H20" s="34">
        <v>59</v>
      </c>
      <c r="I20" s="36">
        <f>H20/H23</f>
        <v>0.11847389558232932</v>
      </c>
      <c r="J20" s="35">
        <f>H4*I20</f>
        <v>33172.690763052211</v>
      </c>
      <c r="K20" s="50">
        <v>164</v>
      </c>
      <c r="L20" s="48">
        <f>K20/K23</f>
        <v>2.3661809262732651E-2</v>
      </c>
      <c r="M20" s="35">
        <f>K4*L20</f>
        <v>3312.653296782571</v>
      </c>
      <c r="N20" s="35">
        <f t="shared" si="0"/>
        <v>63709.280170189944</v>
      </c>
      <c r="O20" s="40">
        <f>N20</f>
        <v>63709.280170189944</v>
      </c>
      <c r="P20" s="42">
        <v>0</v>
      </c>
      <c r="Q20" s="12"/>
      <c r="R20" s="8"/>
    </row>
    <row r="21" spans="1:18">
      <c r="A21" s="49" t="s">
        <v>29</v>
      </c>
      <c r="B21" s="34">
        <v>1435</v>
      </c>
      <c r="C21" s="48">
        <f>B21/B23</f>
        <v>0.13687523845860358</v>
      </c>
      <c r="D21" s="35">
        <f>B4*C21</f>
        <v>76650.133536818001</v>
      </c>
      <c r="E21" s="34">
        <f>248-H21</f>
        <v>207</v>
      </c>
      <c r="F21" s="36">
        <f>E21/E23</f>
        <v>0.12162162162162163</v>
      </c>
      <c r="G21" s="35">
        <f>E4*F21</f>
        <v>51081.081081081087</v>
      </c>
      <c r="H21" s="34">
        <v>41</v>
      </c>
      <c r="I21" s="36">
        <f>H21/H23</f>
        <v>8.2329317269076302E-2</v>
      </c>
      <c r="J21" s="35">
        <f>H4*I21</f>
        <v>23052.208835341364</v>
      </c>
      <c r="K21" s="50">
        <v>1127</v>
      </c>
      <c r="L21" s="48">
        <f>K21/K23</f>
        <v>0.1626027990189006</v>
      </c>
      <c r="M21" s="35">
        <f>K4*L21</f>
        <v>22764.391862646084</v>
      </c>
      <c r="N21" s="35">
        <f t="shared" si="0"/>
        <v>173547.81531588655</v>
      </c>
      <c r="O21" s="37">
        <v>124911.34</v>
      </c>
      <c r="P21" s="37">
        <f>N21-O21</f>
        <v>48636.47531588655</v>
      </c>
      <c r="Q21" s="12"/>
      <c r="R21" s="8"/>
    </row>
    <row r="22" spans="1:18">
      <c r="A22" s="49" t="s">
        <v>30</v>
      </c>
      <c r="B22" s="34">
        <v>383</v>
      </c>
      <c r="C22" s="48">
        <f>B22/B23</f>
        <v>3.6531858069439142E-2</v>
      </c>
      <c r="D22" s="35">
        <f>B4*C22</f>
        <v>20457.840518885921</v>
      </c>
      <c r="E22" s="34">
        <f>22-H22</f>
        <v>21</v>
      </c>
      <c r="F22" s="36">
        <f>E22/E23</f>
        <v>1.2338425381903642E-2</v>
      </c>
      <c r="G22" s="35">
        <f>E4*F22</f>
        <v>5182.1386603995297</v>
      </c>
      <c r="H22" s="34">
        <v>1</v>
      </c>
      <c r="I22" s="36">
        <f>H22/H23</f>
        <v>2.008032128514056E-3</v>
      </c>
      <c r="J22" s="35">
        <f>H4*I22</f>
        <v>562.24899598393574</v>
      </c>
      <c r="K22" s="50">
        <v>266</v>
      </c>
      <c r="L22" s="48">
        <f>K22/K23</f>
        <v>3.8378300389554178E-2</v>
      </c>
      <c r="M22" s="35">
        <f>K4*L22</f>
        <v>5372.9620545375847</v>
      </c>
      <c r="N22" s="35">
        <f t="shared" si="0"/>
        <v>31575.190229806973</v>
      </c>
      <c r="O22" s="40">
        <f>N22</f>
        <v>31575.190229806973</v>
      </c>
      <c r="P22" s="37"/>
      <c r="Q22" s="12"/>
      <c r="R22" s="8"/>
    </row>
    <row r="23" spans="1:18">
      <c r="A23" s="43" t="s">
        <v>31</v>
      </c>
      <c r="B23" s="43">
        <f t="shared" ref="B23:N23" si="1">SUM(B7:B22)</f>
        <v>10484</v>
      </c>
      <c r="C23" s="44">
        <f t="shared" si="1"/>
        <v>0.99999999999999989</v>
      </c>
      <c r="D23" s="45">
        <f t="shared" si="1"/>
        <v>559999.99999999988</v>
      </c>
      <c r="E23" s="43">
        <f t="shared" si="1"/>
        <v>1702</v>
      </c>
      <c r="F23" s="44">
        <f t="shared" si="1"/>
        <v>1</v>
      </c>
      <c r="G23" s="45">
        <f t="shared" si="1"/>
        <v>420000.00000000006</v>
      </c>
      <c r="H23" s="43">
        <f t="shared" si="1"/>
        <v>498</v>
      </c>
      <c r="I23" s="44">
        <f t="shared" si="1"/>
        <v>1</v>
      </c>
      <c r="J23" s="45">
        <f t="shared" si="1"/>
        <v>280000</v>
      </c>
      <c r="K23" s="43">
        <f t="shared" si="1"/>
        <v>6931</v>
      </c>
      <c r="L23" s="44">
        <f t="shared" si="1"/>
        <v>1</v>
      </c>
      <c r="M23" s="45">
        <f t="shared" si="1"/>
        <v>140000</v>
      </c>
      <c r="N23" s="45">
        <f t="shared" si="1"/>
        <v>1400000.0000000002</v>
      </c>
      <c r="O23" s="46">
        <f>SUM(O7:O22)</f>
        <v>1254076.3028059178</v>
      </c>
      <c r="P23" s="46">
        <f>SUM(P7:P22)</f>
        <v>145923.69719408266</v>
      </c>
      <c r="Q23" s="12"/>
    </row>
    <row r="24" spans="1:18">
      <c r="A24" s="9"/>
      <c r="B24" s="9"/>
      <c r="C24" s="11"/>
      <c r="D24" s="10"/>
      <c r="E24" s="9"/>
      <c r="F24" s="11"/>
      <c r="G24" s="10"/>
      <c r="H24" s="9"/>
      <c r="I24" s="11"/>
      <c r="J24" s="10"/>
      <c r="K24" s="10"/>
      <c r="L24" s="10"/>
      <c r="M24" s="10"/>
      <c r="N24" s="10"/>
      <c r="O24" s="21"/>
      <c r="P24" s="21"/>
      <c r="Q24" s="8"/>
    </row>
    <row r="25" spans="1:18">
      <c r="A25" s="2"/>
      <c r="B25" s="2"/>
      <c r="C25" s="12"/>
      <c r="J25" s="53"/>
      <c r="K25" s="53"/>
      <c r="L25" s="53"/>
      <c r="M25" s="53"/>
      <c r="N25" s="53"/>
      <c r="O25" s="51"/>
    </row>
    <row r="26" spans="1:18">
      <c r="A26" s="13" t="s">
        <v>32</v>
      </c>
      <c r="B26" s="14"/>
      <c r="C26" s="59" t="s">
        <v>33</v>
      </c>
      <c r="D26" s="60" t="s">
        <v>34</v>
      </c>
      <c r="E26" s="60"/>
      <c r="F26" s="61"/>
      <c r="H26" s="76"/>
    </row>
    <row r="27" spans="1:18">
      <c r="A27" s="13"/>
      <c r="B27" s="13"/>
      <c r="C27" s="62" t="s">
        <v>35</v>
      </c>
      <c r="D27" s="72" t="s">
        <v>36</v>
      </c>
      <c r="E27" s="72"/>
      <c r="F27" s="63"/>
      <c r="H27" s="22"/>
    </row>
    <row r="28" spans="1:18">
      <c r="A28" s="15"/>
      <c r="B28" s="14"/>
      <c r="C28" s="64" t="s">
        <v>37</v>
      </c>
      <c r="D28" s="72" t="s">
        <v>38</v>
      </c>
      <c r="E28" s="72"/>
      <c r="F28" s="63"/>
      <c r="G28" s="14"/>
      <c r="H28" s="22"/>
      <c r="O28" s="54"/>
    </row>
    <row r="29" spans="1:18">
      <c r="A29" s="16"/>
      <c r="C29" s="65" t="s">
        <v>39</v>
      </c>
      <c r="D29" s="72" t="s">
        <v>40</v>
      </c>
      <c r="E29" s="72"/>
      <c r="F29" s="73"/>
      <c r="H29" s="55"/>
      <c r="J29" s="56"/>
      <c r="K29" s="56"/>
      <c r="L29" s="56"/>
      <c r="M29" s="56"/>
    </row>
    <row r="30" spans="1:18">
      <c r="B30" s="16"/>
      <c r="C30" s="66" t="s">
        <v>41</v>
      </c>
      <c r="D30" s="67" t="s">
        <v>42</v>
      </c>
      <c r="E30" s="67"/>
      <c r="F30" s="68"/>
      <c r="G30" s="17"/>
      <c r="H30" s="52"/>
      <c r="I30" s="16"/>
      <c r="J30" s="56"/>
      <c r="K30" s="56"/>
      <c r="L30" s="56"/>
      <c r="M30" s="56"/>
    </row>
    <row r="31" spans="1:18">
      <c r="A31" s="16"/>
      <c r="F31" s="14"/>
      <c r="G31" s="14"/>
      <c r="I31" s="16"/>
      <c r="J31" s="8"/>
      <c r="K31" s="8"/>
      <c r="L31" s="8"/>
      <c r="M31" s="8"/>
    </row>
    <row r="32" spans="1:18">
      <c r="A32" s="13"/>
      <c r="C32" s="57"/>
    </row>
    <row r="33" spans="1:7">
      <c r="A33" s="16"/>
    </row>
    <row r="35" spans="1:7">
      <c r="A35" s="23"/>
    </row>
    <row r="36" spans="1:7">
      <c r="G36" s="16"/>
    </row>
    <row r="37" spans="1:7">
      <c r="C37" s="18"/>
    </row>
    <row r="38" spans="1:7">
      <c r="C38" s="19"/>
    </row>
    <row r="39" spans="1:7">
      <c r="A39" s="20"/>
    </row>
  </sheetData>
  <mergeCells count="9">
    <mergeCell ref="R10:R11"/>
    <mergeCell ref="S10:S11"/>
    <mergeCell ref="R12:R13"/>
    <mergeCell ref="S12:S13"/>
    <mergeCell ref="B5:D5"/>
    <mergeCell ref="R6:R7"/>
    <mergeCell ref="S6:S7"/>
    <mergeCell ref="R8:R9"/>
    <mergeCell ref="S8:S9"/>
  </mergeCells>
  <phoneticPr fontId="0" type="noConversion"/>
  <pageMargins left="0.75" right="0.75" top="1" bottom="1" header="0.5" footer="0.5"/>
  <pageSetup paperSize="5" scale="32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DWD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bgoguen</dc:creator>
  <cp:keywords/>
  <dc:description/>
  <cp:lastModifiedBy>Beati, Dawn (DCS)</cp:lastModifiedBy>
  <cp:revision/>
  <dcterms:created xsi:type="dcterms:W3CDTF">2012-05-11T12:28:37Z</dcterms:created>
  <dcterms:modified xsi:type="dcterms:W3CDTF">2024-12-09T21:04:03Z</dcterms:modified>
  <cp:category/>
  <cp:contentStatus/>
</cp:coreProperties>
</file>