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240" windowWidth="19416" windowHeight="10956" firstSheet="2" activeTab="6"/>
  </bookViews>
  <sheets>
    <sheet name="Blended-MobileRelief" sheetId="2" state="hidden" r:id="rId1"/>
    <sheet name="FI Mobile Relief" sheetId="1" state="hidden" r:id="rId2"/>
    <sheet name="Fall 2018" sheetId="14" r:id="rId3"/>
    <sheet name="Models A B C" sheetId="5" r:id="rId4"/>
    <sheet name="Peer Model " sheetId="9" r:id="rId5"/>
    <sheet name="Site Only Model" sheetId="10" r:id="rId6"/>
    <sheet name="Mobile Only Model" sheetId="11" r:id="rId7"/>
    <sheet name=" PPH Adjustments" sheetId="6" state="hidden" r:id="rId8"/>
    <sheet name="EXPENSE COMPARE" sheetId="13" state="hidden" r:id="rId9"/>
    <sheet name="ActivityCodeReport" sheetId="12" state="hidden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Key1" hidden="1">#REF!</definedName>
    <definedName name="_Sort" hidden="1">#REF!</definedName>
    <definedName name="Area">[1]Sheet2!$A$2:$A$28</definedName>
    <definedName name="ARENEW">[2]amendA!$B$1:$U$51</definedName>
    <definedName name="ATTABOY">[2]amendA!$B$2:$S$2</definedName>
    <definedName name="AutoInsurance">[3]Universal!$C$19</definedName>
    <definedName name="BB6_4">#REF!</definedName>
    <definedName name="Cap">[4]RawDataCalcs!$L$13:$DB$13</definedName>
    <definedName name="COLA">[3]Universal!$C$12</definedName>
    <definedName name="Electricity">[3]Universal!$C$21</definedName>
    <definedName name="FiveDay">[3]Universal!$C$17</definedName>
    <definedName name="Floor">[4]RawDataCalcs!$L$12:$DB$12</definedName>
    <definedName name="Fringe">[3]Universal!$C$8</definedName>
    <definedName name="FROM">[2]amendA!$G$7</definedName>
    <definedName name="GA">[3]Universal!$C$13</definedName>
    <definedName name="Gas">[3]Universal!$C$22</definedName>
    <definedName name="gk" localSheetId="7">#REF!</definedName>
    <definedName name="gk" localSheetId="0">#REF!</definedName>
    <definedName name="gk" localSheetId="1">#REF!</definedName>
    <definedName name="gk" localSheetId="6">#REF!</definedName>
    <definedName name="gk" localSheetId="3">#REF!</definedName>
    <definedName name="gk" localSheetId="4">#REF!</definedName>
    <definedName name="gk" localSheetId="5">#REF!</definedName>
    <definedName name="gk">#REF!</definedName>
    <definedName name="Holidays">[3]Universal!$C$49:$C$59</definedName>
    <definedName name="Oil">[3]Universal!$C$23</definedName>
    <definedName name="Paydays">[3]Universal!$C$33:$N$33</definedName>
    <definedName name="Phone">[3]Universal!$C$25</definedName>
    <definedName name="_xlnm.Print_Area" localSheetId="7">' PPH Adjustments'!$B$1:$O$36</definedName>
    <definedName name="_xlnm.Print_Area" localSheetId="0">'Blended-MobileRelief'!$A$1:$Z$40</definedName>
    <definedName name="_xlnm.Print_Area" localSheetId="2">'Fall 2018'!$BE$5:$BS$30</definedName>
    <definedName name="_xlnm.Print_Area" localSheetId="1">'FI Mobile Relief'!$A$1:$Q$77</definedName>
    <definedName name="_xlnm.Print_Area" localSheetId="6">'Mobile Only Model'!$A$1:$I$27</definedName>
    <definedName name="_xlnm.Print_Area" localSheetId="3">'Models A B C'!$A$1:$AB$41</definedName>
    <definedName name="_xlnm.Print_Area" localSheetId="4">'Peer Model '!$B$1:$N$36</definedName>
    <definedName name="_xlnm.Print_Area" localSheetId="5">'Site Only Model'!$B$1:$I$33</definedName>
    <definedName name="_xlnm.Print_Titles" localSheetId="2">'Fall 2018'!$A:$A</definedName>
    <definedName name="PropInsurance">[3]Universal!$C$20</definedName>
    <definedName name="PTO_Hours">[3]Universal!$F$72:$F$78</definedName>
    <definedName name="PTO_Years">[3]Universal!$B$72:$B$78</definedName>
    <definedName name="REGION">[1]Sheet2!$B$1:$B$5</definedName>
    <definedName name="Relief">[3]Universal!$C$14</definedName>
    <definedName name="SevenDay">[3]Universal!$C$18</definedName>
    <definedName name="Source_2" localSheetId="7">#REF!</definedName>
    <definedName name="Source_2" localSheetId="0">#REF!</definedName>
    <definedName name="Source_2" localSheetId="1">#REF!</definedName>
    <definedName name="Source_2" localSheetId="6">#REF!</definedName>
    <definedName name="Source_2" localSheetId="3">#REF!</definedName>
    <definedName name="Source_2" localSheetId="4">#REF!</definedName>
    <definedName name="Source_2" localSheetId="5">#REF!</definedName>
    <definedName name="Source_2">#REF!</definedName>
    <definedName name="StaffApp">[3]Universal!$C$11</definedName>
    <definedName name="Tax">[3]Universal!$C$7</definedName>
    <definedName name="TO">[2]amendA!$K$7:$O$7</definedName>
    <definedName name="Total_UFR" localSheetId="7">#REF!</definedName>
    <definedName name="Total_UFR" localSheetId="0">#REF!</definedName>
    <definedName name="Total_UFR" localSheetId="1">#REF!</definedName>
    <definedName name="Total_UFR" localSheetId="6">#REF!</definedName>
    <definedName name="Total_UFR" localSheetId="3">#REF!</definedName>
    <definedName name="Total_UFR" localSheetId="4">#REF!</definedName>
    <definedName name="Total_UFR" localSheetId="5">#REF!</definedName>
    <definedName name="Total_UFR">#REF!</definedName>
    <definedName name="Total_UFRs" localSheetId="7">#REF!</definedName>
    <definedName name="Total_UFRs" localSheetId="0">#REF!</definedName>
    <definedName name="Total_UFRs" localSheetId="1">#REF!</definedName>
    <definedName name="Total_UFRs" localSheetId="6">#REF!</definedName>
    <definedName name="Total_UFRs" localSheetId="3">#REF!</definedName>
    <definedName name="Total_UFRs" localSheetId="4">#REF!</definedName>
    <definedName name="Total_UFRs" localSheetId="5">#REF!</definedName>
    <definedName name="Total_UFRs">#REF!</definedName>
    <definedName name="Total_UFRs_" localSheetId="7">#REF!</definedName>
    <definedName name="Total_UFRs_" localSheetId="0">#REF!</definedName>
    <definedName name="Total_UFRs_" localSheetId="1">#REF!</definedName>
    <definedName name="Total_UFRs_" localSheetId="6">#REF!</definedName>
    <definedName name="Total_UFRs_" localSheetId="3">#REF!</definedName>
    <definedName name="Total_UFRs_" localSheetId="4">#REF!</definedName>
    <definedName name="Total_UFRs_" localSheetId="5">#REF!</definedName>
    <definedName name="Total_UFRs_">#REF!</definedName>
    <definedName name="TotalDays">[3]Universal!$C$30:$N$30</definedName>
    <definedName name="VacAccr">[3]Universal!$C$9</definedName>
    <definedName name="VBB">[3]Universal!$C$10</definedName>
    <definedName name="VBBDist">[3]Universal!$B$35:$N$35</definedName>
    <definedName name="VBBLines">[3]Universal!$B$85:$B$97</definedName>
    <definedName name="Wages5">[3]Universal!$C$37:$N$37</definedName>
    <definedName name="Wages7">[3]Universal!$C$38:$N$38</definedName>
    <definedName name="Water">[3]Universal!$C$24</definedName>
    <definedName name="Weekdays">[3]Universal!$C$31:$N$31</definedName>
  </definedNames>
  <calcPr calcId="145621"/>
  <pivotCaches>
    <pivotCache cacheId="0" r:id="rId18"/>
  </pivotCaches>
</workbook>
</file>

<file path=xl/calcChain.xml><?xml version="1.0" encoding="utf-8"?>
<calcChain xmlns="http://schemas.openxmlformats.org/spreadsheetml/2006/main">
  <c r="N33" i="9" l="1"/>
  <c r="AB39" i="5"/>
  <c r="W39" i="5"/>
  <c r="R39" i="5"/>
  <c r="C23" i="11" l="1"/>
  <c r="C26" i="10"/>
  <c r="C27" i="9"/>
  <c r="D41" i="5"/>
  <c r="BO21" i="14"/>
  <c r="BN21" i="14"/>
  <c r="BM21" i="14"/>
  <c r="BL21" i="14"/>
  <c r="BK21" i="14"/>
  <c r="BJ21" i="14"/>
  <c r="BI21" i="14"/>
  <c r="BH21" i="14"/>
  <c r="BO20" i="14"/>
  <c r="BN20" i="14"/>
  <c r="BM20" i="14"/>
  <c r="BL20" i="14"/>
  <c r="BK20" i="14"/>
  <c r="BJ20" i="14"/>
  <c r="BI20" i="14"/>
  <c r="BH20" i="14"/>
  <c r="BQ17" i="14"/>
  <c r="BH17" i="14"/>
  <c r="BQ21" i="14" l="1"/>
  <c r="BQ23" i="14" s="1"/>
  <c r="C20" i="13"/>
  <c r="C19" i="13"/>
  <c r="C21" i="13"/>
  <c r="C18" i="13"/>
  <c r="C17" i="13"/>
  <c r="C15" i="13"/>
  <c r="C16" i="13"/>
  <c r="C4" i="13"/>
  <c r="C5" i="13"/>
  <c r="C6" i="13"/>
  <c r="C7" i="13"/>
  <c r="C8" i="13"/>
  <c r="C9" i="13"/>
  <c r="C10" i="13"/>
  <c r="C11" i="13"/>
  <c r="C12" i="13"/>
  <c r="C3" i="13"/>
  <c r="G28" i="11" l="1"/>
  <c r="G27" i="11"/>
  <c r="G30" i="10"/>
  <c r="G29" i="10"/>
  <c r="N32" i="9"/>
  <c r="N31" i="9"/>
  <c r="L33" i="9"/>
  <c r="L32" i="9"/>
  <c r="N35" i="9" s="1"/>
  <c r="N36" i="9" s="1"/>
  <c r="B3" i="5"/>
  <c r="B3" i="9"/>
  <c r="B3" i="11"/>
  <c r="B3" i="10"/>
  <c r="H19" i="11"/>
  <c r="F19" i="11"/>
  <c r="H18" i="11"/>
  <c r="I18" i="11" s="1"/>
  <c r="H17" i="11"/>
  <c r="F17" i="11"/>
  <c r="C15" i="11"/>
  <c r="H10" i="11" s="1"/>
  <c r="C14" i="11"/>
  <c r="B14" i="11"/>
  <c r="C13" i="11"/>
  <c r="H8" i="11" s="1"/>
  <c r="C12" i="11"/>
  <c r="G10" i="11"/>
  <c r="I10" i="11" s="1"/>
  <c r="C9" i="11"/>
  <c r="H9" i="11"/>
  <c r="F9" i="11"/>
  <c r="C8" i="11"/>
  <c r="G9" i="11" s="1"/>
  <c r="I9" i="11" s="1"/>
  <c r="H7" i="11"/>
  <c r="C7" i="11"/>
  <c r="G8" i="11" s="1"/>
  <c r="H6" i="11"/>
  <c r="C6" i="11"/>
  <c r="G7" i="11" s="1"/>
  <c r="I7" i="11" s="1"/>
  <c r="C5" i="11"/>
  <c r="G6" i="11" s="1"/>
  <c r="I6" i="11" s="1"/>
  <c r="G4" i="11"/>
  <c r="I4" i="11" s="1"/>
  <c r="C25" i="10"/>
  <c r="G28" i="10" s="1"/>
  <c r="C24" i="10"/>
  <c r="G25" i="10" s="1"/>
  <c r="C23" i="10"/>
  <c r="C22" i="10"/>
  <c r="H20" i="10" s="1"/>
  <c r="H21" i="10"/>
  <c r="F21" i="10"/>
  <c r="F20" i="10"/>
  <c r="C19" i="10"/>
  <c r="H19" i="10"/>
  <c r="F19" i="10"/>
  <c r="H18" i="10"/>
  <c r="F18" i="10"/>
  <c r="C17" i="10"/>
  <c r="C15" i="10"/>
  <c r="C16" i="10" s="1"/>
  <c r="H10" i="10" s="1"/>
  <c r="C14" i="10"/>
  <c r="B14" i="10"/>
  <c r="H14" i="10"/>
  <c r="C13" i="10"/>
  <c r="H7" i="10" s="1"/>
  <c r="B13" i="10"/>
  <c r="C12" i="10"/>
  <c r="H6" i="10" s="1"/>
  <c r="B12" i="10"/>
  <c r="H11" i="10"/>
  <c r="F11" i="10"/>
  <c r="C10" i="10"/>
  <c r="G11" i="10" s="1"/>
  <c r="I11" i="10" s="1"/>
  <c r="H9" i="10"/>
  <c r="I21" i="10" s="1"/>
  <c r="F9" i="10"/>
  <c r="C8" i="10"/>
  <c r="G9" i="10" s="1"/>
  <c r="I9" i="10" s="1"/>
  <c r="H8" i="10"/>
  <c r="F8" i="10"/>
  <c r="F7" i="10"/>
  <c r="C7" i="10"/>
  <c r="G8" i="10" s="1"/>
  <c r="I8" i="10" s="1"/>
  <c r="F6" i="10"/>
  <c r="C6" i="10"/>
  <c r="G7" i="10" s="1"/>
  <c r="I7" i="10" s="1"/>
  <c r="C5" i="10"/>
  <c r="G6" i="10" s="1"/>
  <c r="G4" i="10"/>
  <c r="I4" i="10" s="1"/>
  <c r="I18" i="10" s="1"/>
  <c r="D59" i="9"/>
  <c r="F58" i="9"/>
  <c r="F57" i="9"/>
  <c r="F56" i="9"/>
  <c r="F55" i="9"/>
  <c r="F54" i="9"/>
  <c r="G57" i="9" s="1"/>
  <c r="F53" i="9"/>
  <c r="F52" i="9"/>
  <c r="F51" i="9"/>
  <c r="F59" i="9" s="1"/>
  <c r="C50" i="9"/>
  <c r="D44" i="9"/>
  <c r="D41" i="9"/>
  <c r="D45" i="9" s="1"/>
  <c r="C41" i="9"/>
  <c r="E40" i="9"/>
  <c r="E39" i="9"/>
  <c r="E38" i="9"/>
  <c r="E37" i="9"/>
  <c r="E34" i="9"/>
  <c r="L31" i="9"/>
  <c r="C26" i="9"/>
  <c r="K24" i="9"/>
  <c r="K23" i="9"/>
  <c r="K22" i="9"/>
  <c r="M21" i="9"/>
  <c r="K21" i="9"/>
  <c r="K20" i="9"/>
  <c r="C20" i="9"/>
  <c r="M20" i="9" s="1"/>
  <c r="N20" i="9" s="1"/>
  <c r="C19" i="9"/>
  <c r="L16" i="9"/>
  <c r="C16" i="9"/>
  <c r="M12" i="9" s="1"/>
  <c r="B15" i="9"/>
  <c r="C14" i="9"/>
  <c r="B14" i="9"/>
  <c r="M13" i="9"/>
  <c r="L13" i="9"/>
  <c r="N13" i="9" s="1"/>
  <c r="C13" i="9"/>
  <c r="L12" i="9"/>
  <c r="K12" i="9"/>
  <c r="B12" i="9"/>
  <c r="M11" i="9"/>
  <c r="K11" i="9"/>
  <c r="M10" i="9"/>
  <c r="K10" i="9"/>
  <c r="C10" i="9"/>
  <c r="B10" i="9"/>
  <c r="B17" i="9" s="1"/>
  <c r="M9" i="9"/>
  <c r="C9" i="9"/>
  <c r="M8" i="9"/>
  <c r="M14" i="9" s="1"/>
  <c r="F36" i="9" s="1"/>
  <c r="L8" i="9"/>
  <c r="N8" i="9" s="1"/>
  <c r="K8" i="9"/>
  <c r="C8" i="9"/>
  <c r="L11" i="9" s="1"/>
  <c r="N11" i="9" s="1"/>
  <c r="C7" i="9"/>
  <c r="L10" i="9" s="1"/>
  <c r="N10" i="9" s="1"/>
  <c r="N6" i="9"/>
  <c r="N21" i="9" s="1"/>
  <c r="C6" i="9"/>
  <c r="L9" i="9" s="1"/>
  <c r="N9" i="9" s="1"/>
  <c r="B6" i="9"/>
  <c r="K9" i="9" s="1"/>
  <c r="C5" i="9"/>
  <c r="I6" i="10" l="1"/>
  <c r="H11" i="11"/>
  <c r="I19" i="11" s="1"/>
  <c r="I8" i="11"/>
  <c r="I11" i="11" s="1"/>
  <c r="I12" i="10"/>
  <c r="I14" i="10" s="1"/>
  <c r="I15" i="10" s="1"/>
  <c r="C9" i="10"/>
  <c r="G10" i="10" s="1"/>
  <c r="I10" i="10" s="1"/>
  <c r="I19" i="10"/>
  <c r="I22" i="10" s="1"/>
  <c r="I20" i="10"/>
  <c r="I17" i="11"/>
  <c r="I20" i="11" s="1"/>
  <c r="H12" i="10"/>
  <c r="H52" i="9"/>
  <c r="C22" i="9" s="1"/>
  <c r="M22" i="9" s="1"/>
  <c r="N22" i="9" s="1"/>
  <c r="H57" i="9"/>
  <c r="C23" i="9" s="1"/>
  <c r="M23" i="9" s="1"/>
  <c r="N23" i="9" s="1"/>
  <c r="H58" i="9"/>
  <c r="C24" i="9" s="1"/>
  <c r="M24" i="9" s="1"/>
  <c r="N24" i="9" s="1"/>
  <c r="N14" i="9"/>
  <c r="N12" i="9"/>
  <c r="N25" i="9"/>
  <c r="B13" i="9"/>
  <c r="K13" i="9"/>
  <c r="D47" i="9"/>
  <c r="D61" i="9" s="1"/>
  <c r="G52" i="9"/>
  <c r="I30" i="10" l="1"/>
  <c r="I14" i="11"/>
  <c r="I22" i="11" s="1"/>
  <c r="I25" i="11" s="1"/>
  <c r="I26" i="11" s="1"/>
  <c r="I27" i="11" s="1"/>
  <c r="I28" i="11"/>
  <c r="I24" i="10"/>
  <c r="I25" i="10" s="1"/>
  <c r="I23" i="11"/>
  <c r="D64" i="9"/>
  <c r="D63" i="9"/>
  <c r="C25" i="9" s="1"/>
  <c r="L28" i="9" s="1"/>
  <c r="N16" i="9"/>
  <c r="N17" i="9" s="1"/>
  <c r="N27" i="9" s="1"/>
  <c r="I29" i="11" l="1"/>
  <c r="I30" i="11" s="1"/>
  <c r="I27" i="10"/>
  <c r="I28" i="10" s="1"/>
  <c r="I29" i="10" s="1"/>
  <c r="I31" i="10" s="1"/>
  <c r="I32" i="10" s="1"/>
  <c r="N28" i="9"/>
  <c r="N30" i="9" s="1"/>
  <c r="N34" i="9" l="1"/>
  <c r="Z39" i="5" l="1"/>
  <c r="Z38" i="5"/>
  <c r="U39" i="5"/>
  <c r="U38" i="5"/>
  <c r="P39" i="5"/>
  <c r="P38" i="5"/>
  <c r="Y39" i="5"/>
  <c r="Y38" i="5"/>
  <c r="T39" i="5"/>
  <c r="T38" i="5"/>
  <c r="O39" i="5"/>
  <c r="O38" i="5"/>
  <c r="O37" i="5"/>
  <c r="T37" i="5"/>
  <c r="Y37" i="5"/>
  <c r="D40" i="5"/>
  <c r="I35" i="6" l="1"/>
  <c r="T28" i="6" l="1"/>
  <c r="R36" i="6" s="1"/>
  <c r="AB7" i="5" l="1"/>
  <c r="R38" i="6"/>
  <c r="U20" i="6"/>
  <c r="T27" i="6"/>
  <c r="U28" i="6"/>
  <c r="T26" i="6"/>
  <c r="U21" i="6"/>
  <c r="U19" i="6"/>
  <c r="F31" i="6"/>
  <c r="E31" i="6"/>
  <c r="E28" i="6"/>
  <c r="F27" i="6"/>
  <c r="G27" i="6" s="1"/>
  <c r="F24" i="6"/>
  <c r="F22" i="6"/>
  <c r="F21" i="6"/>
  <c r="F20" i="6"/>
  <c r="F19" i="6"/>
  <c r="F18" i="6"/>
  <c r="G18" i="6" s="1"/>
  <c r="H18" i="6" s="1"/>
  <c r="F17" i="6"/>
  <c r="G17" i="6" s="1"/>
  <c r="H17" i="6" s="1"/>
  <c r="F13" i="6"/>
  <c r="G13" i="6" s="1"/>
  <c r="H13" i="6" s="1"/>
  <c r="F10" i="6"/>
  <c r="G10" i="6" s="1"/>
  <c r="H10" i="6" s="1"/>
  <c r="F7" i="6"/>
  <c r="G7" i="6" s="1"/>
  <c r="H7" i="6" s="1"/>
  <c r="R6" i="6"/>
  <c r="Q6" i="6"/>
  <c r="F8" i="6" s="1"/>
  <c r="G8" i="6" s="1"/>
  <c r="H8" i="6" s="1"/>
  <c r="P6" i="6"/>
  <c r="F14" i="6" s="1"/>
  <c r="G14" i="6" s="1"/>
  <c r="H14" i="6" s="1"/>
  <c r="C6" i="6"/>
  <c r="F5" i="6"/>
  <c r="F4" i="6"/>
  <c r="M1" i="6"/>
  <c r="D35" i="5"/>
  <c r="AA27" i="5" s="1"/>
  <c r="U37" i="5"/>
  <c r="D38" i="5"/>
  <c r="AA30" i="5" s="1"/>
  <c r="Z37" i="5"/>
  <c r="D37" i="5"/>
  <c r="AA29" i="5" s="1"/>
  <c r="D34" i="5"/>
  <c r="Q26" i="5" s="1"/>
  <c r="AA26" i="5" s="1"/>
  <c r="AB26" i="5" s="1"/>
  <c r="D33" i="5"/>
  <c r="U22" i="5" s="1"/>
  <c r="Y30" i="5"/>
  <c r="T30" i="5"/>
  <c r="O30" i="5"/>
  <c r="H30" i="5"/>
  <c r="AA19" i="5" s="1"/>
  <c r="G30" i="5"/>
  <c r="V19" i="5" s="1"/>
  <c r="B30" i="5"/>
  <c r="Y29" i="5"/>
  <c r="T29" i="5"/>
  <c r="O29" i="5"/>
  <c r="H29" i="5"/>
  <c r="G29" i="5"/>
  <c r="V18" i="5" s="1"/>
  <c r="AA28" i="5"/>
  <c r="Y28" i="5"/>
  <c r="V28" i="5"/>
  <c r="T28" i="5"/>
  <c r="Q28" i="5"/>
  <c r="O28" i="5"/>
  <c r="H28" i="5"/>
  <c r="AA17" i="5" s="1"/>
  <c r="G28" i="5"/>
  <c r="V17" i="5" s="1"/>
  <c r="Y27" i="5"/>
  <c r="O27" i="5"/>
  <c r="T27" i="5" s="1"/>
  <c r="D27" i="5"/>
  <c r="D31" i="5" s="1"/>
  <c r="O26" i="5"/>
  <c r="T26" i="5" s="1"/>
  <c r="H26" i="5"/>
  <c r="G26" i="5"/>
  <c r="V15" i="5" s="1"/>
  <c r="H25" i="5"/>
  <c r="G25" i="5"/>
  <c r="V14" i="5" s="1"/>
  <c r="H24" i="5"/>
  <c r="G24" i="5"/>
  <c r="V13" i="5" s="1"/>
  <c r="H23" i="5"/>
  <c r="AA12" i="5" s="1"/>
  <c r="G23" i="5"/>
  <c r="V12" i="5" s="1"/>
  <c r="H22" i="5"/>
  <c r="G22" i="5"/>
  <c r="V11" i="5" s="1"/>
  <c r="H21" i="5"/>
  <c r="AA10" i="5" s="1"/>
  <c r="G21" i="5"/>
  <c r="V10" i="5" s="1"/>
  <c r="H20" i="5"/>
  <c r="G20" i="5"/>
  <c r="V9" i="5" s="1"/>
  <c r="Q19" i="5"/>
  <c r="O19" i="5"/>
  <c r="T19" i="5" s="1"/>
  <c r="Y19" i="5" s="1"/>
  <c r="AA18" i="5"/>
  <c r="Q18" i="5"/>
  <c r="O18" i="5"/>
  <c r="T18" i="5" s="1"/>
  <c r="Y18" i="5" s="1"/>
  <c r="Q17" i="5"/>
  <c r="O17" i="5"/>
  <c r="T17" i="5" s="1"/>
  <c r="Y17" i="5" s="1"/>
  <c r="O16" i="5"/>
  <c r="T16" i="5" s="1"/>
  <c r="Y16" i="5" s="1"/>
  <c r="D16" i="5"/>
  <c r="AA15" i="5"/>
  <c r="Q15" i="5"/>
  <c r="O15" i="5"/>
  <c r="T15" i="5" s="1"/>
  <c r="Y15" i="5" s="1"/>
  <c r="D15" i="5"/>
  <c r="AA14" i="5"/>
  <c r="Q14" i="5"/>
  <c r="O14" i="5"/>
  <c r="T14" i="5" s="1"/>
  <c r="Y14" i="5" s="1"/>
  <c r="D14" i="5"/>
  <c r="AA13" i="5"/>
  <c r="Q13" i="5"/>
  <c r="O13" i="5"/>
  <c r="T13" i="5" s="1"/>
  <c r="Y13" i="5" s="1"/>
  <c r="D13" i="5"/>
  <c r="Q12" i="5"/>
  <c r="O12" i="5"/>
  <c r="T12" i="5" s="1"/>
  <c r="Y12" i="5" s="1"/>
  <c r="D12" i="5"/>
  <c r="E12" i="5" s="1"/>
  <c r="F12" i="5" s="1"/>
  <c r="Q11" i="5"/>
  <c r="O11" i="5"/>
  <c r="T11" i="5" s="1"/>
  <c r="Y11" i="5" s="1"/>
  <c r="D11" i="5"/>
  <c r="Q10" i="5"/>
  <c r="O10" i="5"/>
  <c r="T10" i="5" s="1"/>
  <c r="Y10" i="5" s="1"/>
  <c r="D10" i="5"/>
  <c r="E10" i="5" s="1"/>
  <c r="F10" i="5" s="1"/>
  <c r="AA9" i="5"/>
  <c r="Q9" i="5"/>
  <c r="O9" i="5"/>
  <c r="T9" i="5" s="1"/>
  <c r="Y9" i="5" s="1"/>
  <c r="D9" i="5"/>
  <c r="D8" i="5"/>
  <c r="E8" i="5" s="1"/>
  <c r="F8" i="5" s="1"/>
  <c r="W7" i="5"/>
  <c r="R7" i="5"/>
  <c r="D7" i="5"/>
  <c r="AB6" i="5"/>
  <c r="W6" i="5"/>
  <c r="W28" i="5" s="1"/>
  <c r="R6" i="5"/>
  <c r="D6" i="5"/>
  <c r="E6" i="5" s="1"/>
  <c r="F6" i="5" s="1"/>
  <c r="Z10" i="5" l="1"/>
  <c r="AB10" i="5" s="1"/>
  <c r="E7" i="5"/>
  <c r="F7" i="5" s="1"/>
  <c r="Z12" i="5"/>
  <c r="E9" i="5"/>
  <c r="F9" i="5" s="1"/>
  <c r="U14" i="5"/>
  <c r="E11" i="5"/>
  <c r="F11" i="5" s="1"/>
  <c r="U16" i="5"/>
  <c r="E13" i="5"/>
  <c r="F13" i="5" s="1"/>
  <c r="U17" i="5"/>
  <c r="E14" i="5"/>
  <c r="F14" i="5" s="1"/>
  <c r="Z18" i="5"/>
  <c r="AB18" i="5" s="1"/>
  <c r="E15" i="5"/>
  <c r="F15" i="5" s="1"/>
  <c r="Z19" i="5"/>
  <c r="E16" i="5"/>
  <c r="F16" i="5" s="1"/>
  <c r="U26" i="6"/>
  <c r="P36" i="6"/>
  <c r="P38" i="6" s="1"/>
  <c r="U27" i="6"/>
  <c r="Q36" i="6"/>
  <c r="P22" i="5"/>
  <c r="R7" i="6"/>
  <c r="R8" i="6" s="1"/>
  <c r="G19" i="6"/>
  <c r="H19" i="6" s="1"/>
  <c r="G21" i="6"/>
  <c r="H21" i="6" s="1"/>
  <c r="E35" i="6"/>
  <c r="G31" i="6"/>
  <c r="H31" i="6" s="1"/>
  <c r="K31" i="6" s="1"/>
  <c r="P7" i="6"/>
  <c r="P8" i="6" s="1"/>
  <c r="I31" i="6"/>
  <c r="L31" i="6" s="1"/>
  <c r="J31" i="6"/>
  <c r="U22" i="6"/>
  <c r="M27" i="6"/>
  <c r="M26" i="6"/>
  <c r="M25" i="6"/>
  <c r="M24" i="6"/>
  <c r="M23" i="6"/>
  <c r="M22" i="6"/>
  <c r="M21" i="6"/>
  <c r="M20" i="6"/>
  <c r="M19" i="6"/>
  <c r="M18" i="6"/>
  <c r="M17" i="6"/>
  <c r="M13" i="6"/>
  <c r="M11" i="6"/>
  <c r="M10" i="6"/>
  <c r="M8" i="6"/>
  <c r="G4" i="6"/>
  <c r="M4" i="6"/>
  <c r="M7" i="6"/>
  <c r="M9" i="6"/>
  <c r="M12" i="6"/>
  <c r="M14" i="6"/>
  <c r="M15" i="6"/>
  <c r="M16" i="6"/>
  <c r="M31" i="6"/>
  <c r="M5" i="6"/>
  <c r="M6" i="6"/>
  <c r="F26" i="6"/>
  <c r="G26" i="6" s="1"/>
  <c r="H26" i="6" s="1"/>
  <c r="F25" i="6"/>
  <c r="F23" i="6"/>
  <c r="G23" i="6" s="1"/>
  <c r="H23" i="6" s="1"/>
  <c r="F9" i="6"/>
  <c r="G9" i="6" s="1"/>
  <c r="H9" i="6" s="1"/>
  <c r="F12" i="6"/>
  <c r="G12" i="6" s="1"/>
  <c r="H12" i="6" s="1"/>
  <c r="F15" i="6"/>
  <c r="G15" i="6" s="1"/>
  <c r="H15" i="6" s="1"/>
  <c r="F16" i="6"/>
  <c r="G16" i="6" s="1"/>
  <c r="H16" i="6" s="1"/>
  <c r="G24" i="6"/>
  <c r="H24" i="6" s="1"/>
  <c r="H27" i="6"/>
  <c r="Z22" i="5"/>
  <c r="W14" i="5"/>
  <c r="AB27" i="5"/>
  <c r="AB12" i="5"/>
  <c r="Q27" i="5"/>
  <c r="V27" i="5"/>
  <c r="H27" i="5"/>
  <c r="AA16" i="5" s="1"/>
  <c r="R26" i="5"/>
  <c r="P37" i="5"/>
  <c r="Z14" i="5"/>
  <c r="AB14" i="5" s="1"/>
  <c r="AB19" i="5"/>
  <c r="R27" i="5"/>
  <c r="P17" i="5"/>
  <c r="R17" i="5" s="1"/>
  <c r="U10" i="5"/>
  <c r="W10" i="5" s="1"/>
  <c r="P12" i="5"/>
  <c r="R12" i="5" s="1"/>
  <c r="U12" i="5"/>
  <c r="W12" i="5" s="1"/>
  <c r="W17" i="5"/>
  <c r="P14" i="5"/>
  <c r="R14" i="5" s="1"/>
  <c r="Q16" i="5"/>
  <c r="Q20" i="5" s="1"/>
  <c r="Z16" i="5"/>
  <c r="Z17" i="5"/>
  <c r="AB17" i="5" s="1"/>
  <c r="P18" i="5"/>
  <c r="R18" i="5" s="1"/>
  <c r="U18" i="5"/>
  <c r="W18" i="5" s="1"/>
  <c r="V26" i="5"/>
  <c r="W26" i="5" s="1"/>
  <c r="R28" i="5"/>
  <c r="AB28" i="5"/>
  <c r="Q29" i="5"/>
  <c r="V29" i="5"/>
  <c r="V30" i="5"/>
  <c r="P16" i="5"/>
  <c r="W27" i="5"/>
  <c r="Z15" i="5"/>
  <c r="AB15" i="5" s="1"/>
  <c r="U15" i="5"/>
  <c r="W15" i="5" s="1"/>
  <c r="P15" i="5"/>
  <c r="R15" i="5" s="1"/>
  <c r="P19" i="5"/>
  <c r="R19" i="5" s="1"/>
  <c r="Y26" i="5"/>
  <c r="Z9" i="5"/>
  <c r="AB9" i="5" s="1"/>
  <c r="U9" i="5"/>
  <c r="W9" i="5" s="1"/>
  <c r="P9" i="5"/>
  <c r="R9" i="5" s="1"/>
  <c r="Z11" i="5"/>
  <c r="U11" i="5"/>
  <c r="W11" i="5" s="1"/>
  <c r="P11" i="5"/>
  <c r="R11" i="5" s="1"/>
  <c r="Z13" i="5"/>
  <c r="AB13" i="5" s="1"/>
  <c r="U13" i="5"/>
  <c r="W13" i="5" s="1"/>
  <c r="P13" i="5"/>
  <c r="R13" i="5" s="1"/>
  <c r="P10" i="5"/>
  <c r="R10" i="5" s="1"/>
  <c r="AA11" i="5"/>
  <c r="U19" i="5"/>
  <c r="W19" i="5" s="1"/>
  <c r="G27" i="5"/>
  <c r="V16" i="5" s="1"/>
  <c r="W16" i="5" s="1"/>
  <c r="Q30" i="5"/>
  <c r="N5" i="6" l="1"/>
  <c r="O5" i="6"/>
  <c r="N14" i="6"/>
  <c r="O14" i="6"/>
  <c r="N9" i="6"/>
  <c r="O9" i="6"/>
  <c r="N8" i="6"/>
  <c r="O8" i="6"/>
  <c r="N11" i="6"/>
  <c r="O11" i="6"/>
  <c r="N19" i="6"/>
  <c r="O19" i="6"/>
  <c r="N21" i="6"/>
  <c r="O21" i="6"/>
  <c r="N23" i="6"/>
  <c r="O23" i="6"/>
  <c r="N27" i="6"/>
  <c r="O27" i="6"/>
  <c r="N6" i="6"/>
  <c r="O6" i="6"/>
  <c r="N31" i="6"/>
  <c r="O31" i="6"/>
  <c r="N15" i="6"/>
  <c r="O15" i="6"/>
  <c r="N12" i="6"/>
  <c r="O12" i="6"/>
  <c r="N7" i="6"/>
  <c r="O7" i="6"/>
  <c r="N10" i="6"/>
  <c r="O10" i="6"/>
  <c r="N13" i="6"/>
  <c r="O13" i="6"/>
  <c r="N18" i="6"/>
  <c r="O18" i="6"/>
  <c r="N20" i="6"/>
  <c r="O20" i="6"/>
  <c r="N22" i="6"/>
  <c r="O22" i="6"/>
  <c r="N24" i="6"/>
  <c r="O24" i="6"/>
  <c r="N26" i="6"/>
  <c r="O26" i="6"/>
  <c r="N16" i="6"/>
  <c r="O16" i="6"/>
  <c r="N4" i="6"/>
  <c r="N28" i="6" s="1"/>
  <c r="O4" i="6"/>
  <c r="N17" i="6"/>
  <c r="O17" i="6"/>
  <c r="N25" i="6"/>
  <c r="O25" i="6"/>
  <c r="U29" i="6"/>
  <c r="U30" i="6" s="1"/>
  <c r="Q7" i="6"/>
  <c r="Q8" i="6" s="1"/>
  <c r="Q38" i="6"/>
  <c r="AB16" i="5"/>
  <c r="U34" i="6"/>
  <c r="U35" i="6" s="1"/>
  <c r="F28" i="6"/>
  <c r="F35" i="6" s="1"/>
  <c r="D81" i="6" s="1"/>
  <c r="G28" i="6"/>
  <c r="H4" i="6"/>
  <c r="H31" i="5"/>
  <c r="AA20" i="5"/>
  <c r="AB30" i="5" s="1"/>
  <c r="R29" i="5"/>
  <c r="R16" i="5"/>
  <c r="R20" i="5" s="1"/>
  <c r="R30" i="5"/>
  <c r="R31" i="5" s="1"/>
  <c r="AB29" i="5"/>
  <c r="AB11" i="5"/>
  <c r="W20" i="5"/>
  <c r="V20" i="5"/>
  <c r="G31" i="5"/>
  <c r="O28" i="6" l="1"/>
  <c r="O33" i="6" s="1"/>
  <c r="D84" i="6" s="1"/>
  <c r="AB20" i="5"/>
  <c r="G35" i="6"/>
  <c r="H28" i="6"/>
  <c r="AB31" i="5"/>
  <c r="R22" i="5"/>
  <c r="R23" i="5" s="1"/>
  <c r="R33" i="5" s="1"/>
  <c r="W22" i="5"/>
  <c r="W23" i="5" s="1"/>
  <c r="AB22" i="5"/>
  <c r="AB23" i="5" s="1"/>
  <c r="W29" i="5"/>
  <c r="W30" i="5"/>
  <c r="P79" i="6" l="1"/>
  <c r="Q79" i="6"/>
  <c r="H35" i="6"/>
  <c r="AB33" i="5"/>
  <c r="W31" i="5"/>
  <c r="W33" i="5" s="1"/>
  <c r="W34" i="5" s="1"/>
  <c r="W36" i="5" s="1"/>
  <c r="W37" i="5" s="1"/>
  <c r="W38" i="5" s="1"/>
  <c r="W40" i="5" s="1"/>
  <c r="W41" i="5" s="1"/>
  <c r="AB34" i="5"/>
  <c r="AB36" i="5" s="1"/>
  <c r="AB37" i="5" s="1"/>
  <c r="AB38" i="5" s="1"/>
  <c r="AB40" i="5" s="1"/>
  <c r="AB41" i="5" s="1"/>
  <c r="R34" i="5"/>
  <c r="R36" i="5" s="1"/>
  <c r="R37" i="5" s="1"/>
  <c r="R38" i="5" s="1"/>
  <c r="R40" i="5" s="1"/>
  <c r="R41" i="5" s="1"/>
  <c r="R79" i="6" l="1"/>
  <c r="Q121" i="6"/>
  <c r="Q82" i="6"/>
  <c r="R11" i="6" l="1"/>
  <c r="I27" i="6"/>
  <c r="I25" i="6"/>
  <c r="L25" i="6" s="1"/>
  <c r="I23" i="6"/>
  <c r="I18" i="6"/>
  <c r="I16" i="6"/>
  <c r="I14" i="6"/>
  <c r="I9" i="6"/>
  <c r="I6" i="6"/>
  <c r="L6" i="6" s="1"/>
  <c r="I26" i="6"/>
  <c r="I24" i="6"/>
  <c r="I20" i="6"/>
  <c r="L20" i="6" s="1"/>
  <c r="I17" i="6"/>
  <c r="I15" i="6"/>
  <c r="I12" i="6"/>
  <c r="I4" i="6"/>
  <c r="L4" i="6" s="1"/>
  <c r="I7" i="6"/>
  <c r="R13" i="6"/>
  <c r="I19" i="6"/>
  <c r="L19" i="6" s="1"/>
  <c r="I21" i="6"/>
  <c r="L21" i="6" s="1"/>
  <c r="I8" i="6"/>
  <c r="R12" i="6"/>
  <c r="I22" i="6"/>
  <c r="L22" i="6" s="1"/>
  <c r="I13" i="6"/>
  <c r="I11" i="6"/>
  <c r="J10" i="6" l="1"/>
  <c r="K10" i="6" s="1"/>
  <c r="L11" i="6"/>
  <c r="J8" i="6"/>
  <c r="K8" i="6" s="1"/>
  <c r="L8" i="6"/>
  <c r="J7" i="6"/>
  <c r="K7" i="6" s="1"/>
  <c r="L7" i="6"/>
  <c r="J12" i="6"/>
  <c r="K12" i="6" s="1"/>
  <c r="L12" i="6"/>
  <c r="J17" i="6"/>
  <c r="K17" i="6" s="1"/>
  <c r="L17" i="6"/>
  <c r="J24" i="6"/>
  <c r="K24" i="6" s="1"/>
  <c r="L24" i="6"/>
  <c r="J14" i="6"/>
  <c r="K14" i="6" s="1"/>
  <c r="L14" i="6"/>
  <c r="J18" i="6"/>
  <c r="K18" i="6" s="1"/>
  <c r="L18" i="6"/>
  <c r="J13" i="6"/>
  <c r="K13" i="6" s="1"/>
  <c r="L13" i="6"/>
  <c r="J15" i="6"/>
  <c r="K15" i="6" s="1"/>
  <c r="L15" i="6"/>
  <c r="J26" i="6"/>
  <c r="K26" i="6" s="1"/>
  <c r="L26" i="6"/>
  <c r="J9" i="6"/>
  <c r="K9" i="6" s="1"/>
  <c r="L9" i="6"/>
  <c r="J16" i="6"/>
  <c r="K16" i="6" s="1"/>
  <c r="L16" i="6"/>
  <c r="J23" i="6"/>
  <c r="K23" i="6" s="1"/>
  <c r="L23" i="6"/>
  <c r="J27" i="6"/>
  <c r="K27" i="6" s="1"/>
  <c r="L27" i="6"/>
  <c r="R14" i="6"/>
  <c r="J21" i="6"/>
  <c r="K21" i="6" s="1"/>
  <c r="J4" i="6"/>
  <c r="I28" i="6"/>
  <c r="J19" i="6"/>
  <c r="K19" i="6" s="1"/>
  <c r="L28" i="6" l="1"/>
  <c r="L35" i="6" s="1"/>
  <c r="D82" i="6"/>
  <c r="K4" i="6"/>
  <c r="J28" i="6"/>
  <c r="D83" i="6" l="1"/>
  <c r="D85" i="6" s="1"/>
  <c r="D86" i="6" s="1"/>
  <c r="K28" i="6"/>
  <c r="J35" i="6"/>
  <c r="K35" i="6" s="1"/>
  <c r="D40" i="2" l="1"/>
  <c r="S37" i="2" s="1"/>
  <c r="D38" i="2"/>
  <c r="Y30" i="2" s="1"/>
  <c r="X37" i="2"/>
  <c r="D37" i="2"/>
  <c r="Y29" i="2" s="1"/>
  <c r="D35" i="2"/>
  <c r="Y27" i="2" s="1"/>
  <c r="D34" i="2"/>
  <c r="O26" i="2" s="1"/>
  <c r="Y26" i="2" s="1"/>
  <c r="Z26" i="2" s="1"/>
  <c r="D33" i="2"/>
  <c r="S22" i="2" s="1"/>
  <c r="W30" i="2"/>
  <c r="T30" i="2"/>
  <c r="R30" i="2"/>
  <c r="M30" i="2"/>
  <c r="F30" i="2"/>
  <c r="E30" i="2"/>
  <c r="T19" i="2" s="1"/>
  <c r="B30" i="2"/>
  <c r="W29" i="2"/>
  <c r="R29" i="2"/>
  <c r="M29" i="2"/>
  <c r="F29" i="2"/>
  <c r="E29" i="2"/>
  <c r="T18" i="2" s="1"/>
  <c r="Y28" i="2"/>
  <c r="W28" i="2"/>
  <c r="T28" i="2"/>
  <c r="R28" i="2"/>
  <c r="O28" i="2"/>
  <c r="M28" i="2"/>
  <c r="F28" i="2"/>
  <c r="Y17" i="2" s="1"/>
  <c r="E28" i="2"/>
  <c r="W27" i="2"/>
  <c r="M27" i="2"/>
  <c r="R27" i="2" s="1"/>
  <c r="D27" i="2"/>
  <c r="D31" i="2" s="1"/>
  <c r="M26" i="2"/>
  <c r="R26" i="2" s="1"/>
  <c r="F26" i="2"/>
  <c r="E26" i="2"/>
  <c r="T15" i="2" s="1"/>
  <c r="F25" i="2"/>
  <c r="E25" i="2"/>
  <c r="T14" i="2" s="1"/>
  <c r="F24" i="2"/>
  <c r="E24" i="2"/>
  <c r="T13" i="2" s="1"/>
  <c r="F23" i="2"/>
  <c r="Y12" i="2" s="1"/>
  <c r="E23" i="2"/>
  <c r="T12" i="2" s="1"/>
  <c r="F22" i="2"/>
  <c r="E22" i="2"/>
  <c r="T11" i="2" s="1"/>
  <c r="F21" i="2"/>
  <c r="Y10" i="2" s="1"/>
  <c r="E21" i="2"/>
  <c r="T10" i="2" s="1"/>
  <c r="F20" i="2"/>
  <c r="E20" i="2"/>
  <c r="T9" i="2" s="1"/>
  <c r="Y19" i="2"/>
  <c r="O19" i="2"/>
  <c r="M19" i="2"/>
  <c r="R19" i="2" s="1"/>
  <c r="W19" i="2" s="1"/>
  <c r="Y18" i="2"/>
  <c r="O18" i="2"/>
  <c r="M18" i="2"/>
  <c r="R18" i="2" s="1"/>
  <c r="W18" i="2" s="1"/>
  <c r="T17" i="2"/>
  <c r="O17" i="2"/>
  <c r="M17" i="2"/>
  <c r="R17" i="2" s="1"/>
  <c r="W17" i="2" s="1"/>
  <c r="M16" i="2"/>
  <c r="R16" i="2" s="1"/>
  <c r="W16" i="2" s="1"/>
  <c r="D16" i="2"/>
  <c r="X19" i="2" s="1"/>
  <c r="Z19" i="2" s="1"/>
  <c r="Y15" i="2"/>
  <c r="O15" i="2"/>
  <c r="M15" i="2"/>
  <c r="R15" i="2" s="1"/>
  <c r="W15" i="2" s="1"/>
  <c r="D15" i="2"/>
  <c r="X18" i="2" s="1"/>
  <c r="Y14" i="2"/>
  <c r="O14" i="2"/>
  <c r="M14" i="2"/>
  <c r="R14" i="2" s="1"/>
  <c r="W14" i="2" s="1"/>
  <c r="D14" i="2"/>
  <c r="S17" i="2" s="1"/>
  <c r="U17" i="2" s="1"/>
  <c r="Y13" i="2"/>
  <c r="O13" i="2"/>
  <c r="M13" i="2"/>
  <c r="R13" i="2" s="1"/>
  <c r="W13" i="2" s="1"/>
  <c r="D13" i="2"/>
  <c r="S16" i="2" s="1"/>
  <c r="O12" i="2"/>
  <c r="M12" i="2"/>
  <c r="R12" i="2" s="1"/>
  <c r="W12" i="2" s="1"/>
  <c r="D12" i="2"/>
  <c r="O11" i="2"/>
  <c r="M11" i="2"/>
  <c r="R11" i="2" s="1"/>
  <c r="W11" i="2" s="1"/>
  <c r="D11" i="2"/>
  <c r="S14" i="2" s="1"/>
  <c r="U14" i="2" s="1"/>
  <c r="O10" i="2"/>
  <c r="M10" i="2"/>
  <c r="R10" i="2" s="1"/>
  <c r="W10" i="2" s="1"/>
  <c r="D10" i="2"/>
  <c r="Y9" i="2"/>
  <c r="O9" i="2"/>
  <c r="M9" i="2"/>
  <c r="R9" i="2" s="1"/>
  <c r="W9" i="2" s="1"/>
  <c r="D9" i="2"/>
  <c r="X12" i="2" s="1"/>
  <c r="Z12" i="2" s="1"/>
  <c r="D8" i="2"/>
  <c r="Z7" i="2"/>
  <c r="U7" i="2"/>
  <c r="P7" i="2"/>
  <c r="D7" i="2"/>
  <c r="X10" i="2" s="1"/>
  <c r="Z10" i="2" s="1"/>
  <c r="Z6" i="2"/>
  <c r="U6" i="2"/>
  <c r="P6" i="2"/>
  <c r="D6" i="2"/>
  <c r="F31" i="1"/>
  <c r="E31" i="1"/>
  <c r="E28" i="1"/>
  <c r="F27" i="1"/>
  <c r="K27" i="1" s="1"/>
  <c r="F24" i="1"/>
  <c r="F22" i="1"/>
  <c r="F21" i="1"/>
  <c r="F20" i="1"/>
  <c r="F19" i="1"/>
  <c r="F18" i="1"/>
  <c r="J18" i="1" s="1"/>
  <c r="K18" i="1" s="1"/>
  <c r="F17" i="1"/>
  <c r="J17" i="1" s="1"/>
  <c r="K17" i="1" s="1"/>
  <c r="F13" i="1"/>
  <c r="J13" i="1" s="1"/>
  <c r="K13" i="1" s="1"/>
  <c r="O11" i="1"/>
  <c r="P11" i="1" s="1"/>
  <c r="F10" i="1"/>
  <c r="J10" i="1" s="1"/>
  <c r="K10" i="1" s="1"/>
  <c r="F7" i="1"/>
  <c r="J7" i="1" s="1"/>
  <c r="K7" i="1" s="1"/>
  <c r="Q6" i="1"/>
  <c r="P6" i="1"/>
  <c r="F8" i="1" s="1"/>
  <c r="J8" i="1" s="1"/>
  <c r="K8" i="1" s="1"/>
  <c r="O6" i="1"/>
  <c r="F25" i="1" s="1"/>
  <c r="J24" i="1" s="1"/>
  <c r="K24" i="1" s="1"/>
  <c r="C6" i="1"/>
  <c r="F5" i="1"/>
  <c r="F4" i="1"/>
  <c r="L1" i="1"/>
  <c r="L26" i="1" s="1"/>
  <c r="M26" i="1" s="1"/>
  <c r="N22" i="2" l="1"/>
  <c r="J4" i="1"/>
  <c r="K4" i="1" s="1"/>
  <c r="O29" i="2"/>
  <c r="T29" i="2"/>
  <c r="N37" i="2"/>
  <c r="S10" i="2"/>
  <c r="U10" i="2" s="1"/>
  <c r="X16" i="2"/>
  <c r="P28" i="2"/>
  <c r="Z28" i="2"/>
  <c r="Z27" i="2"/>
  <c r="U28" i="2"/>
  <c r="Z18" i="2"/>
  <c r="O16" i="2"/>
  <c r="O20" i="2" s="1"/>
  <c r="N18" i="2"/>
  <c r="P18" i="2" s="1"/>
  <c r="S18" i="2"/>
  <c r="U18" i="2" s="1"/>
  <c r="F27" i="2"/>
  <c r="Y16" i="2" s="1"/>
  <c r="X22" i="2"/>
  <c r="S12" i="2"/>
  <c r="U12" i="2" s="1"/>
  <c r="X14" i="2"/>
  <c r="Z14" i="2" s="1"/>
  <c r="N16" i="2"/>
  <c r="N17" i="2"/>
  <c r="P17" i="2" s="1"/>
  <c r="P26" i="2"/>
  <c r="O27" i="2"/>
  <c r="P27" i="2" s="1"/>
  <c r="T27" i="2"/>
  <c r="U27" i="2" s="1"/>
  <c r="N12" i="2"/>
  <c r="P12" i="2" s="1"/>
  <c r="N14" i="2"/>
  <c r="P14" i="2" s="1"/>
  <c r="X17" i="2"/>
  <c r="Z17" i="2" s="1"/>
  <c r="T26" i="2"/>
  <c r="U26" i="2" s="1"/>
  <c r="X15" i="2"/>
  <c r="Z15" i="2" s="1"/>
  <c r="S15" i="2"/>
  <c r="U15" i="2" s="1"/>
  <c r="N15" i="2"/>
  <c r="P15" i="2" s="1"/>
  <c r="N19" i="2"/>
  <c r="P19" i="2" s="1"/>
  <c r="W26" i="2"/>
  <c r="X9" i="2"/>
  <c r="Z9" i="2" s="1"/>
  <c r="S9" i="2"/>
  <c r="U9" i="2" s="1"/>
  <c r="N9" i="2"/>
  <c r="P9" i="2" s="1"/>
  <c r="X11" i="2"/>
  <c r="S11" i="2"/>
  <c r="U11" i="2" s="1"/>
  <c r="N11" i="2"/>
  <c r="P11" i="2" s="1"/>
  <c r="X13" i="2"/>
  <c r="Z13" i="2" s="1"/>
  <c r="S13" i="2"/>
  <c r="U13" i="2" s="1"/>
  <c r="N13" i="2"/>
  <c r="P13" i="2" s="1"/>
  <c r="N10" i="2"/>
  <c r="P10" i="2" s="1"/>
  <c r="Y11" i="2"/>
  <c r="Y20" i="2" s="1"/>
  <c r="S19" i="2"/>
  <c r="U19" i="2" s="1"/>
  <c r="F31" i="2"/>
  <c r="E27" i="2"/>
  <c r="T16" i="2" s="1"/>
  <c r="U16" i="2" s="1"/>
  <c r="O30" i="2"/>
  <c r="J19" i="1"/>
  <c r="K19" i="1" s="1"/>
  <c r="J21" i="1"/>
  <c r="K21" i="1" s="1"/>
  <c r="E35" i="1"/>
  <c r="L31" i="1"/>
  <c r="M31" i="1" s="1"/>
  <c r="L5" i="1"/>
  <c r="M5" i="1" s="1"/>
  <c r="L8" i="1"/>
  <c r="M8" i="1" s="1"/>
  <c r="F9" i="1"/>
  <c r="J9" i="1" s="1"/>
  <c r="K9" i="1" s="1"/>
  <c r="L10" i="1"/>
  <c r="M10" i="1" s="1"/>
  <c r="L11" i="1"/>
  <c r="M11" i="1" s="1"/>
  <c r="F12" i="1"/>
  <c r="J12" i="1" s="1"/>
  <c r="K12" i="1" s="1"/>
  <c r="L13" i="1"/>
  <c r="M13" i="1" s="1"/>
  <c r="F14" i="1"/>
  <c r="J14" i="1" s="1"/>
  <c r="K14" i="1" s="1"/>
  <c r="L15" i="1"/>
  <c r="M15" i="1" s="1"/>
  <c r="F16" i="1"/>
  <c r="J16" i="1" s="1"/>
  <c r="K16" i="1" s="1"/>
  <c r="L17" i="1"/>
  <c r="M17" i="1" s="1"/>
  <c r="L19" i="1"/>
  <c r="M19" i="1" s="1"/>
  <c r="L21" i="1"/>
  <c r="M21" i="1" s="1"/>
  <c r="L23" i="1"/>
  <c r="M23" i="1" s="1"/>
  <c r="L25" i="1"/>
  <c r="M25" i="1" s="1"/>
  <c r="F26" i="1"/>
  <c r="J26" i="1" s="1"/>
  <c r="K26" i="1" s="1"/>
  <c r="J27" i="1"/>
  <c r="L27" i="1"/>
  <c r="M27" i="1" s="1"/>
  <c r="L4" i="1"/>
  <c r="M4" i="1" s="1"/>
  <c r="L6" i="1"/>
  <c r="M6" i="1" s="1"/>
  <c r="L7" i="1"/>
  <c r="M7" i="1" s="1"/>
  <c r="L9" i="1"/>
  <c r="M9" i="1" s="1"/>
  <c r="L12" i="1"/>
  <c r="M12" i="1" s="1"/>
  <c r="L14" i="1"/>
  <c r="M14" i="1" s="1"/>
  <c r="F15" i="1"/>
  <c r="J15" i="1" s="1"/>
  <c r="K15" i="1" s="1"/>
  <c r="L16" i="1"/>
  <c r="M16" i="1" s="1"/>
  <c r="L18" i="1"/>
  <c r="M18" i="1" s="1"/>
  <c r="L20" i="1"/>
  <c r="M20" i="1" s="1"/>
  <c r="L22" i="1"/>
  <c r="M22" i="1" s="1"/>
  <c r="F23" i="1"/>
  <c r="J23" i="1" s="1"/>
  <c r="K23" i="1" s="1"/>
  <c r="L24" i="1"/>
  <c r="M24" i="1" s="1"/>
  <c r="J31" i="1"/>
  <c r="K31" i="1" s="1"/>
  <c r="Z11" i="2" l="1"/>
  <c r="P29" i="2"/>
  <c r="Z16" i="2"/>
  <c r="P30" i="2"/>
  <c r="P31" i="2" s="1"/>
  <c r="P16" i="2"/>
  <c r="P20" i="2" s="1"/>
  <c r="T20" i="2"/>
  <c r="Z29" i="2"/>
  <c r="Z30" i="2"/>
  <c r="U20" i="2"/>
  <c r="E31" i="2"/>
  <c r="J28" i="1"/>
  <c r="M28" i="1"/>
  <c r="F28" i="1"/>
  <c r="F35" i="1" s="1"/>
  <c r="Z20" i="2" l="1"/>
  <c r="U29" i="2"/>
  <c r="U30" i="2"/>
  <c r="P22" i="2"/>
  <c r="P23" i="2" s="1"/>
  <c r="P33" i="2" s="1"/>
  <c r="Z22" i="2"/>
  <c r="Z23" i="2" s="1"/>
  <c r="U22" i="2"/>
  <c r="U23" i="2" s="1"/>
  <c r="Z31" i="2"/>
  <c r="J35" i="1"/>
  <c r="K28" i="1"/>
  <c r="U33" i="2" l="1"/>
  <c r="U31" i="2"/>
  <c r="Z33" i="2"/>
  <c r="Z34" i="2" s="1"/>
  <c r="Z36" i="2" s="1"/>
  <c r="Z37" i="2" s="1"/>
  <c r="U34" i="2"/>
  <c r="U36" i="2" s="1"/>
  <c r="U37" i="2" s="1"/>
  <c r="P34" i="2"/>
  <c r="P36" i="2" s="1"/>
  <c r="P37" i="2" s="1"/>
  <c r="O35" i="1"/>
  <c r="P35" i="1"/>
  <c r="K35" i="1"/>
  <c r="Q35" i="1" l="1"/>
  <c r="U39" i="2"/>
  <c r="U43" i="2" s="1"/>
  <c r="U44" i="2" s="1"/>
  <c r="U38" i="2"/>
  <c r="P38" i="2"/>
  <c r="P39" i="2"/>
  <c r="P43" i="2" s="1"/>
  <c r="P44" i="2" s="1"/>
  <c r="Z38" i="2"/>
  <c r="Z39" i="2"/>
  <c r="Z43" i="2" s="1"/>
  <c r="Z44" i="2" s="1"/>
  <c r="P77" i="1"/>
  <c r="P38" i="1"/>
  <c r="Q19" i="6" l="1"/>
  <c r="R19" i="6" s="1"/>
  <c r="P7" i="1"/>
  <c r="Q20" i="6"/>
  <c r="R20" i="6" s="1"/>
  <c r="Q7" i="1"/>
  <c r="Q18" i="6"/>
  <c r="R18" i="6" s="1"/>
  <c r="O7" i="1"/>
  <c r="R21" i="6" l="1"/>
  <c r="T10" i="1"/>
  <c r="O8" i="1"/>
  <c r="T12" i="1"/>
  <c r="Q8" i="1"/>
  <c r="G19" i="1" s="1"/>
  <c r="T11" i="1"/>
  <c r="P8" i="1"/>
  <c r="G21" i="1" l="1"/>
  <c r="G11" i="1"/>
  <c r="H10" i="1" s="1"/>
  <c r="I10" i="1" s="1"/>
  <c r="G22" i="1"/>
  <c r="G13" i="1"/>
  <c r="H13" i="1" s="1"/>
  <c r="I13" i="1" s="1"/>
  <c r="G8" i="1"/>
  <c r="H8" i="1" s="1"/>
  <c r="I8" i="1" s="1"/>
  <c r="G24" i="1"/>
  <c r="G18" i="1"/>
  <c r="H18" i="1" s="1"/>
  <c r="I18" i="1" s="1"/>
  <c r="G14" i="1"/>
  <c r="H14" i="1" s="1"/>
  <c r="I14" i="1" s="1"/>
  <c r="G9" i="1"/>
  <c r="H9" i="1" s="1"/>
  <c r="I9" i="1" s="1"/>
  <c r="G4" i="1"/>
  <c r="G25" i="1"/>
  <c r="G17" i="1"/>
  <c r="H17" i="1" s="1"/>
  <c r="I17" i="1" s="1"/>
  <c r="G6" i="1"/>
  <c r="G26" i="1"/>
  <c r="H26" i="1" s="1"/>
  <c r="I26" i="1" s="1"/>
  <c r="G20" i="1"/>
  <c r="H19" i="1" s="1"/>
  <c r="I19" i="1" s="1"/>
  <c r="G16" i="1"/>
  <c r="H16" i="1" s="1"/>
  <c r="I16" i="1" s="1"/>
  <c r="G12" i="1"/>
  <c r="H12" i="1" s="1"/>
  <c r="I12" i="1" s="1"/>
  <c r="G7" i="1"/>
  <c r="H7" i="1" s="1"/>
  <c r="I7" i="1" s="1"/>
  <c r="G27" i="1"/>
  <c r="H27" i="1" s="1"/>
  <c r="I27" i="1" s="1"/>
  <c r="G23" i="1"/>
  <c r="H23" i="1" s="1"/>
  <c r="I23" i="1" s="1"/>
  <c r="G15" i="1"/>
  <c r="H15" i="1" s="1"/>
  <c r="I15" i="1" s="1"/>
  <c r="T13" i="1"/>
  <c r="H4" i="1" l="1"/>
  <c r="G28" i="1"/>
  <c r="G29" i="1" s="1"/>
  <c r="G35" i="1" s="1"/>
  <c r="H35" i="1" s="1"/>
  <c r="I35" i="1" s="1"/>
  <c r="H24" i="1"/>
  <c r="I24" i="1" s="1"/>
  <c r="H21" i="1"/>
  <c r="I21" i="1" s="1"/>
  <c r="H28" i="1" l="1"/>
  <c r="I28" i="1" s="1"/>
  <c r="I4" i="1"/>
</calcChain>
</file>

<file path=xl/comments1.xml><?xml version="1.0" encoding="utf-8"?>
<comments xmlns="http://schemas.openxmlformats.org/spreadsheetml/2006/main">
  <authors>
    <author>kara</author>
  </authors>
  <commentList>
    <comment ref="P7" authorId="0">
      <text>
        <r>
          <rPr>
            <b/>
            <sz val="9"/>
            <color indexed="81"/>
            <rFont val="Tahoma"/>
            <family val="2"/>
          </rPr>
          <t>kara:</t>
        </r>
        <r>
          <rPr>
            <sz val="9"/>
            <color indexed="81"/>
            <rFont val="Tahoma"/>
            <family val="2"/>
          </rPr>
          <t xml:space="preserve">
capacity x 365  days / 3  (8 hours per day)
</t>
        </r>
      </text>
    </comment>
    <comment ref="U7" authorId="0">
      <text>
        <r>
          <rPr>
            <b/>
            <sz val="9"/>
            <color indexed="81"/>
            <rFont val="Tahoma"/>
            <family val="2"/>
          </rPr>
          <t>kara:</t>
        </r>
        <r>
          <rPr>
            <sz val="9"/>
            <color indexed="81"/>
            <rFont val="Tahoma"/>
            <family val="2"/>
          </rPr>
          <t xml:space="preserve">
capacity x 365 days) / 3 (8 hours per day)</t>
        </r>
      </text>
    </comment>
    <comment ref="Z7" authorId="0">
      <text>
        <r>
          <rPr>
            <b/>
            <sz val="9"/>
            <color indexed="81"/>
            <rFont val="Tahoma"/>
            <family val="2"/>
          </rPr>
          <t>kara:</t>
        </r>
        <r>
          <rPr>
            <sz val="9"/>
            <color indexed="81"/>
            <rFont val="Tahoma"/>
            <family val="2"/>
          </rPr>
          <t xml:space="preserve">
capacity x 365 days / 3 (8 hours per day)
</t>
        </r>
      </text>
    </comment>
  </commentList>
</comments>
</file>

<file path=xl/comments2.xml><?xml version="1.0" encoding="utf-8"?>
<comments xmlns="http://schemas.openxmlformats.org/spreadsheetml/2006/main">
  <authors>
    <author>kara</author>
  </authors>
  <commentList>
    <comment ref="F12" authorId="0">
      <text>
        <r>
          <rPr>
            <b/>
            <sz val="9"/>
            <color indexed="81"/>
            <rFont val="Tahoma"/>
            <family val="2"/>
          </rPr>
          <t>kara:</t>
        </r>
        <r>
          <rPr>
            <sz val="9"/>
            <color indexed="81"/>
            <rFont val="Tahoma"/>
            <family val="2"/>
          </rPr>
          <t xml:space="preserve">
DMH to expand capacity to mobile with this rate.
</t>
        </r>
      </text>
    </comment>
  </commentList>
</comments>
</file>

<file path=xl/comments3.xml><?xml version="1.0" encoding="utf-8"?>
<comments xmlns="http://schemas.openxmlformats.org/spreadsheetml/2006/main">
  <authors>
    <author>kara</author>
  </authors>
  <commentList>
    <comment ref="Z5" authorId="0">
      <text>
        <r>
          <rPr>
            <b/>
            <sz val="9"/>
            <color indexed="81"/>
            <rFont val="Tahoma"/>
            <family val="2"/>
          </rPr>
          <t>kara:</t>
        </r>
        <r>
          <rPr>
            <sz val="9"/>
            <color indexed="81"/>
            <rFont val="Tahoma"/>
            <family val="2"/>
          </rPr>
          <t xml:space="preserve">
80% of 16 Capacity = 13 plus 80% of Mobile capacity of 40 = 32
Maximum Model Capacity = 45</t>
        </r>
      </text>
    </comment>
    <comment ref="R7" authorId="0">
      <text>
        <r>
          <rPr>
            <b/>
            <sz val="9"/>
            <color indexed="81"/>
            <rFont val="Tahoma"/>
            <family val="2"/>
          </rPr>
          <t>kara:</t>
        </r>
        <r>
          <rPr>
            <sz val="9"/>
            <color indexed="81"/>
            <rFont val="Tahoma"/>
            <family val="2"/>
          </rPr>
          <t xml:space="preserve">
capacity x 365  days / 3  (8 hours per day)
</t>
        </r>
      </text>
    </comment>
    <comment ref="W7" authorId="0">
      <text>
        <r>
          <rPr>
            <b/>
            <sz val="9"/>
            <color indexed="81"/>
            <rFont val="Tahoma"/>
            <family val="2"/>
          </rPr>
          <t>kara:</t>
        </r>
        <r>
          <rPr>
            <sz val="9"/>
            <color indexed="81"/>
            <rFont val="Tahoma"/>
            <family val="2"/>
          </rPr>
          <t xml:space="preserve">
capacity x 365 days) / 3 (8 hours per day)</t>
        </r>
      </text>
    </comment>
    <comment ref="AB7" authorId="0">
      <text>
        <r>
          <rPr>
            <b/>
            <sz val="9"/>
            <color indexed="81"/>
            <rFont val="Tahoma"/>
            <family val="2"/>
          </rPr>
          <t>kara:</t>
        </r>
        <r>
          <rPr>
            <sz val="9"/>
            <color indexed="81"/>
            <rFont val="Tahoma"/>
            <family val="2"/>
          </rPr>
          <t xml:space="preserve">
capacity x 365 days / 3 (8 hours per day)
</t>
        </r>
      </text>
    </comment>
    <comment ref="F12" authorId="0">
      <text>
        <r>
          <rPr>
            <b/>
            <sz val="9"/>
            <color indexed="81"/>
            <rFont val="Tahoma"/>
            <family val="2"/>
          </rPr>
          <t>kara: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Do not need to increase to $15 for this review as on 6/30/21 the  minimum wage will be $13.50</t>
        </r>
      </text>
    </comment>
    <comment ref="D41" authorId="0">
      <text>
        <r>
          <rPr>
            <b/>
            <sz val="9"/>
            <color indexed="81"/>
            <rFont val="Tahoma"/>
            <family val="2"/>
          </rPr>
          <t>kara:</t>
        </r>
        <r>
          <rPr>
            <sz val="9"/>
            <color indexed="81"/>
            <rFont val="Tahoma"/>
            <family val="2"/>
          </rPr>
          <t xml:space="preserve">
Placeholder until November 2018 CAF Report</t>
        </r>
      </text>
    </comment>
  </commentList>
</comments>
</file>

<file path=xl/comments4.xml><?xml version="1.0" encoding="utf-8"?>
<comments xmlns="http://schemas.openxmlformats.org/spreadsheetml/2006/main">
  <authors>
    <author>kara</author>
  </authors>
  <commentList>
    <comment ref="F12" authorId="0">
      <text>
        <r>
          <rPr>
            <b/>
            <sz val="9"/>
            <color indexed="81"/>
            <rFont val="Tahoma"/>
            <family val="2"/>
          </rPr>
          <t>kara:</t>
        </r>
        <r>
          <rPr>
            <sz val="9"/>
            <color indexed="81"/>
            <rFont val="Tahoma"/>
            <family val="2"/>
          </rPr>
          <t xml:space="preserve">
DMH to expand capacity to mobile with this rate.
</t>
        </r>
      </text>
    </comment>
  </commentList>
</comments>
</file>

<file path=xl/comments5.xml><?xml version="1.0" encoding="utf-8"?>
<comments xmlns="http://schemas.openxmlformats.org/spreadsheetml/2006/main">
  <authors>
    <author>EHS</author>
  </authors>
  <commentList>
    <comment ref="D12" authorId="0">
      <text>
        <r>
          <rPr>
            <b/>
            <sz val="9"/>
            <color indexed="81"/>
            <rFont val="Tahoma"/>
            <charset val="1"/>
          </rPr>
          <t>EHS:</t>
        </r>
        <r>
          <rPr>
            <sz val="9"/>
            <color indexed="81"/>
            <rFont val="Tahoma"/>
            <charset val="1"/>
          </rPr>
          <t xml:space="preserve">
Considerably higher - does this role include more than clerical?
</t>
        </r>
      </text>
    </comment>
  </commentList>
</comments>
</file>

<file path=xl/sharedStrings.xml><?xml version="1.0" encoding="utf-8"?>
<sst xmlns="http://schemas.openxmlformats.org/spreadsheetml/2006/main" count="936" uniqueCount="404">
  <si>
    <t>DMH RESPITE - FISCAL IMPACT BY PROVIDER/CAPACITY</t>
  </si>
  <si>
    <t>Site Type</t>
  </si>
  <si>
    <t>Provider</t>
  </si>
  <si>
    <t>Contract #</t>
  </si>
  <si>
    <t>Proposed Model</t>
  </si>
  <si>
    <t>FY16 TOTAL</t>
  </si>
  <si>
    <t>Projected</t>
  </si>
  <si>
    <t>Variance</t>
  </si>
  <si>
    <t>% Change</t>
  </si>
  <si>
    <t>FY16 Spend plus Annualized CAF</t>
  </si>
  <si>
    <t>Anticipated Jul &amp; Aug spend + CAF</t>
  </si>
  <si>
    <t>Annual Rate by Total Proposed Capacity</t>
  </si>
  <si>
    <t>Deaf Site</t>
  </si>
  <si>
    <t>Advocates</t>
  </si>
  <si>
    <t>Blended A</t>
  </si>
  <si>
    <t>Site Only</t>
  </si>
  <si>
    <t>Mobile</t>
  </si>
  <si>
    <t>Site &amp; Mobile</t>
  </si>
  <si>
    <t xml:space="preserve">BHN </t>
  </si>
  <si>
    <t>Blended B</t>
  </si>
  <si>
    <t xml:space="preserve">BRIEN </t>
  </si>
  <si>
    <t>CHL</t>
  </si>
  <si>
    <t>CSO</t>
  </si>
  <si>
    <t>Edinburg</t>
  </si>
  <si>
    <t>Eliot</t>
  </si>
  <si>
    <t>Blended C</t>
  </si>
  <si>
    <t>Fellowship</t>
  </si>
  <si>
    <t>Riverside</t>
  </si>
  <si>
    <t xml:space="preserve">Riverside </t>
  </si>
  <si>
    <t>South Shore</t>
  </si>
  <si>
    <t>Baycove</t>
  </si>
  <si>
    <t>CBFS</t>
  </si>
  <si>
    <t>TOTAL BLENDED</t>
  </si>
  <si>
    <t>Western MA - PEER</t>
  </si>
  <si>
    <t>3 - 5 (Average 4)</t>
  </si>
  <si>
    <t>FY16 Contracts</t>
  </si>
  <si>
    <t>If Start Date is 9/1/17</t>
  </si>
  <si>
    <t>July and Aug CAF</t>
  </si>
  <si>
    <t>Total</t>
  </si>
  <si>
    <t>TOTAL</t>
  </si>
  <si>
    <t>18 exisiting Contracts</t>
  </si>
  <si>
    <t>24 existing sites</t>
  </si>
  <si>
    <t>Rate increase from Mobile Relief increase</t>
  </si>
  <si>
    <t>Spend with MOBILE relief</t>
  </si>
  <si>
    <t>Variance with MOBILE relief</t>
  </si>
  <si>
    <t>% change with Mobile relief</t>
  </si>
  <si>
    <t>VARIANCE</t>
  </si>
  <si>
    <t>% CHANGE</t>
  </si>
  <si>
    <t>Additional</t>
  </si>
  <si>
    <t>New Rates with Mobile relief</t>
  </si>
  <si>
    <t>DMH RESPITE - BLENDED CAPACITY MODELS</t>
  </si>
  <si>
    <t>MASTER DATA LOOKUP TABLE</t>
  </si>
  <si>
    <t>DMH RESPITE - 3048 - Blended Model - Level A</t>
  </si>
  <si>
    <t>DMH RESPITE - 3048 - Blended Model - Level B</t>
  </si>
  <si>
    <t>DMH RESPITE - 3048 - Blended Model - Level C</t>
  </si>
  <si>
    <t>BENCHMARK SALARIES</t>
  </si>
  <si>
    <t>SOURCE</t>
  </si>
  <si>
    <t>Maximum Site Capacity</t>
  </si>
  <si>
    <t>Program Function Manager</t>
  </si>
  <si>
    <t>101 CMR 421.00: Rates for Adult Housing and Community Support Services (weighted average Program Function Manager)</t>
  </si>
  <si>
    <t>Average Site Capacity</t>
  </si>
  <si>
    <t>TOTAL UNITS</t>
  </si>
  <si>
    <t>Program Director</t>
  </si>
  <si>
    <t>101 CMR 421.00: Rates for Adult Housing and Community Support Services (weighted average Program Director)</t>
  </si>
  <si>
    <t>Average Mobile Capacity</t>
  </si>
  <si>
    <t>LPHA</t>
  </si>
  <si>
    <t>101 CMR 421.00: Rates for Adult Housing and Community Support Services (weighted average LICSW)</t>
  </si>
  <si>
    <t>Position</t>
  </si>
  <si>
    <t>Salary</t>
  </si>
  <si>
    <t>FTE</t>
  </si>
  <si>
    <t>Expense</t>
  </si>
  <si>
    <t>APRN</t>
  </si>
  <si>
    <t>101 CMR 421.00: Rates for Adult Housing and Community Support Services (weighted average RN-Masters)</t>
  </si>
  <si>
    <t>RN</t>
  </si>
  <si>
    <t>101 CMR 421.00: Rates for Adult Housing and Community Support Services (weighted average RN-Non Masters)</t>
  </si>
  <si>
    <t>LPN</t>
  </si>
  <si>
    <t>101 CMR 421.00: Rates for Adult Housing and Community Support Services (weighted average LPN)</t>
  </si>
  <si>
    <t>DC Blend (I + II )</t>
  </si>
  <si>
    <t>101 CMR 421.00: Rates for Adult Housing and Community Support Services (average of DC I + II at 65th percentile)</t>
  </si>
  <si>
    <t>Relief</t>
  </si>
  <si>
    <t>DC Blend (I + II ) Mobile</t>
  </si>
  <si>
    <t>Peer &amp; Family Specialist</t>
  </si>
  <si>
    <t>Clerical Support</t>
  </si>
  <si>
    <t>101 CMR 421.00: Rates for Adult Housing and Community Support Services (average of DC I + II at 60th percentile)</t>
  </si>
  <si>
    <t>LEVEL</t>
  </si>
  <si>
    <t>A</t>
  </si>
  <si>
    <t>B</t>
  </si>
  <si>
    <t>C</t>
  </si>
  <si>
    <t>FTEs</t>
  </si>
  <si>
    <t>Average Site</t>
  </si>
  <si>
    <t>Average Mobile</t>
  </si>
  <si>
    <t>Purchaser Recommendation</t>
  </si>
  <si>
    <t>Total Program Staff</t>
  </si>
  <si>
    <t>Tax and Fringe</t>
  </si>
  <si>
    <t>Total Compensation</t>
  </si>
  <si>
    <t>Program Expenses</t>
  </si>
  <si>
    <t>DC Blend (I + II)</t>
  </si>
  <si>
    <t>Total FTEs by Capacity</t>
  </si>
  <si>
    <t>Total Expenses</t>
  </si>
  <si>
    <t>BENCHMARK EXPENSES</t>
  </si>
  <si>
    <t>Tax &amp; Fringe</t>
  </si>
  <si>
    <t>FY16 Contract Data</t>
  </si>
  <si>
    <t>Total Reimb excl M&amp;G</t>
  </si>
  <si>
    <t xml:space="preserve">Occupancy </t>
  </si>
  <si>
    <t>Purchaser Recommendation at 35th percentile and scaled per model</t>
  </si>
  <si>
    <t>Admin. Allocation</t>
  </si>
  <si>
    <t>Mobile Transportation (per Mobile DC FTE)</t>
  </si>
  <si>
    <t>Purchaser Recommendation (20 miles per day*365 days*$.45 per mile)</t>
  </si>
  <si>
    <t>Meals (per bed day)</t>
  </si>
  <si>
    <t xml:space="preserve">101 CMR 420.00: Rates for Adult Long Term Residential Services </t>
  </si>
  <si>
    <t>TOTAL PROGRAM COST</t>
  </si>
  <si>
    <t>Other Expenses (per FTE)</t>
  </si>
  <si>
    <t>CAF:</t>
  </si>
  <si>
    <t>Direct Admin Expenses (per FTE)</t>
  </si>
  <si>
    <t>Per Bed day:</t>
  </si>
  <si>
    <t>Admin Allocation</t>
  </si>
  <si>
    <t>101 CMR 414.00: Rates for Family Stabilization Services</t>
  </si>
  <si>
    <t>Monthly Rate:</t>
  </si>
  <si>
    <t>CAF</t>
  </si>
  <si>
    <t>Base FY16 - Prospective 7/1/17 - 6/30/19</t>
  </si>
  <si>
    <t>ORIGINAL PROPOSED RATES</t>
  </si>
  <si>
    <t>MONTHLY VARIANCE WITH MOBILE RELIEF</t>
  </si>
  <si>
    <t>ANNUAL VARIANCE WITH MOBILE RELIEF</t>
  </si>
  <si>
    <t>TOTAL FISCAL IMPACT WITH MOBILE RELIEF</t>
  </si>
  <si>
    <t>Level A Units</t>
  </si>
  <si>
    <t>Level B units</t>
  </si>
  <si>
    <t>Level C units</t>
  </si>
  <si>
    <t>101 CMR 420.00: Rates for Adult Long Term Residential Services (15.4% * LPHA, APRN, RN, LPN, DC Blend, and DC Blend-Mobile)</t>
  </si>
  <si>
    <t>Purchaser Recommendation (25 miles per day*365 days*$.45 per mile)</t>
  </si>
  <si>
    <t>Annual</t>
  </si>
  <si>
    <t>% increase</t>
  </si>
  <si>
    <t>Original</t>
  </si>
  <si>
    <t>Mileage</t>
  </si>
  <si>
    <t>Post PH</t>
  </si>
  <si>
    <t>Contract</t>
  </si>
  <si>
    <t>Maximum Model Capacity</t>
  </si>
  <si>
    <t>Projected - original models</t>
  </si>
  <si>
    <t>Spend POST PH</t>
  </si>
  <si>
    <t>Variance POST PH</t>
  </si>
  <si>
    <t>% change POST PH</t>
  </si>
  <si>
    <t>Projected - original</t>
  </si>
  <si>
    <t>Variance - original</t>
  </si>
  <si>
    <t>% Change - original</t>
  </si>
  <si>
    <t>POST PUBLIC HEARING</t>
  </si>
  <si>
    <t>New Rates Post PH</t>
  </si>
  <si>
    <t>Level</t>
  </si>
  <si>
    <t xml:space="preserve">Annual </t>
  </si>
  <si>
    <t>Times total Units</t>
  </si>
  <si>
    <t>TOTAL ADDITIONAL FISCAL IMPACT</t>
  </si>
  <si>
    <t>*</t>
  </si>
  <si>
    <t>TOTAL Rate increase Post PH</t>
  </si>
  <si>
    <r>
      <t>TOTAL</t>
    </r>
    <r>
      <rPr>
        <b/>
        <i/>
        <sz val="11"/>
        <color theme="1"/>
        <rFont val="Calibri"/>
        <family val="2"/>
        <scheme val="minor"/>
      </rPr>
      <t xml:space="preserve"> Relief </t>
    </r>
    <r>
      <rPr>
        <b/>
        <sz val="11"/>
        <color theme="1"/>
        <rFont val="Calibri"/>
        <family val="2"/>
        <scheme val="minor"/>
      </rPr>
      <t>PPH FI</t>
    </r>
  </si>
  <si>
    <r>
      <t>TOTAL</t>
    </r>
    <r>
      <rPr>
        <b/>
        <i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Mileage PPH FI</t>
    </r>
  </si>
  <si>
    <t>VAR.</t>
  </si>
  <si>
    <t>PPH Increase to Transportation FI</t>
  </si>
  <si>
    <t>PPH Increase to Relief FI</t>
  </si>
  <si>
    <t>Original model rates proposed at PH</t>
  </si>
  <si>
    <t>FY18 Spend with 10/1 Start</t>
  </si>
  <si>
    <t xml:space="preserve">TOTAL POST PUBLIC HEARING FISCAL IMPACT </t>
  </si>
  <si>
    <t>Anticipated Jul,Aug, &amp; Sept spend + CAF</t>
  </si>
  <si>
    <t>Spend at old rates plus CAF 7/1-9/30</t>
  </si>
  <si>
    <t>TOTAL PROJECTED FY18 SPEND</t>
  </si>
  <si>
    <t>Total Post PH FY18 Spend from 10/1 (75%)</t>
  </si>
  <si>
    <t>[1]</t>
  </si>
  <si>
    <t>[2]</t>
  </si>
  <si>
    <t>[3]</t>
  </si>
  <si>
    <t>[4]</t>
  </si>
  <si>
    <t>Variance TOTAL Projected less Original Projected</t>
  </si>
  <si>
    <t>Total Spend originally proposed at PH - FY18</t>
  </si>
  <si>
    <t>Total Annual Spend with Post PH Adjustments</t>
  </si>
  <si>
    <t>Post PH FY18 Spend with 10/1 start date (75%)</t>
  </si>
  <si>
    <t>TOTAL Spend 7/1-9/30</t>
  </si>
  <si>
    <t>CAF 1</t>
  </si>
  <si>
    <t>Rate Review CAF</t>
  </si>
  <si>
    <t>Prospective Period FY20 7 FY21</t>
  </si>
  <si>
    <t>PFMLA Trust Contribution</t>
  </si>
  <si>
    <t>Effective 7/1/19</t>
  </si>
  <si>
    <t xml:space="preserve">TOTAL </t>
  </si>
  <si>
    <t>W Cafs</t>
  </si>
  <si>
    <t>Per Hour</t>
  </si>
  <si>
    <t>DMH RESPITE - PEER MODEL</t>
  </si>
  <si>
    <t>DMH RESPITE - 3048 - PEER MODEL</t>
  </si>
  <si>
    <t>Minimum Site Capacity</t>
  </si>
  <si>
    <t>Total Units</t>
  </si>
  <si>
    <t>FY16 PEER Contract Data</t>
  </si>
  <si>
    <t>101 CMR 420.00: Rates for Adult Long Term Residential Services (15.4% relief factor)</t>
  </si>
  <si>
    <t>Program Expense</t>
  </si>
  <si>
    <t>Unit Cost</t>
  </si>
  <si>
    <t>Occupancy (per site)</t>
  </si>
  <si>
    <t>Benchmarked to Blended Model Level A - Scaled to Capacity</t>
  </si>
  <si>
    <t>Meals (per unit)</t>
  </si>
  <si>
    <t>101 CMR 420.00: Rates for Adult Long Term Residential Services</t>
  </si>
  <si>
    <t>Transportation (per FTE)</t>
  </si>
  <si>
    <t>Direct Admin Expense (per FTE)</t>
  </si>
  <si>
    <t>Total Program Expense</t>
  </si>
  <si>
    <t>Base FY16 - Prospective 7/1/17-6/30/19</t>
  </si>
  <si>
    <t>Monthly Rate</t>
  </si>
  <si>
    <t>CONTRACT ANALYSIS</t>
  </si>
  <si>
    <t>CAPACITY</t>
  </si>
  <si>
    <t>FTE Ratio</t>
  </si>
  <si>
    <t>STAFFING</t>
  </si>
  <si>
    <t>WESTERN MA -1203</t>
  </si>
  <si>
    <t>Total Contract FTEs/Total Model FTEs</t>
  </si>
  <si>
    <t>AsstProgram Director</t>
  </si>
  <si>
    <t>DC I</t>
  </si>
  <si>
    <t>Tax</t>
  </si>
  <si>
    <t>Fringe</t>
  </si>
  <si>
    <t>TOTAL T &amp; F</t>
  </si>
  <si>
    <t>Rate of T &amp; F</t>
  </si>
  <si>
    <t>TOTAL COMPENSATION</t>
  </si>
  <si>
    <t>EXPENSES</t>
  </si>
  <si>
    <t>Totals</t>
  </si>
  <si>
    <t>Per FTE</t>
  </si>
  <si>
    <t>Per FTE (Ratio)</t>
  </si>
  <si>
    <t>Occupancy</t>
  </si>
  <si>
    <t>Staff Mileage</t>
  </si>
  <si>
    <t>Staff Training</t>
  </si>
  <si>
    <t>Program Supplies</t>
  </si>
  <si>
    <t>Other</t>
  </si>
  <si>
    <t>Client Allowance</t>
  </si>
  <si>
    <t>DC Consultant</t>
  </si>
  <si>
    <t>Provision of Material Goods</t>
  </si>
  <si>
    <t>Direct Administrative Expense</t>
  </si>
  <si>
    <t>Total Program Excl M &amp; G</t>
  </si>
  <si>
    <t>Rate of Admin Alloc</t>
  </si>
  <si>
    <t>TOTAL PROGRAM</t>
  </si>
  <si>
    <t>DMH RESPITE - SITE BASED PER DIEM MODEL</t>
  </si>
  <si>
    <t>DMH RESPITE - 3048 -SITE BASED PER DIEM MODEL</t>
  </si>
  <si>
    <t>Beds:</t>
  </si>
  <si>
    <t>Bed Days:</t>
  </si>
  <si>
    <t>Management</t>
  </si>
  <si>
    <t>Medical</t>
  </si>
  <si>
    <t>Clinician / Counselor</t>
  </si>
  <si>
    <t>87.3% 0f DC Blend - 101 CMR 420.00: Rates for Adult Long Term Residential Services</t>
  </si>
  <si>
    <t>Benchmarked to Blended Model Level A</t>
  </si>
  <si>
    <t>Benchmarked to LPHA Blended Model Level A</t>
  </si>
  <si>
    <t>101 CMR 420: Rates for Adult Long Term Residential Services (15.4% * DC I + II)</t>
  </si>
  <si>
    <t>Unit Rate</t>
  </si>
  <si>
    <t xml:space="preserve">Benchmarked to Blended Model Level A </t>
  </si>
  <si>
    <t>Occupancy (per bed day)</t>
  </si>
  <si>
    <t>101 CMR 346.00: Rates for Certain Substance Related and Addictive Disorders Programs</t>
  </si>
  <si>
    <t>Other Expenses (per  DC FTE)</t>
  </si>
  <si>
    <t>Direct Admin Expenses (per DC FTE)</t>
  </si>
  <si>
    <t>DMH RESPITE - MOBILE PER DIEM MODEL</t>
  </si>
  <si>
    <t>DMH RESPITE - 3048 -MOBILE PER DIEM MODEL</t>
  </si>
  <si>
    <t>Slots</t>
  </si>
  <si>
    <t>Total Slots</t>
  </si>
  <si>
    <t xml:space="preserve">Benchmarked to RN Blended Model Level A </t>
  </si>
  <si>
    <t>Transportation</t>
  </si>
  <si>
    <t>Occupancy (per Management plus Clerical FTE)</t>
  </si>
  <si>
    <t>101 CMR 421: Rates for Adult Housing and Community Support Services</t>
  </si>
  <si>
    <t>Transportation (per day)</t>
  </si>
  <si>
    <t>101 CMR 420.00: Rates for Adult Long Term Residential Services (daily minivan rate * 365 * .5)</t>
  </si>
  <si>
    <t>Per Diem Rate</t>
  </si>
  <si>
    <t>fiscal_year</t>
  </si>
  <si>
    <t>Sum of SumOfposting_line_amount</t>
  </si>
  <si>
    <t>Activity_Codes</t>
  </si>
  <si>
    <t>Department &amp; Activity_Name</t>
  </si>
  <si>
    <t>2208</t>
  </si>
  <si>
    <t>2451</t>
  </si>
  <si>
    <t>3014</t>
  </si>
  <si>
    <t>3031</t>
  </si>
  <si>
    <t>3048</t>
  </si>
  <si>
    <t>Grand Total</t>
  </si>
  <si>
    <t>DMH</t>
  </si>
  <si>
    <t>PROGRAM OF ASSERTIVE COMMUNITY TREATMENT</t>
  </si>
  <si>
    <t>RECOVERY LEARNING COMMUNITY</t>
  </si>
  <si>
    <t>RESPITE CARE SERVICES</t>
  </si>
  <si>
    <t>MCD</t>
  </si>
  <si>
    <t>INDEPENDENT LIVING SERVICE</t>
  </si>
  <si>
    <t>MRC</t>
  </si>
  <si>
    <t>VR INDEPENDENT LIVING</t>
  </si>
  <si>
    <t>Contribution to PFMLA Trust</t>
  </si>
  <si>
    <t>Secretary/Clerical</t>
  </si>
  <si>
    <t>TITLE</t>
  </si>
  <si>
    <t>LINE</t>
  </si>
  <si>
    <t>FY17 UFR</t>
  </si>
  <si>
    <t>Program Function manager</t>
  </si>
  <si>
    <t>Program Director/Mgmt</t>
  </si>
  <si>
    <t>DC Blend I &amp; II</t>
  </si>
  <si>
    <t>Clinician/Counselor</t>
  </si>
  <si>
    <t>Occupancy purchased (per site)</t>
  </si>
  <si>
    <t>Meals</t>
  </si>
  <si>
    <t>Other Expenss (per FTE)</t>
  </si>
  <si>
    <t>Direct Admin</t>
  </si>
  <si>
    <t>Mobile Trans (per Mobil DC FTE)</t>
  </si>
  <si>
    <t>Massachusetts Economic Indicators</t>
  </si>
  <si>
    <t>IHS Markit, Fall 2018 Forecast</t>
  </si>
  <si>
    <t>Prepared by Michael Lynch, 781-301-9129</t>
  </si>
  <si>
    <t>FY19</t>
  </si>
  <si>
    <t>FY20</t>
  </si>
  <si>
    <t>FY21</t>
  </si>
  <si>
    <t>FY22</t>
  </si>
  <si>
    <t>FY23</t>
  </si>
  <si>
    <t>NAME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</si>
  <si>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</si>
  <si>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</si>
  <si>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</si>
  <si>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</si>
  <si>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</si>
  <si>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</si>
  <si>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</si>
  <si>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</si>
  <si>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</si>
  <si>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</si>
  <si>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</si>
  <si>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</si>
  <si>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</si>
  <si>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</si>
  <si>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</si>
  <si>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</si>
  <si>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</si>
  <si>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</si>
  <si>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</si>
  <si>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</si>
  <si>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</si>
  <si>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</si>
  <si>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</si>
  <si>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</si>
  <si>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</si>
  <si>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</si>
  <si>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</si>
  <si>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</si>
  <si>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</si>
  <si>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</si>
  <si>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</si>
  <si>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</si>
  <si>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</si>
  <si>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</si>
  <si>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</si>
  <si>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</si>
  <si>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</si>
  <si>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</si>
  <si>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</si>
  <si>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</si>
  <si>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</si>
  <si>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</si>
  <si>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</si>
  <si>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</si>
  <si>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</si>
  <si>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</si>
  <si>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</si>
  <si>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</si>
  <si>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</si>
  <si>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</si>
  <si>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</si>
  <si>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</si>
  <si>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</si>
  <si>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</si>
  <si>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</si>
  <si>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</si>
  <si>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</si>
  <si>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</si>
  <si>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</si>
  <si>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</si>
  <si>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</si>
  <si>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</si>
  <si>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</si>
  <si>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</si>
  <si>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</si>
  <si>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</si>
  <si>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</si>
  <si>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</si>
  <si>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</si>
  <si>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</si>
  <si>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</si>
  <si>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</si>
  <si>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</si>
  <si>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</si>
  <si>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</si>
  <si>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</si>
  <si>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</si>
  <si>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</si>
  <si>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</si>
  <si>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</si>
  <si>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LABEL</t>
  </si>
  <si>
    <t>CPI--BASELINE SCENARIO (1982-84=1)</t>
  </si>
  <si>
    <t>CPIBASEMA</t>
  </si>
  <si>
    <t>CPI--OPTIMISTIC SCENARIO (1982-84=1)</t>
  </si>
  <si>
    <t>CPIOPTMA</t>
  </si>
  <si>
    <t>CPI--PESSIMISTIC SCENARIO (1982-84=1)</t>
  </si>
  <si>
    <t>CPIPESSMA</t>
  </si>
  <si>
    <t>Rate-to-rate CAF</t>
  </si>
  <si>
    <t>Assumption for Rate Reviews that are to be promulgated July 1, 2019</t>
  </si>
  <si>
    <t xml:space="preserve">Base period: </t>
  </si>
  <si>
    <t>FY19Q4</t>
  </si>
  <si>
    <t>Average</t>
  </si>
  <si>
    <t xml:space="preserve">Prospective rate period: </t>
  </si>
  <si>
    <t>FY20 &amp; FY21</t>
  </si>
  <si>
    <t xml:space="preserve">101 CMR 421.00: Rates for Adult Housing and Community Support Services </t>
  </si>
  <si>
    <t xml:space="preserve">102 CMR 421.00: Rates for Adult Housing and Community Support Services </t>
  </si>
  <si>
    <t xml:space="preserve">103 CMR 421.00: Rates for Adult Housing and Community Support Services </t>
  </si>
  <si>
    <t xml:space="preserve">104 CMR 421.00: Rates for Adult Housing and Community Support Services </t>
  </si>
  <si>
    <t xml:space="preserve">105 CMR 421.00: Rates for Adult Housing and Community Support Services </t>
  </si>
  <si>
    <t xml:space="preserve">106 CMR 421.00: Rates for Adult Housing and Community Support Services </t>
  </si>
  <si>
    <t xml:space="preserve">107 CMR 421.00: Rates for Adult Housing and Community Support Services </t>
  </si>
  <si>
    <t xml:space="preserve">108 CMR 421.00: Rates for Adult Housing and Community Support Services </t>
  </si>
  <si>
    <t xml:space="preserve">109 CMR 421.00: Rates for Adult Housing and Community Support Services </t>
  </si>
  <si>
    <t xml:space="preserve">110 CMR 421.00: Rates for Adult Housing and Community Support Services </t>
  </si>
  <si>
    <t xml:space="preserve">111 CMR 421.00: Rates for Adult Housing and Community Support Services </t>
  </si>
  <si>
    <t xml:space="preserve">DMH RESPITE - BLENDED CAPACITY MODELS - </t>
  </si>
  <si>
    <t xml:space="preserve">101 CMR 421: Rates for Adult Housing and Community Support Services </t>
  </si>
  <si>
    <t xml:space="preserve">102 CMR 421: Rates for Adult Housing and Community Support Services </t>
  </si>
  <si>
    <t xml:space="preserve">103 CMR 421: Rates for Adult Housing and Community Support Services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</si>
</sst>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00"/>
    <numFmt numFmtId="166" formatCode="_(&quot;$&quot;* #,##0.00_);_(&quot;$&quot;* \(#,##0.00\);_(&quot;$&quot;* &quot;-&quot;_);_(@_)"/>
    <numFmt numFmtId="167" formatCode="_(&quot;$&quot;* #,##0_);_(&quot;$&quot;* \(#,##0\);_(&quot;$&quot;* &quot;-&quot;?_);_(@_)"/>
    <numFmt numFmtId="168" formatCode="0.00_);[Red]\(0.00\)"/>
    <numFmt numFmtId="169" formatCode="&quot;$&quot;#,##0"/>
    <numFmt numFmtId="170" formatCode="#,###,##0.00;\(#,###,##0.00\)"/>
    <numFmt numFmtId="171" formatCode="&quot;$&quot;#,###,##0.00;\(&quot;$&quot;#,###,##0.00\)"/>
    <numFmt numFmtId="172" formatCode="#,##0.00%;\(#,##0.00%\)"/>
  </numFmts>
  <fonts count="8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0"/>
      <name val="MS Sans Serif"/>
      <family val="2"/>
    </font>
    <font>
      <sz val="11"/>
      <name val="Arial"/>
      <family val="2"/>
    </font>
    <font>
      <sz val="11"/>
      <color theme="1"/>
      <name val="Calibri"/>
      <family val="2"/>
      <charset val="129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  <scheme val="minor"/>
    </font>
    <font>
      <b/>
      <sz val="1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indexed="17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3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0"/>
      <color theme="3" tint="0.39997558519241921"/>
      <name val="Calibri"/>
      <family val="2"/>
      <scheme val="minor"/>
    </font>
    <font>
      <sz val="10"/>
      <color rgb="FF00B05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0"/>
      <color theme="0"/>
      <name val="Calibri"/>
      <family val="2"/>
      <scheme val="minor"/>
    </font>
    <font>
      <sz val="10"/>
      <color theme="3" tint="0.39997558519241921"/>
      <name val="Calibri"/>
      <family val="2"/>
      <scheme val="minor"/>
    </font>
    <font>
      <sz val="10"/>
      <color indexed="17"/>
      <name val="Arial"/>
      <family val="2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i/>
      <sz val="10"/>
      <name val="Calibri"/>
      <family val="2"/>
      <scheme val="minor"/>
    </font>
    <font>
      <i/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</font>
    <font>
      <b/>
      <sz val="12"/>
      <color indexed="8"/>
      <name val="Calibri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2"/>
      <name val="Arial"/>
      <family val="2"/>
    </font>
    <font>
      <sz val="10"/>
      <color theme="1"/>
      <name val="Tahoma"/>
      <family val="2"/>
    </font>
    <font>
      <sz val="10"/>
      <color indexed="0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Arial"/>
      <family val="2"/>
    </font>
    <font>
      <sz val="10"/>
      <color indexed="8"/>
      <name val="MS Sans Serif"/>
      <family val="2"/>
    </font>
    <font>
      <sz val="10"/>
      <color indexed="72"/>
      <name val="MS Sans Serif"/>
      <family val="2"/>
    </font>
    <font>
      <sz val="10"/>
      <color rgb="FF000000"/>
      <name val="Arial"/>
      <family val="2"/>
    </font>
    <font>
      <sz val="10"/>
      <name val="Arial"/>
    </font>
    <font>
      <sz val="8.85"/>
      <color rgb="FF000000"/>
      <name val="Arial"/>
      <family val="2"/>
    </font>
    <font>
      <sz val="10"/>
      <name val="Verdana"/>
      <family val="2"/>
    </font>
    <font>
      <sz val="10"/>
      <color indexed="8"/>
      <name val="Arial"/>
      <family val="2"/>
    </font>
    <font>
      <sz val="10"/>
      <name val="Tahoma"/>
      <family val="2"/>
    </font>
    <font>
      <b/>
      <sz val="12"/>
      <color indexed="0"/>
      <name val="Times New Roman"/>
      <family val="1"/>
    </font>
    <font>
      <b/>
      <sz val="10"/>
      <color indexed="0"/>
      <name val="Times New Roman"/>
      <family val="1"/>
    </font>
    <font>
      <b/>
      <sz val="10"/>
      <color indexed="0"/>
      <name val="Arial"/>
      <family val="2"/>
    </font>
    <font>
      <sz val="18"/>
      <color theme="3"/>
      <name val="Cambria"/>
      <family val="2"/>
      <scheme val="maj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BD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249977111117893"/>
        <bgColor indexed="64"/>
      </patternFill>
    </fill>
  </fills>
  <borders count="7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3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7" fillId="0" borderId="0"/>
    <xf numFmtId="0" fontId="9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0" fontId="8" fillId="2" borderId="1" applyNumberFormat="0" applyFont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2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170" fontId="63" fillId="0" borderId="0"/>
    <xf numFmtId="170" fontId="63" fillId="0" borderId="0"/>
    <xf numFmtId="171" fontId="63" fillId="0" borderId="0"/>
    <xf numFmtId="171" fontId="63" fillId="0" borderId="0"/>
    <xf numFmtId="172" fontId="63" fillId="0" borderId="0"/>
    <xf numFmtId="172" fontId="63" fillId="0" borderId="0"/>
    <xf numFmtId="0" fontId="64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/>
    <xf numFmtId="0" fontId="66" fillId="0" borderId="0"/>
    <xf numFmtId="0" fontId="11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7" fillId="0" borderId="0"/>
    <xf numFmtId="0" fontId="11" fillId="0" borderId="0"/>
    <xf numFmtId="0" fontId="11" fillId="0" borderId="0"/>
    <xf numFmtId="0" fontId="63" fillId="0" borderId="0"/>
    <xf numFmtId="0" fontId="11" fillId="0" borderId="0"/>
    <xf numFmtId="0" fontId="11" fillId="0" borderId="0"/>
    <xf numFmtId="0" fontId="68" fillId="0" borderId="0"/>
    <xf numFmtId="0" fontId="68" fillId="0" borderId="0"/>
    <xf numFmtId="0" fontId="11" fillId="0" borderId="0"/>
    <xf numFmtId="0" fontId="11" fillId="0" borderId="0"/>
    <xf numFmtId="0" fontId="10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0" fillId="0" borderId="0"/>
    <xf numFmtId="0" fontId="7" fillId="0" borderId="0" applyAlignment="0"/>
    <xf numFmtId="0" fontId="69" fillId="0" borderId="0"/>
    <xf numFmtId="0" fontId="70" fillId="0" borderId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1" fillId="0" borderId="0"/>
    <xf numFmtId="0" fontId="7" fillId="0" borderId="0"/>
    <xf numFmtId="0" fontId="9" fillId="0" borderId="0"/>
    <xf numFmtId="0" fontId="11" fillId="0" borderId="0"/>
    <xf numFmtId="0" fontId="6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8" fillId="2" borderId="1" applyNumberFormat="0" applyFont="0" applyAlignment="0" applyProtection="0"/>
    <xf numFmtId="9" fontId="7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3" fillId="0" borderId="0"/>
    <xf numFmtId="0" fontId="63" fillId="0" borderId="0"/>
    <xf numFmtId="0" fontId="68" fillId="0" borderId="0" applyNumberFormat="0" applyBorder="0" applyAlignment="0"/>
    <xf numFmtId="0" fontId="63" fillId="0" borderId="0"/>
    <xf numFmtId="0" fontId="72" fillId="0" borderId="0" applyNumberFormat="0" applyBorder="0" applyAlignment="0"/>
    <xf numFmtId="0" fontId="74" fillId="0" borderId="0"/>
    <xf numFmtId="0" fontId="74" fillId="0" borderId="0"/>
    <xf numFmtId="0" fontId="75" fillId="0" borderId="0"/>
    <xf numFmtId="0" fontId="75" fillId="0" borderId="0"/>
    <xf numFmtId="0" fontId="76" fillId="0" borderId="0"/>
    <xf numFmtId="0" fontId="75" fillId="0" borderId="0"/>
    <xf numFmtId="0" fontId="76" fillId="0" borderId="0"/>
    <xf numFmtId="0" fontId="77" fillId="0" borderId="0" applyNumberFormat="0" applyFill="0" applyBorder="0" applyAlignment="0" applyProtection="0"/>
    <xf numFmtId="0" fontId="54" fillId="0" borderId="0" applyNumberFormat="0" applyFill="0" applyBorder="0" applyAlignment="0" applyProtection="0"/>
  </cellStyleXfs>
  <cellXfs count="929">
    <xf numFmtId="0" fontId="0" fillId="0" borderId="0" xfId="0"/>
    <xf numFmtId="0" fontId="3" fillId="0" borderId="0" xfId="0" applyFont="1" applyFill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10" fontId="0" fillId="0" borderId="0" xfId="0" applyNumberFormat="1" applyFont="1" applyFill="1" applyBorder="1"/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0" fillId="0" borderId="7" xfId="0" applyFont="1" applyFill="1" applyBorder="1"/>
    <xf numFmtId="0" fontId="0" fillId="0" borderId="8" xfId="0" applyFont="1" applyFill="1" applyBorder="1"/>
    <xf numFmtId="3" fontId="0" fillId="0" borderId="0" xfId="0" applyNumberFormat="1" applyFont="1" applyFill="1" applyBorder="1" applyAlignment="1">
      <alignment horizontal="center"/>
    </xf>
    <xf numFmtId="6" fontId="2" fillId="0" borderId="9" xfId="0" applyNumberFormat="1" applyFont="1" applyFill="1" applyBorder="1" applyAlignment="1">
      <alignment vertical="center"/>
    </xf>
    <xf numFmtId="6" fontId="0" fillId="0" borderId="0" xfId="0" applyNumberFormat="1" applyFont="1" applyFill="1" applyBorder="1" applyAlignment="1">
      <alignment horizontal="center"/>
    </xf>
    <xf numFmtId="164" fontId="1" fillId="0" borderId="0" xfId="1" applyNumberFormat="1" applyFont="1" applyFill="1" applyBorder="1" applyAlignment="1">
      <alignment horizontal="center" vertical="center"/>
    </xf>
    <xf numFmtId="9" fontId="1" fillId="0" borderId="0" xfId="2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10" fontId="1" fillId="0" borderId="7" xfId="2" applyNumberFormat="1" applyFont="1" applyFill="1" applyBorder="1" applyAlignment="1">
      <alignment horizontal="left"/>
    </xf>
    <xf numFmtId="6" fontId="2" fillId="0" borderId="0" xfId="0" applyNumberFormat="1" applyFont="1" applyFill="1" applyBorder="1" applyAlignment="1">
      <alignment vertical="center"/>
    </xf>
    <xf numFmtId="10" fontId="1" fillId="0" borderId="0" xfId="2" applyNumberFormat="1" applyFont="1" applyFill="1" applyBorder="1" applyAlignment="1">
      <alignment horizontal="center" vertical="center"/>
    </xf>
    <xf numFmtId="0" fontId="0" fillId="0" borderId="11" xfId="0" applyFont="1" applyFill="1" applyBorder="1"/>
    <xf numFmtId="0" fontId="0" fillId="0" borderId="12" xfId="0" applyFont="1" applyFill="1" applyBorder="1" applyAlignment="1">
      <alignment horizontal="center"/>
    </xf>
    <xf numFmtId="6" fontId="2" fillId="0" borderId="12" xfId="0" applyNumberFormat="1" applyFont="1" applyFill="1" applyBorder="1" applyAlignment="1">
      <alignment vertical="center"/>
    </xf>
    <xf numFmtId="6" fontId="2" fillId="0" borderId="0" xfId="0" applyNumberFormat="1" applyFont="1" applyFill="1" applyBorder="1" applyAlignment="1">
      <alignment horizontal="center"/>
    </xf>
    <xf numFmtId="0" fontId="0" fillId="0" borderId="14" xfId="0" applyFont="1" applyFill="1" applyBorder="1"/>
    <xf numFmtId="0" fontId="0" fillId="0" borderId="15" xfId="0" applyFont="1" applyFill="1" applyBorder="1" applyAlignment="1">
      <alignment horizontal="center"/>
    </xf>
    <xf numFmtId="6" fontId="2" fillId="0" borderId="15" xfId="0" applyNumberFormat="1" applyFont="1" applyFill="1" applyBorder="1" applyAlignment="1">
      <alignment horizontal="right"/>
    </xf>
    <xf numFmtId="6" fontId="0" fillId="0" borderId="15" xfId="0" applyNumberFormat="1" applyFont="1" applyFill="1" applyBorder="1" applyAlignment="1">
      <alignment horizontal="center"/>
    </xf>
    <xf numFmtId="6" fontId="0" fillId="0" borderId="15" xfId="0" applyNumberFormat="1" applyFont="1" applyFill="1" applyBorder="1" applyAlignment="1">
      <alignment horizontal="right"/>
    </xf>
    <xf numFmtId="10" fontId="1" fillId="0" borderId="16" xfId="2" applyNumberFormat="1" applyFont="1" applyFill="1" applyBorder="1" applyAlignment="1">
      <alignment horizontal="center"/>
    </xf>
    <xf numFmtId="3" fontId="0" fillId="3" borderId="15" xfId="0" applyNumberFormat="1" applyFont="1" applyFill="1" applyBorder="1" applyAlignment="1">
      <alignment horizontal="center"/>
    </xf>
    <xf numFmtId="0" fontId="0" fillId="0" borderId="18" xfId="0" applyFont="1" applyFill="1" applyBorder="1"/>
    <xf numFmtId="0" fontId="0" fillId="0" borderId="19" xfId="0" applyFont="1" applyFill="1" applyBorder="1" applyAlignment="1">
      <alignment horizontal="center"/>
    </xf>
    <xf numFmtId="44" fontId="0" fillId="0" borderId="0" xfId="1" applyFont="1" applyFill="1" applyBorder="1"/>
    <xf numFmtId="6" fontId="0" fillId="0" borderId="0" xfId="0" applyNumberFormat="1" applyFont="1" applyFill="1" applyBorder="1"/>
    <xf numFmtId="6" fontId="0" fillId="0" borderId="15" xfId="0" applyNumberFormat="1" applyFont="1" applyFill="1" applyBorder="1" applyAlignment="1">
      <alignment horizontal="center" vertical="center"/>
    </xf>
    <xf numFmtId="44" fontId="0" fillId="0" borderId="0" xfId="0" applyNumberFormat="1" applyFont="1" applyFill="1" applyBorder="1"/>
    <xf numFmtId="0" fontId="0" fillId="0" borderId="17" xfId="0" applyFont="1" applyFill="1" applyBorder="1"/>
    <xf numFmtId="6" fontId="2" fillId="0" borderId="19" xfId="0" applyNumberFormat="1" applyFont="1" applyFill="1" applyBorder="1" applyAlignment="1">
      <alignment horizontal="right"/>
    </xf>
    <xf numFmtId="6" fontId="0" fillId="0" borderId="19" xfId="0" applyNumberFormat="1" applyFont="1" applyFill="1" applyBorder="1" applyAlignment="1">
      <alignment horizontal="center"/>
    </xf>
    <xf numFmtId="6" fontId="0" fillId="0" borderId="19" xfId="0" applyNumberFormat="1" applyFont="1" applyFill="1" applyBorder="1" applyAlignment="1">
      <alignment horizontal="right"/>
    </xf>
    <xf numFmtId="10" fontId="1" fillId="0" borderId="20" xfId="2" applyNumberFormat="1" applyFont="1" applyFill="1" applyBorder="1" applyAlignment="1">
      <alignment horizontal="center"/>
    </xf>
    <xf numFmtId="10" fontId="1" fillId="0" borderId="14" xfId="2" applyNumberFormat="1" applyFont="1" applyFill="1" applyBorder="1" applyAlignment="1">
      <alignment horizontal="left"/>
    </xf>
    <xf numFmtId="0" fontId="0" fillId="0" borderId="15" xfId="0" applyFont="1" applyFill="1" applyBorder="1"/>
    <xf numFmtId="3" fontId="0" fillId="0" borderId="15" xfId="0" applyNumberFormat="1" applyFont="1" applyFill="1" applyBorder="1" applyAlignment="1">
      <alignment horizontal="center"/>
    </xf>
    <xf numFmtId="10" fontId="1" fillId="0" borderId="11" xfId="2" applyNumberFormat="1" applyFont="1" applyFill="1" applyBorder="1" applyAlignment="1">
      <alignment horizontal="left"/>
    </xf>
    <xf numFmtId="0" fontId="0" fillId="0" borderId="12" xfId="0" applyFont="1" applyFill="1" applyBorder="1"/>
    <xf numFmtId="3" fontId="0" fillId="0" borderId="12" xfId="0" applyNumberFormat="1" applyFont="1" applyFill="1" applyBorder="1" applyAlignment="1">
      <alignment horizontal="center"/>
    </xf>
    <xf numFmtId="6" fontId="2" fillId="0" borderId="12" xfId="0" applyNumberFormat="1" applyFont="1" applyFill="1" applyBorder="1" applyAlignment="1">
      <alignment horizontal="right"/>
    </xf>
    <xf numFmtId="6" fontId="0" fillId="0" borderId="12" xfId="0" applyNumberFormat="1" applyFont="1" applyFill="1" applyBorder="1" applyAlignment="1">
      <alignment horizontal="center"/>
    </xf>
    <xf numFmtId="6" fontId="0" fillId="0" borderId="12" xfId="0" applyNumberFormat="1" applyFont="1" applyFill="1" applyBorder="1" applyAlignment="1">
      <alignment horizontal="right"/>
    </xf>
    <xf numFmtId="10" fontId="1" fillId="0" borderId="13" xfId="2" applyNumberFormat="1" applyFont="1" applyFill="1" applyBorder="1" applyAlignment="1">
      <alignment horizontal="center"/>
    </xf>
    <xf numFmtId="0" fontId="0" fillId="4" borderId="19" xfId="0" applyFont="1" applyFill="1" applyBorder="1" applyAlignment="1">
      <alignment horizontal="center" vertical="center"/>
    </xf>
    <xf numFmtId="6" fontId="0" fillId="0" borderId="19" xfId="0" applyNumberFormat="1" applyFont="1" applyFill="1" applyBorder="1" applyAlignment="1">
      <alignment horizontal="center" vertical="center"/>
    </xf>
    <xf numFmtId="6" fontId="0" fillId="0" borderId="12" xfId="0" applyNumberFormat="1" applyFont="1" applyFill="1" applyBorder="1" applyAlignment="1">
      <alignment horizontal="center" vertical="center"/>
    </xf>
    <xf numFmtId="0" fontId="0" fillId="5" borderId="7" xfId="0" applyFont="1" applyFill="1" applyBorder="1"/>
    <xf numFmtId="0" fontId="0" fillId="5" borderId="8" xfId="0" applyFont="1" applyFill="1" applyBorder="1"/>
    <xf numFmtId="0" fontId="0" fillId="5" borderId="0" xfId="0" applyFont="1" applyFill="1" applyBorder="1" applyAlignment="1">
      <alignment horizontal="center"/>
    </xf>
    <xf numFmtId="3" fontId="0" fillId="5" borderId="0" xfId="0" applyNumberFormat="1" applyFont="1" applyFill="1" applyBorder="1" applyAlignment="1">
      <alignment horizontal="center"/>
    </xf>
    <xf numFmtId="6" fontId="2" fillId="5" borderId="0" xfId="0" applyNumberFormat="1" applyFont="1" applyFill="1" applyBorder="1" applyAlignment="1">
      <alignment horizontal="right"/>
    </xf>
    <xf numFmtId="6" fontId="0" fillId="5" borderId="0" xfId="0" applyNumberFormat="1" applyFont="1" applyFill="1" applyBorder="1" applyAlignment="1">
      <alignment horizontal="center"/>
    </xf>
    <xf numFmtId="6" fontId="0" fillId="5" borderId="0" xfId="0" applyNumberFormat="1" applyFont="1" applyFill="1" applyBorder="1" applyAlignment="1">
      <alignment horizontal="right"/>
    </xf>
    <xf numFmtId="10" fontId="1" fillId="5" borderId="0" xfId="2" applyNumberFormat="1" applyFont="1" applyFill="1" applyBorder="1" applyAlignment="1">
      <alignment horizontal="center"/>
    </xf>
    <xf numFmtId="0" fontId="2" fillId="6" borderId="4" xfId="0" applyFont="1" applyFill="1" applyBorder="1"/>
    <xf numFmtId="10" fontId="2" fillId="6" borderId="5" xfId="2" applyNumberFormat="1" applyFont="1" applyFill="1" applyBorder="1" applyAlignment="1">
      <alignment horizontal="center"/>
    </xf>
    <xf numFmtId="0" fontId="0" fillId="6" borderId="5" xfId="0" applyFont="1" applyFill="1" applyBorder="1" applyAlignment="1">
      <alignment horizontal="center"/>
    </xf>
    <xf numFmtId="6" fontId="2" fillId="6" borderId="5" xfId="0" applyNumberFormat="1" applyFont="1" applyFill="1" applyBorder="1"/>
    <xf numFmtId="6" fontId="2" fillId="6" borderId="5" xfId="0" applyNumberFormat="1" applyFont="1" applyFill="1" applyBorder="1" applyAlignment="1">
      <alignment horizontal="center"/>
    </xf>
    <xf numFmtId="10" fontId="2" fillId="6" borderId="6" xfId="2" applyNumberFormat="1" applyFont="1" applyFill="1" applyBorder="1" applyAlignment="1">
      <alignment horizontal="center"/>
    </xf>
    <xf numFmtId="10" fontId="2" fillId="6" borderId="0" xfId="2" applyNumberFormat="1" applyFont="1" applyFill="1" applyBorder="1" applyAlignment="1">
      <alignment horizontal="center"/>
    </xf>
    <xf numFmtId="164" fontId="2" fillId="6" borderId="0" xfId="2" applyNumberFormat="1" applyFont="1" applyFill="1" applyBorder="1" applyAlignment="1">
      <alignment horizontal="center"/>
    </xf>
    <xf numFmtId="10" fontId="2" fillId="0" borderId="0" xfId="2" applyNumberFormat="1" applyFont="1" applyFill="1" applyBorder="1" applyAlignment="1">
      <alignment horizontal="center"/>
    </xf>
    <xf numFmtId="6" fontId="2" fillId="0" borderId="0" xfId="0" applyNumberFormat="1" applyFont="1" applyFill="1" applyBorder="1"/>
    <xf numFmtId="6" fontId="2" fillId="0" borderId="0" xfId="0" applyNumberFormat="1" applyFont="1" applyFill="1" applyBorder="1" applyAlignment="1">
      <alignment horizontal="right"/>
    </xf>
    <xf numFmtId="0" fontId="0" fillId="0" borderId="23" xfId="0" applyFont="1" applyFill="1" applyBorder="1"/>
    <xf numFmtId="10" fontId="2" fillId="0" borderId="23" xfId="2" applyNumberFormat="1" applyFont="1" applyFill="1" applyBorder="1" applyAlignment="1">
      <alignment horizontal="center"/>
    </xf>
    <xf numFmtId="0" fontId="0" fillId="0" borderId="23" xfId="0" applyFont="1" applyFill="1" applyBorder="1" applyAlignment="1">
      <alignment horizontal="center"/>
    </xf>
    <xf numFmtId="6" fontId="2" fillId="0" borderId="23" xfId="0" applyNumberFormat="1" applyFont="1" applyFill="1" applyBorder="1"/>
    <xf numFmtId="6" fontId="2" fillId="0" borderId="23" xfId="0" applyNumberFormat="1" applyFont="1" applyFill="1" applyBorder="1" applyAlignment="1">
      <alignment horizontal="center"/>
    </xf>
    <xf numFmtId="6" fontId="2" fillId="0" borderId="23" xfId="0" applyNumberFormat="1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6" fontId="2" fillId="6" borderId="5" xfId="0" applyNumberFormat="1" applyFont="1" applyFill="1" applyBorder="1" applyAlignment="1">
      <alignment horizontal="right"/>
    </xf>
    <xf numFmtId="164" fontId="2" fillId="6" borderId="0" xfId="1" applyNumberFormat="1" applyFont="1" applyFill="1" applyBorder="1" applyAlignment="1">
      <alignment horizontal="center"/>
    </xf>
    <xf numFmtId="44" fontId="2" fillId="6" borderId="0" xfId="1" applyFont="1" applyFill="1" applyBorder="1" applyAlignment="1">
      <alignment horizontal="center"/>
    </xf>
    <xf numFmtId="0" fontId="2" fillId="0" borderId="0" xfId="0" applyFont="1" applyFill="1" applyBorder="1"/>
    <xf numFmtId="6" fontId="2" fillId="0" borderId="3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6" fontId="2" fillId="0" borderId="24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6" fontId="2" fillId="0" borderId="25" xfId="0" applyNumberFormat="1" applyFont="1" applyFill="1" applyBorder="1" applyAlignment="1">
      <alignment horizontal="center"/>
    </xf>
    <xf numFmtId="10" fontId="2" fillId="0" borderId="25" xfId="2" applyNumberFormat="1" applyFont="1" applyFill="1" applyBorder="1" applyAlignment="1">
      <alignment horizontal="center"/>
    </xf>
    <xf numFmtId="6" fontId="0" fillId="0" borderId="0" xfId="0" applyNumberFormat="1" applyFont="1" applyFill="1"/>
    <xf numFmtId="6" fontId="0" fillId="0" borderId="0" xfId="0" applyNumberFormat="1" applyFont="1" applyFill="1" applyAlignment="1">
      <alignment horizontal="center"/>
    </xf>
    <xf numFmtId="6" fontId="0" fillId="0" borderId="26" xfId="0" applyNumberFormat="1" applyFont="1" applyFill="1" applyBorder="1"/>
    <xf numFmtId="0" fontId="0" fillId="0" borderId="26" xfId="0" applyFont="1" applyFill="1" applyBorder="1"/>
    <xf numFmtId="6" fontId="0" fillId="0" borderId="0" xfId="0" applyNumberFormat="1" applyFont="1" applyFill="1" applyBorder="1" applyAlignment="1">
      <alignment horizontal="right"/>
    </xf>
    <xf numFmtId="0" fontId="2" fillId="0" borderId="0" xfId="0" applyFont="1" applyFill="1"/>
    <xf numFmtId="10" fontId="0" fillId="0" borderId="0" xfId="2" applyNumberFormat="1" applyFont="1" applyFill="1" applyBorder="1" applyAlignment="1">
      <alignment horizontal="right"/>
    </xf>
    <xf numFmtId="164" fontId="0" fillId="0" borderId="0" xfId="0" applyNumberFormat="1" applyFont="1" applyFill="1" applyBorder="1"/>
    <xf numFmtId="0" fontId="2" fillId="7" borderId="3" xfId="0" applyFont="1" applyFill="1" applyBorder="1" applyAlignment="1">
      <alignment horizontal="center" vertical="center" wrapText="1"/>
    </xf>
    <xf numFmtId="6" fontId="0" fillId="7" borderId="15" xfId="0" applyNumberFormat="1" applyFont="1" applyFill="1" applyBorder="1" applyAlignment="1">
      <alignment horizontal="center"/>
    </xf>
    <xf numFmtId="6" fontId="2" fillId="7" borderId="5" xfId="0" applyNumberFormat="1" applyFont="1" applyFill="1" applyBorder="1" applyAlignment="1">
      <alignment horizontal="center"/>
    </xf>
    <xf numFmtId="6" fontId="2" fillId="8" borderId="27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6" fontId="0" fillId="7" borderId="24" xfId="0" applyNumberFormat="1" applyFont="1" applyFill="1" applyBorder="1" applyAlignment="1">
      <alignment horizontal="center"/>
    </xf>
    <xf numFmtId="6" fontId="0" fillId="7" borderId="24" xfId="0" applyNumberFormat="1" applyFont="1" applyFill="1" applyBorder="1" applyAlignment="1">
      <alignment horizontal="center" vertical="center"/>
    </xf>
    <xf numFmtId="6" fontId="0" fillId="7" borderId="30" xfId="0" applyNumberFormat="1" applyFont="1" applyFill="1" applyBorder="1" applyAlignment="1">
      <alignment horizontal="center" vertical="center"/>
    </xf>
    <xf numFmtId="6" fontId="0" fillId="7" borderId="32" xfId="0" applyNumberFormat="1" applyFont="1" applyFill="1" applyBorder="1" applyAlignment="1">
      <alignment horizontal="center"/>
    </xf>
    <xf numFmtId="10" fontId="1" fillId="7" borderId="33" xfId="2" applyNumberFormat="1" applyFont="1" applyFill="1" applyBorder="1" applyAlignment="1">
      <alignment horizontal="center"/>
    </xf>
    <xf numFmtId="6" fontId="0" fillId="7" borderId="34" xfId="0" applyNumberFormat="1" applyFont="1" applyFill="1" applyBorder="1" applyAlignment="1">
      <alignment horizontal="center" vertical="center"/>
    </xf>
    <xf numFmtId="6" fontId="0" fillId="7" borderId="32" xfId="0" applyNumberFormat="1" applyFont="1" applyFill="1" applyBorder="1" applyAlignment="1">
      <alignment horizontal="center" vertical="center"/>
    </xf>
    <xf numFmtId="6" fontId="0" fillId="7" borderId="34" xfId="0" applyNumberFormat="1" applyFont="1" applyFill="1" applyBorder="1" applyAlignment="1">
      <alignment horizontal="center"/>
    </xf>
    <xf numFmtId="6" fontId="0" fillId="7" borderId="30" xfId="0" applyNumberFormat="1" applyFont="1" applyFill="1" applyBorder="1" applyAlignment="1">
      <alignment horizontal="center"/>
    </xf>
    <xf numFmtId="6" fontId="2" fillId="7" borderId="4" xfId="0" applyNumberFormat="1" applyFont="1" applyFill="1" applyBorder="1" applyAlignment="1">
      <alignment horizontal="center"/>
    </xf>
    <xf numFmtId="10" fontId="2" fillId="7" borderId="6" xfId="2" applyNumberFormat="1" applyFont="1" applyFill="1" applyBorder="1" applyAlignment="1">
      <alignment horizontal="center"/>
    </xf>
    <xf numFmtId="6" fontId="2" fillId="8" borderId="3" xfId="0" applyNumberFormat="1" applyFont="1" applyFill="1" applyBorder="1" applyAlignment="1">
      <alignment horizontal="center"/>
    </xf>
    <xf numFmtId="6" fontId="2" fillId="8" borderId="25" xfId="0" applyNumberFormat="1" applyFont="1" applyFill="1" applyBorder="1" applyAlignment="1">
      <alignment horizontal="center"/>
    </xf>
    <xf numFmtId="6" fontId="0" fillId="8" borderId="26" xfId="0" applyNumberFormat="1" applyFont="1" applyFill="1" applyBorder="1" applyAlignment="1">
      <alignment horizontal="center"/>
    </xf>
    <xf numFmtId="10" fontId="2" fillId="8" borderId="25" xfId="2" applyNumberFormat="1" applyFont="1" applyFill="1" applyBorder="1" applyAlignment="1">
      <alignment horizontal="center"/>
    </xf>
    <xf numFmtId="6" fontId="2" fillId="0" borderId="4" xfId="0" applyNumberFormat="1" applyFont="1" applyFill="1" applyBorder="1" applyAlignment="1">
      <alignment horizontal="center"/>
    </xf>
    <xf numFmtId="6" fontId="2" fillId="0" borderId="36" xfId="0" applyNumberFormat="1" applyFont="1" applyFill="1" applyBorder="1" applyAlignment="1">
      <alignment horizontal="center"/>
    </xf>
    <xf numFmtId="6" fontId="0" fillId="0" borderId="37" xfId="0" applyNumberFormat="1" applyFont="1" applyFill="1" applyBorder="1" applyAlignment="1">
      <alignment horizontal="center"/>
    </xf>
    <xf numFmtId="6" fontId="2" fillId="0" borderId="6" xfId="0" applyNumberFormat="1" applyFont="1" applyFill="1" applyBorder="1" applyAlignment="1">
      <alignment horizontal="center"/>
    </xf>
    <xf numFmtId="6" fontId="2" fillId="3" borderId="38" xfId="0" applyNumberFormat="1" applyFont="1" applyFill="1" applyBorder="1" applyAlignment="1">
      <alignment horizontal="center"/>
    </xf>
    <xf numFmtId="6" fontId="0" fillId="0" borderId="39" xfId="0" applyNumberFormat="1" applyFont="1" applyFill="1" applyBorder="1" applyAlignment="1">
      <alignment horizontal="right"/>
    </xf>
    <xf numFmtId="6" fontId="0" fillId="0" borderId="23" xfId="0" applyNumberFormat="1" applyFont="1" applyFill="1" applyBorder="1" applyAlignment="1">
      <alignment horizontal="center"/>
    </xf>
    <xf numFmtId="6" fontId="0" fillId="0" borderId="39" xfId="0" applyNumberFormat="1" applyFont="1" applyFill="1" applyBorder="1" applyAlignment="1">
      <alignment horizontal="center"/>
    </xf>
    <xf numFmtId="6" fontId="2" fillId="8" borderId="0" xfId="0" applyNumberFormat="1" applyFont="1" applyFill="1" applyBorder="1" applyAlignment="1">
      <alignment horizontal="center"/>
    </xf>
    <xf numFmtId="6" fontId="2" fillId="7" borderId="12" xfId="0" applyNumberFormat="1" applyFont="1" applyFill="1" applyBorder="1" applyAlignment="1">
      <alignment horizontal="center"/>
    </xf>
    <xf numFmtId="6" fontId="2" fillId="0" borderId="28" xfId="0" applyNumberFormat="1" applyFont="1" applyFill="1" applyBorder="1" applyAlignment="1">
      <alignment horizontal="center"/>
    </xf>
    <xf numFmtId="0" fontId="3" fillId="0" borderId="0" xfId="0" applyFont="1"/>
    <xf numFmtId="0" fontId="13" fillId="0" borderId="0" xfId="0" applyFont="1"/>
    <xf numFmtId="0" fontId="14" fillId="0" borderId="0" xfId="0" applyFont="1"/>
    <xf numFmtId="44" fontId="0" fillId="0" borderId="0" xfId="0" applyNumberFormat="1" applyFill="1"/>
    <xf numFmtId="0" fontId="0" fillId="0" borderId="0" xfId="0" applyFill="1"/>
    <xf numFmtId="0" fontId="14" fillId="0" borderId="0" xfId="0" applyFont="1" applyFill="1" applyBorder="1"/>
    <xf numFmtId="165" fontId="0" fillId="0" borderId="0" xfId="0" applyNumberFormat="1"/>
    <xf numFmtId="0" fontId="0" fillId="0" borderId="0" xfId="0" applyFill="1" applyBorder="1"/>
    <xf numFmtId="14" fontId="15" fillId="0" borderId="0" xfId="0" applyNumberFormat="1" applyFont="1" applyAlignment="1">
      <alignment horizontal="left"/>
    </xf>
    <xf numFmtId="14" fontId="16" fillId="0" borderId="0" xfId="0" applyNumberFormat="1" applyFont="1" applyAlignment="1">
      <alignment horizontal="left"/>
    </xf>
    <xf numFmtId="0" fontId="17" fillId="0" borderId="0" xfId="0" applyFont="1" applyFill="1" applyBorder="1" applyAlignment="1">
      <alignment horizontal="center" vertical="top"/>
    </xf>
    <xf numFmtId="0" fontId="0" fillId="0" borderId="0" xfId="0" applyBorder="1"/>
    <xf numFmtId="0" fontId="21" fillId="0" borderId="37" xfId="0" applyFont="1" applyFill="1" applyBorder="1" applyAlignment="1">
      <alignment horizontal="center"/>
    </xf>
    <xf numFmtId="3" fontId="21" fillId="0" borderId="23" xfId="0" applyNumberFormat="1" applyFont="1" applyFill="1" applyBorder="1" applyAlignment="1">
      <alignment horizontal="center"/>
    </xf>
    <xf numFmtId="0" fontId="0" fillId="0" borderId="29" xfId="0" applyBorder="1"/>
    <xf numFmtId="0" fontId="21" fillId="0" borderId="0" xfId="0" applyFont="1" applyFill="1" applyBorder="1" applyAlignment="1">
      <alignment horizontal="center"/>
    </xf>
    <xf numFmtId="0" fontId="21" fillId="0" borderId="4" xfId="0" applyFont="1" applyFill="1" applyBorder="1" applyAlignment="1">
      <alignment horizontal="center"/>
    </xf>
    <xf numFmtId="3" fontId="21" fillId="0" borderId="5" xfId="0" applyNumberFormat="1" applyFont="1" applyFill="1" applyBorder="1" applyAlignment="1">
      <alignment horizontal="center"/>
    </xf>
    <xf numFmtId="0" fontId="0" fillId="0" borderId="23" xfId="0" applyBorder="1"/>
    <xf numFmtId="0" fontId="0" fillId="0" borderId="39" xfId="0" applyBorder="1"/>
    <xf numFmtId="0" fontId="22" fillId="10" borderId="18" xfId="0" applyFont="1" applyFill="1" applyBorder="1" applyAlignment="1"/>
    <xf numFmtId="0" fontId="22" fillId="10" borderId="19" xfId="0" applyFont="1" applyFill="1" applyBorder="1" applyAlignment="1"/>
    <xf numFmtId="42" fontId="23" fillId="10" borderId="19" xfId="0" applyNumberFormat="1" applyFont="1" applyFill="1" applyBorder="1"/>
    <xf numFmtId="42" fontId="13" fillId="10" borderId="18" xfId="0" applyNumberFormat="1" applyFont="1" applyFill="1" applyBorder="1" applyAlignment="1">
      <alignment horizontal="left"/>
    </xf>
    <xf numFmtId="42" fontId="13" fillId="10" borderId="19" xfId="0" applyNumberFormat="1" applyFont="1" applyFill="1" applyBorder="1"/>
    <xf numFmtId="42" fontId="13" fillId="10" borderId="20" xfId="0" applyNumberFormat="1" applyFont="1" applyFill="1" applyBorder="1"/>
    <xf numFmtId="0" fontId="21" fillId="0" borderId="5" xfId="0" applyFont="1" applyFill="1" applyBorder="1" applyAlignment="1">
      <alignment horizontal="center"/>
    </xf>
    <xf numFmtId="3" fontId="21" fillId="0" borderId="6" xfId="0" applyNumberFormat="1" applyFont="1" applyFill="1" applyBorder="1" applyAlignment="1">
      <alignment horizontal="center"/>
    </xf>
    <xf numFmtId="0" fontId="22" fillId="10" borderId="8" xfId="0" applyFont="1" applyFill="1" applyBorder="1" applyAlignment="1"/>
    <xf numFmtId="0" fontId="22" fillId="10" borderId="0" xfId="0" applyFont="1" applyFill="1" applyBorder="1" applyAlignment="1"/>
    <xf numFmtId="42" fontId="23" fillId="10" borderId="0" xfId="0" applyNumberFormat="1" applyFont="1" applyFill="1" applyBorder="1"/>
    <xf numFmtId="42" fontId="13" fillId="10" borderId="8" xfId="0" applyNumberFormat="1" applyFont="1" applyFill="1" applyBorder="1" applyAlignment="1">
      <alignment horizontal="left"/>
    </xf>
    <xf numFmtId="42" fontId="13" fillId="10" borderId="0" xfId="0" applyNumberFormat="1" applyFont="1" applyFill="1" applyBorder="1"/>
    <xf numFmtId="42" fontId="13" fillId="10" borderId="10" xfId="0" applyNumberFormat="1" applyFont="1" applyFill="1" applyBorder="1"/>
    <xf numFmtId="0" fontId="22" fillId="10" borderId="8" xfId="0" applyFont="1" applyFill="1" applyBorder="1" applyAlignment="1">
      <alignment wrapText="1"/>
    </xf>
    <xf numFmtId="0" fontId="22" fillId="10" borderId="0" xfId="0" applyFont="1" applyFill="1" applyBorder="1" applyAlignment="1">
      <alignment wrapText="1"/>
    </xf>
    <xf numFmtId="0" fontId="21" fillId="0" borderId="30" xfId="0" applyFont="1" applyFill="1" applyBorder="1"/>
    <xf numFmtId="0" fontId="21" fillId="0" borderId="12" xfId="0" applyFont="1" applyFill="1" applyBorder="1" applyAlignment="1">
      <alignment horizontal="center"/>
    </xf>
    <xf numFmtId="0" fontId="21" fillId="0" borderId="31" xfId="0" applyFont="1" applyFill="1" applyBorder="1" applyAlignment="1">
      <alignment horizontal="center"/>
    </xf>
    <xf numFmtId="164" fontId="24" fillId="0" borderId="0" xfId="0" applyNumberFormat="1" applyFont="1" applyFill="1" applyBorder="1"/>
    <xf numFmtId="0" fontId="21" fillId="0" borderId="30" xfId="0" applyFont="1" applyBorder="1"/>
    <xf numFmtId="0" fontId="21" fillId="0" borderId="12" xfId="0" applyFont="1" applyBorder="1" applyAlignment="1">
      <alignment horizontal="center"/>
    </xf>
    <xf numFmtId="0" fontId="21" fillId="0" borderId="31" xfId="0" applyFont="1" applyBorder="1" applyAlignment="1">
      <alignment horizontal="center"/>
    </xf>
    <xf numFmtId="0" fontId="22" fillId="0" borderId="34" xfId="0" applyFont="1" applyFill="1" applyBorder="1" applyAlignment="1"/>
    <xf numFmtId="42" fontId="23" fillId="0" borderId="0" xfId="0" applyNumberFormat="1" applyFont="1" applyFill="1" applyBorder="1"/>
    <xf numFmtId="4" fontId="25" fillId="0" borderId="0" xfId="0" applyNumberFormat="1" applyFont="1" applyFill="1" applyBorder="1" applyAlignment="1">
      <alignment horizontal="center"/>
    </xf>
    <xf numFmtId="164" fontId="24" fillId="0" borderId="29" xfId="0" applyNumberFormat="1" applyFont="1" applyFill="1" applyBorder="1"/>
    <xf numFmtId="0" fontId="22" fillId="0" borderId="34" xfId="0" applyFont="1" applyBorder="1" applyAlignment="1"/>
    <xf numFmtId="42" fontId="23" fillId="0" borderId="0" xfId="0" applyNumberFormat="1" applyFont="1" applyBorder="1"/>
    <xf numFmtId="4" fontId="25" fillId="0" borderId="0" xfId="0" applyNumberFormat="1" applyFont="1" applyBorder="1" applyAlignment="1">
      <alignment horizontal="center"/>
    </xf>
    <xf numFmtId="164" fontId="24" fillId="0" borderId="29" xfId="0" applyNumberFormat="1" applyFont="1" applyBorder="1"/>
    <xf numFmtId="0" fontId="22" fillId="0" borderId="24" xfId="0" applyFont="1" applyFill="1" applyBorder="1" applyAlignment="1"/>
    <xf numFmtId="0" fontId="22" fillId="0" borderId="24" xfId="0" applyFont="1" applyBorder="1" applyAlignment="1"/>
    <xf numFmtId="0" fontId="22" fillId="10" borderId="11" xfId="0" applyFont="1" applyFill="1" applyBorder="1" applyAlignment="1"/>
    <xf numFmtId="0" fontId="22" fillId="10" borderId="12" xfId="0" applyFont="1" applyFill="1" applyBorder="1" applyAlignment="1"/>
    <xf numFmtId="42" fontId="23" fillId="0" borderId="13" xfId="0" applyNumberFormat="1" applyFont="1" applyFill="1" applyBorder="1"/>
    <xf numFmtId="42" fontId="13" fillId="10" borderId="12" xfId="0" applyNumberFormat="1" applyFont="1" applyFill="1" applyBorder="1"/>
    <xf numFmtId="42" fontId="13" fillId="10" borderId="13" xfId="0" applyNumberFormat="1" applyFont="1" applyFill="1" applyBorder="1"/>
    <xf numFmtId="42" fontId="24" fillId="0" borderId="0" xfId="0" applyNumberFormat="1" applyFont="1" applyFill="1" applyBorder="1"/>
    <xf numFmtId="0" fontId="22" fillId="10" borderId="14" xfId="0" applyFont="1" applyFill="1" applyBorder="1" applyAlignment="1"/>
    <xf numFmtId="0" fontId="26" fillId="10" borderId="15" xfId="0" applyFont="1" applyFill="1" applyBorder="1" applyAlignment="1">
      <alignment horizontal="right"/>
    </xf>
    <xf numFmtId="42" fontId="26" fillId="10" borderId="7" xfId="0" applyNumberFormat="1" applyFont="1" applyFill="1" applyBorder="1" applyAlignment="1">
      <alignment horizontal="center"/>
    </xf>
    <xf numFmtId="42" fontId="13" fillId="10" borderId="15" xfId="0" applyNumberFormat="1" applyFont="1" applyFill="1" applyBorder="1"/>
    <xf numFmtId="42" fontId="13" fillId="10" borderId="16" xfId="0" applyNumberFormat="1" applyFont="1" applyFill="1" applyBorder="1"/>
    <xf numFmtId="0" fontId="20" fillId="10" borderId="8" xfId="0" applyFont="1" applyFill="1" applyBorder="1" applyAlignment="1">
      <alignment horizontal="center"/>
    </xf>
    <xf numFmtId="0" fontId="20" fillId="10" borderId="10" xfId="0" applyFont="1" applyFill="1" applyBorder="1" applyAlignment="1">
      <alignment horizontal="right"/>
    </xf>
    <xf numFmtId="0" fontId="20" fillId="0" borderId="21" xfId="0" applyNumberFormat="1" applyFont="1" applyFill="1" applyBorder="1" applyAlignment="1">
      <alignment horizontal="center"/>
    </xf>
    <xf numFmtId="3" fontId="20" fillId="0" borderId="21" xfId="0" applyNumberFormat="1" applyFont="1" applyFill="1" applyBorder="1" applyAlignment="1">
      <alignment horizontal="center"/>
    </xf>
    <xf numFmtId="42" fontId="23" fillId="10" borderId="10" xfId="0" applyNumberFormat="1" applyFont="1" applyFill="1" applyBorder="1"/>
    <xf numFmtId="42" fontId="21" fillId="0" borderId="0" xfId="0" applyNumberFormat="1" applyFont="1" applyFill="1" applyBorder="1"/>
    <xf numFmtId="0" fontId="20" fillId="10" borderId="0" xfId="0" applyFont="1" applyFill="1" applyBorder="1" applyAlignment="1">
      <alignment horizontal="right"/>
    </xf>
    <xf numFmtId="1" fontId="20" fillId="0" borderId="7" xfId="2" applyNumberFormat="1" applyFont="1" applyFill="1" applyBorder="1" applyAlignment="1">
      <alignment horizontal="center"/>
    </xf>
    <xf numFmtId="1" fontId="20" fillId="0" borderId="7" xfId="0" applyNumberFormat="1" applyFont="1" applyFill="1" applyBorder="1" applyAlignment="1">
      <alignment horizontal="center"/>
    </xf>
    <xf numFmtId="0" fontId="22" fillId="0" borderId="30" xfId="0" applyFont="1" applyFill="1" applyBorder="1" applyAlignment="1"/>
    <xf numFmtId="42" fontId="23" fillId="0" borderId="12" xfId="0" applyNumberFormat="1" applyFont="1" applyFill="1" applyBorder="1"/>
    <xf numFmtId="0" fontId="24" fillId="0" borderId="0" xfId="0" applyFont="1" applyFill="1" applyBorder="1"/>
    <xf numFmtId="0" fontId="22" fillId="0" borderId="30" xfId="0" applyFont="1" applyBorder="1" applyAlignment="1"/>
    <xf numFmtId="40" fontId="27" fillId="10" borderId="22" xfId="0" applyNumberFormat="1" applyFont="1" applyFill="1" applyBorder="1" applyAlignment="1">
      <alignment horizontal="center"/>
    </xf>
    <xf numFmtId="42" fontId="13" fillId="10" borderId="0" xfId="0" applyNumberFormat="1" applyFont="1" applyFill="1" applyBorder="1" applyAlignment="1"/>
    <xf numFmtId="0" fontId="21" fillId="0" borderId="32" xfId="0" applyFont="1" applyFill="1" applyBorder="1"/>
    <xf numFmtId="0" fontId="21" fillId="0" borderId="15" xfId="0" applyFont="1" applyFill="1" applyBorder="1"/>
    <xf numFmtId="4" fontId="21" fillId="0" borderId="15" xfId="0" applyNumberFormat="1" applyFont="1" applyFill="1" applyBorder="1" applyAlignment="1">
      <alignment horizontal="center"/>
    </xf>
    <xf numFmtId="42" fontId="21" fillId="0" borderId="33" xfId="0" applyNumberFormat="1" applyFont="1" applyFill="1" applyBorder="1"/>
    <xf numFmtId="0" fontId="21" fillId="0" borderId="32" xfId="0" applyFont="1" applyBorder="1"/>
    <xf numFmtId="0" fontId="21" fillId="0" borderId="15" xfId="0" applyFont="1" applyBorder="1"/>
    <xf numFmtId="4" fontId="21" fillId="0" borderId="15" xfId="0" applyNumberFormat="1" applyFont="1" applyBorder="1" applyAlignment="1">
      <alignment horizontal="center"/>
    </xf>
    <xf numFmtId="42" fontId="21" fillId="0" borderId="33" xfId="0" applyNumberFormat="1" applyFont="1" applyBorder="1"/>
    <xf numFmtId="166" fontId="13" fillId="10" borderId="10" xfId="0" applyNumberFormat="1" applyFont="1" applyFill="1" applyBorder="1"/>
    <xf numFmtId="0" fontId="21" fillId="0" borderId="24" xfId="0" applyFont="1" applyFill="1" applyBorder="1"/>
    <xf numFmtId="4" fontId="24" fillId="0" borderId="0" xfId="0" applyNumberFormat="1" applyFont="1" applyFill="1" applyBorder="1"/>
    <xf numFmtId="0" fontId="21" fillId="0" borderId="0" xfId="0" applyFont="1" applyFill="1" applyBorder="1"/>
    <xf numFmtId="0" fontId="24" fillId="0" borderId="29" xfId="0" applyFont="1" applyFill="1" applyBorder="1"/>
    <xf numFmtId="42" fontId="20" fillId="0" borderId="0" xfId="0" applyNumberFormat="1" applyFont="1" applyFill="1" applyBorder="1"/>
    <xf numFmtId="0" fontId="21" fillId="0" borderId="24" xfId="0" applyFont="1" applyBorder="1"/>
    <xf numFmtId="0" fontId="21" fillId="0" borderId="0" xfId="0" applyFont="1" applyBorder="1"/>
    <xf numFmtId="0" fontId="24" fillId="0" borderId="29" xfId="0" applyFont="1" applyBorder="1"/>
    <xf numFmtId="0" fontId="24" fillId="0" borderId="24" xfId="0" applyFont="1" applyFill="1" applyBorder="1"/>
    <xf numFmtId="10" fontId="23" fillId="0" borderId="0" xfId="0" applyNumberFormat="1" applyFont="1" applyFill="1" applyBorder="1" applyAlignment="1">
      <alignment horizontal="center"/>
    </xf>
    <xf numFmtId="42" fontId="24" fillId="0" borderId="29" xfId="0" applyNumberFormat="1" applyFont="1" applyFill="1" applyBorder="1"/>
    <xf numFmtId="0" fontId="24" fillId="0" borderId="24" xfId="0" applyFont="1" applyBorder="1"/>
    <xf numFmtId="0" fontId="24" fillId="0" borderId="0" xfId="0" applyFont="1" applyBorder="1"/>
    <xf numFmtId="42" fontId="24" fillId="0" borderId="29" xfId="0" applyNumberFormat="1" applyFont="1" applyBorder="1"/>
    <xf numFmtId="0" fontId="20" fillId="0" borderId="45" xfId="0" applyFont="1" applyFill="1" applyBorder="1" applyAlignment="1">
      <alignment horizontal="left"/>
    </xf>
    <xf numFmtId="4" fontId="13" fillId="0" borderId="28" xfId="0" applyNumberFormat="1" applyFont="1" applyFill="1" applyBorder="1"/>
    <xf numFmtId="6" fontId="13" fillId="0" borderId="28" xfId="0" applyNumberFormat="1" applyFont="1" applyFill="1" applyBorder="1"/>
    <xf numFmtId="42" fontId="20" fillId="0" borderId="46" xfId="0" applyNumberFormat="1" applyFont="1" applyFill="1" applyBorder="1"/>
    <xf numFmtId="0" fontId="20" fillId="0" borderId="45" xfId="0" applyFont="1" applyBorder="1" applyAlignment="1">
      <alignment horizontal="left"/>
    </xf>
    <xf numFmtId="6" fontId="13" fillId="0" borderId="28" xfId="0" applyNumberFormat="1" applyFont="1" applyBorder="1"/>
    <xf numFmtId="42" fontId="20" fillId="0" borderId="46" xfId="0" applyNumberFormat="1" applyFont="1" applyBorder="1"/>
    <xf numFmtId="0" fontId="20" fillId="0" borderId="24" xfId="0" applyFont="1" applyFill="1" applyBorder="1" applyAlignment="1">
      <alignment horizontal="left"/>
    </xf>
    <xf numFmtId="4" fontId="13" fillId="0" borderId="0" xfId="0" applyNumberFormat="1" applyFont="1" applyFill="1" applyBorder="1"/>
    <xf numFmtId="6" fontId="13" fillId="0" borderId="0" xfId="0" applyNumberFormat="1" applyFont="1" applyFill="1" applyBorder="1"/>
    <xf numFmtId="42" fontId="20" fillId="0" borderId="29" xfId="0" applyNumberFormat="1" applyFont="1" applyFill="1" applyBorder="1"/>
    <xf numFmtId="167" fontId="24" fillId="0" borderId="29" xfId="0" applyNumberFormat="1" applyFont="1" applyFill="1" applyBorder="1"/>
    <xf numFmtId="0" fontId="22" fillId="0" borderId="24" xfId="0" applyFont="1" applyFill="1" applyBorder="1" applyAlignment="1">
      <alignment wrapText="1"/>
    </xf>
    <xf numFmtId="166" fontId="23" fillId="0" borderId="0" xfId="0" applyNumberFormat="1" applyFont="1" applyFill="1" applyBorder="1"/>
    <xf numFmtId="164" fontId="21" fillId="0" borderId="0" xfId="10" applyNumberFormat="1" applyFont="1" applyFill="1" applyBorder="1"/>
    <xf numFmtId="0" fontId="24" fillId="0" borderId="30" xfId="0" applyFont="1" applyFill="1" applyBorder="1"/>
    <xf numFmtId="0" fontId="24" fillId="0" borderId="12" xfId="0" applyFont="1" applyFill="1" applyBorder="1"/>
    <xf numFmtId="42" fontId="24" fillId="0" borderId="31" xfId="0" applyNumberFormat="1" applyFont="1" applyFill="1" applyBorder="1"/>
    <xf numFmtId="44" fontId="21" fillId="0" borderId="0" xfId="10" applyFont="1" applyFill="1" applyBorder="1"/>
    <xf numFmtId="40" fontId="28" fillId="10" borderId="7" xfId="0" applyNumberFormat="1" applyFont="1" applyFill="1" applyBorder="1" applyAlignment="1">
      <alignment horizontal="center"/>
    </xf>
    <xf numFmtId="6" fontId="21" fillId="0" borderId="0" xfId="0" applyNumberFormat="1" applyFont="1" applyFill="1" applyBorder="1" applyAlignment="1">
      <alignment horizontal="center"/>
    </xf>
    <xf numFmtId="164" fontId="21" fillId="0" borderId="31" xfId="10" applyNumberFormat="1" applyFont="1" applyFill="1" applyBorder="1"/>
    <xf numFmtId="164" fontId="24" fillId="0" borderId="0" xfId="10" applyNumberFormat="1" applyFont="1" applyFill="1" applyBorder="1"/>
    <xf numFmtId="6" fontId="21" fillId="0" borderId="0" xfId="0" applyNumberFormat="1" applyFont="1" applyBorder="1" applyAlignment="1">
      <alignment horizontal="center"/>
    </xf>
    <xf numFmtId="8" fontId="21" fillId="0" borderId="0" xfId="0" applyNumberFormat="1" applyFont="1" applyBorder="1" applyAlignment="1">
      <alignment horizontal="center"/>
    </xf>
    <xf numFmtId="0" fontId="13" fillId="10" borderId="18" xfId="0" applyFont="1" applyFill="1" applyBorder="1"/>
    <xf numFmtId="0" fontId="13" fillId="10" borderId="19" xfId="0" applyFont="1" applyFill="1" applyBorder="1"/>
    <xf numFmtId="0" fontId="13" fillId="10" borderId="20" xfId="0" applyFont="1" applyFill="1" applyBorder="1"/>
    <xf numFmtId="44" fontId="21" fillId="0" borderId="0" xfId="0" applyNumberFormat="1" applyFont="1" applyFill="1" applyBorder="1"/>
    <xf numFmtId="44" fontId="21" fillId="0" borderId="29" xfId="10" applyFont="1" applyFill="1" applyBorder="1"/>
    <xf numFmtId="44" fontId="21" fillId="0" borderId="0" xfId="0" applyNumberFormat="1" applyFont="1" applyBorder="1"/>
    <xf numFmtId="44" fontId="21" fillId="0" borderId="29" xfId="10" applyFont="1" applyBorder="1"/>
    <xf numFmtId="0" fontId="13" fillId="10" borderId="8" xfId="0" applyFont="1" applyFill="1" applyBorder="1" applyAlignment="1">
      <alignment horizontal="left"/>
    </xf>
    <xf numFmtId="0" fontId="13" fillId="10" borderId="0" xfId="0" applyFont="1" applyFill="1" applyBorder="1" applyAlignment="1">
      <alignment horizontal="left"/>
    </xf>
    <xf numFmtId="10" fontId="23" fillId="10" borderId="0" xfId="2" applyNumberFormat="1" applyFont="1" applyFill="1" applyBorder="1" applyAlignment="1">
      <alignment horizontal="right"/>
    </xf>
    <xf numFmtId="42" fontId="13" fillId="10" borderId="8" xfId="0" applyNumberFormat="1" applyFont="1" applyFill="1" applyBorder="1"/>
    <xf numFmtId="0" fontId="21" fillId="0" borderId="45" xfId="0" applyFont="1" applyFill="1" applyBorder="1"/>
    <xf numFmtId="0" fontId="21" fillId="0" borderId="28" xfId="0" applyFont="1" applyFill="1" applyBorder="1"/>
    <xf numFmtId="164" fontId="24" fillId="0" borderId="46" xfId="10" applyNumberFormat="1" applyFont="1" applyFill="1" applyBorder="1"/>
    <xf numFmtId="0" fontId="21" fillId="0" borderId="45" xfId="0" applyFont="1" applyBorder="1"/>
    <xf numFmtId="0" fontId="21" fillId="0" borderId="28" xfId="0" applyFont="1" applyBorder="1"/>
    <xf numFmtId="164" fontId="24" fillId="0" borderId="46" xfId="10" applyNumberFormat="1" applyFont="1" applyBorder="1"/>
    <xf numFmtId="6" fontId="23" fillId="10" borderId="0" xfId="0" applyNumberFormat="1" applyFont="1" applyFill="1" applyBorder="1" applyAlignment="1">
      <alignment horizontal="right"/>
    </xf>
    <xf numFmtId="42" fontId="13" fillId="10" borderId="8" xfId="0" applyNumberFormat="1" applyFont="1" applyFill="1" applyBorder="1" applyAlignment="1"/>
    <xf numFmtId="10" fontId="23" fillId="0" borderId="0" xfId="2" applyNumberFormat="1" applyFont="1" applyFill="1" applyBorder="1" applyAlignment="1">
      <alignment horizontal="center"/>
    </xf>
    <xf numFmtId="42" fontId="23" fillId="10" borderId="0" xfId="0" applyNumberFormat="1" applyFont="1" applyFill="1" applyBorder="1" applyAlignment="1">
      <alignment horizontal="right"/>
    </xf>
    <xf numFmtId="0" fontId="29" fillId="0" borderId="0" xfId="0" applyFont="1" applyFill="1" applyBorder="1"/>
    <xf numFmtId="164" fontId="24" fillId="0" borderId="0" xfId="16" applyNumberFormat="1" applyFont="1" applyFill="1" applyBorder="1"/>
    <xf numFmtId="166" fontId="23" fillId="10" borderId="0" xfId="0" applyNumberFormat="1" applyFont="1" applyFill="1" applyBorder="1" applyAlignment="1">
      <alignment horizontal="right"/>
    </xf>
    <xf numFmtId="0" fontId="29" fillId="0" borderId="28" xfId="0" applyFont="1" applyFill="1" applyBorder="1"/>
    <xf numFmtId="0" fontId="24" fillId="0" borderId="28" xfId="0" applyFont="1" applyFill="1" applyBorder="1"/>
    <xf numFmtId="42" fontId="21" fillId="0" borderId="46" xfId="0" applyNumberFormat="1" applyFont="1" applyFill="1" applyBorder="1"/>
    <xf numFmtId="164" fontId="24" fillId="0" borderId="29" xfId="16" applyNumberFormat="1" applyFont="1" applyFill="1" applyBorder="1"/>
    <xf numFmtId="0" fontId="20" fillId="0" borderId="0" xfId="0" applyFont="1"/>
    <xf numFmtId="0" fontId="0" fillId="0" borderId="0" xfId="0" applyFill="1" applyBorder="1" applyAlignment="1">
      <alignment horizontal="left"/>
    </xf>
    <xf numFmtId="44" fontId="13" fillId="0" borderId="29" xfId="0" applyNumberFormat="1" applyFont="1" applyFill="1" applyBorder="1"/>
    <xf numFmtId="0" fontId="2" fillId="0" borderId="0" xfId="0" applyFont="1"/>
    <xf numFmtId="0" fontId="0" fillId="0" borderId="0" xfId="0" applyBorder="1" applyAlignment="1">
      <alignment horizontal="left"/>
    </xf>
    <xf numFmtId="44" fontId="13" fillId="0" borderId="29" xfId="0" applyNumberFormat="1" applyFont="1" applyBorder="1"/>
    <xf numFmtId="0" fontId="13" fillId="10" borderId="11" xfId="0" applyFont="1" applyFill="1" applyBorder="1" applyAlignment="1">
      <alignment horizontal="left"/>
    </xf>
    <xf numFmtId="0" fontId="13" fillId="10" borderId="12" xfId="0" applyFont="1" applyFill="1" applyBorder="1" applyAlignment="1">
      <alignment horizontal="left"/>
    </xf>
    <xf numFmtId="42" fontId="13" fillId="10" borderId="11" xfId="0" applyNumberFormat="1" applyFont="1" applyFill="1" applyBorder="1"/>
    <xf numFmtId="0" fontId="21" fillId="0" borderId="37" xfId="0" applyFont="1" applyFill="1" applyBorder="1"/>
    <xf numFmtId="0" fontId="20" fillId="0" borderId="23" xfId="0" applyFont="1" applyFill="1" applyBorder="1"/>
    <xf numFmtId="164" fontId="20" fillId="3" borderId="3" xfId="0" applyNumberFormat="1" applyFont="1" applyFill="1" applyBorder="1"/>
    <xf numFmtId="0" fontId="20" fillId="0" borderId="23" xfId="0" applyFont="1" applyBorder="1"/>
    <xf numFmtId="10" fontId="23" fillId="10" borderId="16" xfId="2" applyNumberFormat="1" applyFont="1" applyFill="1" applyBorder="1" applyAlignment="1">
      <alignment horizontal="right"/>
    </xf>
    <xf numFmtId="0" fontId="13" fillId="10" borderId="21" xfId="0" applyFont="1" applyFill="1" applyBorder="1"/>
    <xf numFmtId="0" fontId="13" fillId="10" borderId="14" xfId="0" applyFont="1" applyFill="1" applyBorder="1"/>
    <xf numFmtId="0" fontId="13" fillId="10" borderId="12" xfId="0" applyFont="1" applyFill="1" applyBorder="1"/>
    <xf numFmtId="0" fontId="13" fillId="10" borderId="13" xfId="0" applyFont="1" applyFill="1" applyBorder="1"/>
    <xf numFmtId="164" fontId="2" fillId="0" borderId="0" xfId="0" applyNumberFormat="1" applyFont="1" applyFill="1"/>
    <xf numFmtId="164" fontId="2" fillId="0" borderId="0" xfId="0" applyNumberFormat="1" applyFont="1"/>
    <xf numFmtId="0" fontId="30" fillId="0" borderId="0" xfId="0" applyFont="1"/>
    <xf numFmtId="164" fontId="0" fillId="0" borderId="0" xfId="0" applyNumberFormat="1"/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10" fontId="0" fillId="0" borderId="0" xfId="2" applyNumberFormat="1" applyFont="1"/>
    <xf numFmtId="166" fontId="0" fillId="0" borderId="0" xfId="0" applyNumberFormat="1"/>
    <xf numFmtId="8" fontId="2" fillId="0" borderId="0" xfId="0" applyNumberFormat="1" applyFont="1"/>
    <xf numFmtId="8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4" fontId="2" fillId="0" borderId="0" xfId="0" applyNumberFormat="1" applyFont="1" applyBorder="1"/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/>
    </xf>
    <xf numFmtId="0" fontId="20" fillId="10" borderId="8" xfId="0" applyFont="1" applyFill="1" applyBorder="1" applyAlignment="1">
      <alignment horizontal="center"/>
    </xf>
    <xf numFmtId="6" fontId="2" fillId="0" borderId="4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3" fontId="0" fillId="0" borderId="0" xfId="0" applyNumberFormat="1" applyFont="1" applyFill="1" applyBorder="1" applyAlignment="1">
      <alignment horizontal="center"/>
    </xf>
    <xf numFmtId="3" fontId="0" fillId="0" borderId="12" xfId="0" applyNumberFormat="1" applyFont="1" applyFill="1" applyBorder="1" applyAlignment="1">
      <alignment horizontal="center"/>
    </xf>
    <xf numFmtId="0" fontId="0" fillId="0" borderId="19" xfId="0" applyFont="1" applyFill="1" applyBorder="1" applyAlignment="1">
      <alignment horizontal="center" vertical="center"/>
    </xf>
    <xf numFmtId="42" fontId="0" fillId="0" borderId="0" xfId="0" applyNumberFormat="1"/>
    <xf numFmtId="0" fontId="24" fillId="0" borderId="24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42" fontId="23" fillId="0" borderId="0" xfId="0" applyNumberFormat="1" applyFont="1" applyFill="1" applyBorder="1" applyAlignment="1">
      <alignment vertical="center"/>
    </xf>
    <xf numFmtId="42" fontId="24" fillId="0" borderId="29" xfId="0" applyNumberFormat="1" applyFont="1" applyFill="1" applyBorder="1" applyAlignment="1">
      <alignment vertical="center"/>
    </xf>
    <xf numFmtId="42" fontId="24" fillId="0" borderId="0" xfId="0" applyNumberFormat="1" applyFont="1" applyFill="1" applyBorder="1" applyAlignment="1">
      <alignment vertical="center"/>
    </xf>
    <xf numFmtId="164" fontId="24" fillId="0" borderId="29" xfId="0" applyNumberFormat="1" applyFont="1" applyFill="1" applyBorder="1" applyAlignment="1">
      <alignment vertical="center"/>
    </xf>
    <xf numFmtId="42" fontId="14" fillId="0" borderId="0" xfId="0" applyNumberFormat="1" applyFont="1"/>
    <xf numFmtId="6" fontId="2" fillId="7" borderId="0" xfId="0" applyNumberFormat="1" applyFont="1" applyFill="1" applyBorder="1"/>
    <xf numFmtId="0" fontId="2" fillId="11" borderId="3" xfId="0" applyFont="1" applyFill="1" applyBorder="1" applyAlignment="1">
      <alignment horizontal="center" vertical="center" wrapText="1"/>
    </xf>
    <xf numFmtId="6" fontId="0" fillId="11" borderId="24" xfId="0" applyNumberFormat="1" applyFont="1" applyFill="1" applyBorder="1" applyAlignment="1">
      <alignment horizontal="center"/>
    </xf>
    <xf numFmtId="6" fontId="0" fillId="11" borderId="24" xfId="0" applyNumberFormat="1" applyFont="1" applyFill="1" applyBorder="1" applyAlignment="1">
      <alignment horizontal="center" vertical="center"/>
    </xf>
    <xf numFmtId="6" fontId="0" fillId="11" borderId="30" xfId="0" applyNumberFormat="1" applyFont="1" applyFill="1" applyBorder="1" applyAlignment="1">
      <alignment horizontal="center" vertical="center"/>
    </xf>
    <xf numFmtId="6" fontId="0" fillId="11" borderId="32" xfId="0" applyNumberFormat="1" applyFont="1" applyFill="1" applyBorder="1" applyAlignment="1">
      <alignment horizontal="center"/>
    </xf>
    <xf numFmtId="10" fontId="1" fillId="11" borderId="33" xfId="2" applyNumberFormat="1" applyFont="1" applyFill="1" applyBorder="1" applyAlignment="1">
      <alignment horizontal="center"/>
    </xf>
    <xf numFmtId="6" fontId="0" fillId="11" borderId="34" xfId="0" applyNumberFormat="1" applyFont="1" applyFill="1" applyBorder="1" applyAlignment="1">
      <alignment horizontal="center" vertical="center"/>
    </xf>
    <xf numFmtId="6" fontId="0" fillId="11" borderId="32" xfId="0" applyNumberFormat="1" applyFont="1" applyFill="1" applyBorder="1" applyAlignment="1">
      <alignment horizontal="center" vertical="center"/>
    </xf>
    <xf numFmtId="6" fontId="0" fillId="11" borderId="34" xfId="0" applyNumberFormat="1" applyFont="1" applyFill="1" applyBorder="1" applyAlignment="1">
      <alignment horizontal="center"/>
    </xf>
    <xf numFmtId="6" fontId="0" fillId="11" borderId="30" xfId="0" applyNumberFormat="1" applyFont="1" applyFill="1" applyBorder="1" applyAlignment="1">
      <alignment horizontal="center"/>
    </xf>
    <xf numFmtId="6" fontId="2" fillId="11" borderId="4" xfId="0" applyNumberFormat="1" applyFont="1" applyFill="1" applyBorder="1" applyAlignment="1">
      <alignment horizontal="center"/>
    </xf>
    <xf numFmtId="6" fontId="2" fillId="11" borderId="5" xfId="0" applyNumberFormat="1" applyFont="1" applyFill="1" applyBorder="1" applyAlignment="1">
      <alignment horizontal="center"/>
    </xf>
    <xf numFmtId="10" fontId="2" fillId="11" borderId="6" xfId="2" applyNumberFormat="1" applyFont="1" applyFill="1" applyBorder="1" applyAlignment="1">
      <alignment horizontal="center"/>
    </xf>
    <xf numFmtId="6" fontId="2" fillId="9" borderId="3" xfId="0" applyNumberFormat="1" applyFont="1" applyFill="1" applyBorder="1" applyAlignment="1">
      <alignment horizontal="center"/>
    </xf>
    <xf numFmtId="6" fontId="2" fillId="9" borderId="25" xfId="0" applyNumberFormat="1" applyFont="1" applyFill="1" applyBorder="1" applyAlignment="1">
      <alignment horizontal="center"/>
    </xf>
    <xf numFmtId="10" fontId="2" fillId="9" borderId="25" xfId="2" applyNumberFormat="1" applyFont="1" applyFill="1" applyBorder="1" applyAlignment="1">
      <alignment horizontal="center"/>
    </xf>
    <xf numFmtId="0" fontId="0" fillId="0" borderId="29" xfId="0" applyFont="1" applyFill="1" applyBorder="1"/>
    <xf numFmtId="0" fontId="32" fillId="12" borderId="47" xfId="0" applyFont="1" applyFill="1" applyBorder="1"/>
    <xf numFmtId="0" fontId="0" fillId="12" borderId="48" xfId="0" applyFont="1" applyFill="1" applyBorder="1"/>
    <xf numFmtId="0" fontId="32" fillId="12" borderId="24" xfId="0" applyFont="1" applyFill="1" applyBorder="1"/>
    <xf numFmtId="0" fontId="32" fillId="12" borderId="29" xfId="0" applyFont="1" applyFill="1" applyBorder="1" applyAlignment="1">
      <alignment horizontal="right"/>
    </xf>
    <xf numFmtId="42" fontId="0" fillId="12" borderId="24" xfId="0" applyNumberFormat="1" applyFont="1" applyFill="1" applyBorder="1"/>
    <xf numFmtId="42" fontId="0" fillId="12" borderId="29" xfId="0" applyNumberFormat="1" applyFont="1" applyFill="1" applyBorder="1"/>
    <xf numFmtId="164" fontId="0" fillId="12" borderId="24" xfId="0" applyNumberFormat="1" applyFont="1" applyFill="1" applyBorder="1"/>
    <xf numFmtId="42" fontId="0" fillId="12" borderId="30" xfId="0" applyNumberFormat="1" applyFont="1" applyFill="1" applyBorder="1"/>
    <xf numFmtId="42" fontId="0" fillId="12" borderId="31" xfId="0" applyNumberFormat="1" applyFont="1" applyFill="1" applyBorder="1"/>
    <xf numFmtId="0" fontId="0" fillId="12" borderId="24" xfId="0" applyFont="1" applyFill="1" applyBorder="1"/>
    <xf numFmtId="42" fontId="2" fillId="12" borderId="29" xfId="0" applyNumberFormat="1" applyFont="1" applyFill="1" applyBorder="1"/>
    <xf numFmtId="0" fontId="0" fillId="12" borderId="29" xfId="0" applyFont="1" applyFill="1" applyBorder="1"/>
    <xf numFmtId="0" fontId="0" fillId="12" borderId="30" xfId="0" applyFont="1" applyFill="1" applyBorder="1"/>
    <xf numFmtId="42" fontId="2" fillId="12" borderId="31" xfId="0" applyNumberFormat="1" applyFont="1" applyFill="1" applyBorder="1"/>
    <xf numFmtId="0" fontId="2" fillId="12" borderId="24" xfId="0" applyFont="1" applyFill="1" applyBorder="1"/>
    <xf numFmtId="0" fontId="32" fillId="12" borderId="30" xfId="0" applyFont="1" applyFill="1" applyBorder="1"/>
    <xf numFmtId="0" fontId="2" fillId="12" borderId="37" xfId="0" applyFont="1" applyFill="1" applyBorder="1" applyAlignment="1">
      <alignment horizontal="right"/>
    </xf>
    <xf numFmtId="10" fontId="2" fillId="12" borderId="39" xfId="2" applyNumberFormat="1" applyFont="1" applyFill="1" applyBorder="1"/>
    <xf numFmtId="0" fontId="22" fillId="13" borderId="8" xfId="0" applyFont="1" applyFill="1" applyBorder="1" applyAlignment="1">
      <alignment vertical="center"/>
    </xf>
    <xf numFmtId="0" fontId="22" fillId="13" borderId="0" xfId="0" applyFont="1" applyFill="1" applyBorder="1" applyAlignment="1">
      <alignment vertical="center"/>
    </xf>
    <xf numFmtId="40" fontId="27" fillId="13" borderId="22" xfId="0" applyNumberFormat="1" applyFont="1" applyFill="1" applyBorder="1" applyAlignment="1">
      <alignment horizontal="center" vertical="center"/>
    </xf>
    <xf numFmtId="0" fontId="13" fillId="13" borderId="8" xfId="0" applyFont="1" applyFill="1" applyBorder="1" applyAlignment="1">
      <alignment horizontal="left"/>
    </xf>
    <xf numFmtId="0" fontId="13" fillId="13" borderId="0" xfId="0" applyFont="1" applyFill="1" applyBorder="1" applyAlignment="1">
      <alignment horizontal="left"/>
    </xf>
    <xf numFmtId="42" fontId="23" fillId="13" borderId="0" xfId="0" applyNumberFormat="1" applyFont="1" applyFill="1" applyBorder="1" applyAlignment="1">
      <alignment horizontal="right"/>
    </xf>
    <xf numFmtId="42" fontId="13" fillId="13" borderId="8" xfId="0" applyNumberFormat="1" applyFont="1" applyFill="1" applyBorder="1"/>
    <xf numFmtId="42" fontId="13" fillId="13" borderId="0" xfId="0" applyNumberFormat="1" applyFont="1" applyFill="1" applyBorder="1"/>
    <xf numFmtId="42" fontId="13" fillId="13" borderId="10" xfId="0" applyNumberFormat="1" applyFont="1" applyFill="1" applyBorder="1"/>
    <xf numFmtId="0" fontId="21" fillId="13" borderId="37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6" fontId="0" fillId="0" borderId="24" xfId="0" applyNumberFormat="1" applyFont="1" applyFill="1" applyBorder="1" applyAlignment="1">
      <alignment horizontal="center" vertical="center" wrapText="1"/>
    </xf>
    <xf numFmtId="6" fontId="0" fillId="0" borderId="32" xfId="0" applyNumberFormat="1" applyFont="1" applyFill="1" applyBorder="1" applyAlignment="1">
      <alignment horizontal="center"/>
    </xf>
    <xf numFmtId="10" fontId="1" fillId="0" borderId="33" xfId="2" applyNumberFormat="1" applyFont="1" applyFill="1" applyBorder="1" applyAlignment="1">
      <alignment horizontal="center"/>
    </xf>
    <xf numFmtId="6" fontId="0" fillId="0" borderId="32" xfId="0" applyNumberFormat="1" applyFont="1" applyFill="1" applyBorder="1" applyAlignment="1">
      <alignment horizontal="center" vertical="center"/>
    </xf>
    <xf numFmtId="6" fontId="0" fillId="0" borderId="34" xfId="0" applyNumberFormat="1" applyFont="1" applyFill="1" applyBorder="1" applyAlignment="1">
      <alignment horizontal="center"/>
    </xf>
    <xf numFmtId="10" fontId="1" fillId="0" borderId="35" xfId="2" applyNumberFormat="1" applyFont="1" applyFill="1" applyBorder="1" applyAlignment="1">
      <alignment horizontal="center"/>
    </xf>
    <xf numFmtId="6" fontId="0" fillId="0" borderId="30" xfId="0" applyNumberFormat="1" applyFont="1" applyFill="1" applyBorder="1" applyAlignment="1">
      <alignment horizontal="center"/>
    </xf>
    <xf numFmtId="10" fontId="1" fillId="0" borderId="31" xfId="2" applyNumberFormat="1" applyFont="1" applyFill="1" applyBorder="1" applyAlignment="1">
      <alignment horizontal="center"/>
    </xf>
    <xf numFmtId="6" fontId="0" fillId="0" borderId="34" xfId="0" applyNumberFormat="1" applyFont="1" applyFill="1" applyBorder="1" applyAlignment="1">
      <alignment horizontal="center" vertical="center"/>
    </xf>
    <xf numFmtId="6" fontId="0" fillId="0" borderId="30" xfId="0" applyNumberFormat="1" applyFont="1" applyFill="1" applyBorder="1" applyAlignment="1">
      <alignment horizontal="center" vertical="center"/>
    </xf>
    <xf numFmtId="6" fontId="2" fillId="6" borderId="4" xfId="0" applyNumberFormat="1" applyFont="1" applyFill="1" applyBorder="1" applyAlignment="1">
      <alignment horizontal="center"/>
    </xf>
    <xf numFmtId="6" fontId="2" fillId="0" borderId="4" xfId="0" applyNumberFormat="1" applyFont="1" applyFill="1" applyBorder="1" applyAlignment="1">
      <alignment horizontal="center" vertical="center" wrapText="1"/>
    </xf>
    <xf numFmtId="6" fontId="2" fillId="0" borderId="6" xfId="0" applyNumberFormat="1" applyFont="1" applyFill="1" applyBorder="1" applyAlignment="1">
      <alignment horizontal="center" vertical="center" wrapText="1"/>
    </xf>
    <xf numFmtId="6" fontId="2" fillId="0" borderId="38" xfId="0" applyNumberFormat="1" applyFont="1" applyFill="1" applyBorder="1" applyAlignment="1">
      <alignment horizontal="center"/>
    </xf>
    <xf numFmtId="6" fontId="0" fillId="11" borderId="7" xfId="0" applyNumberFormat="1" applyFont="1" applyFill="1" applyBorder="1" applyAlignment="1">
      <alignment horizontal="center"/>
    </xf>
    <xf numFmtId="6" fontId="2" fillId="11" borderId="49" xfId="0" applyNumberFormat="1" applyFont="1" applyFill="1" applyBorder="1" applyAlignment="1">
      <alignment horizontal="center"/>
    </xf>
    <xf numFmtId="6" fontId="2" fillId="0" borderId="27" xfId="0" applyNumberFormat="1" applyFont="1" applyFill="1" applyBorder="1" applyAlignment="1">
      <alignment horizontal="center"/>
    </xf>
    <xf numFmtId="6" fontId="2" fillId="0" borderId="9" xfId="0" applyNumberFormat="1" applyFont="1" applyFill="1" applyBorder="1" applyAlignment="1">
      <alignment horizontal="center"/>
    </xf>
    <xf numFmtId="6" fontId="2" fillId="0" borderId="47" xfId="0" applyNumberFormat="1" applyFont="1" applyFill="1" applyBorder="1" applyAlignment="1">
      <alignment horizontal="center"/>
    </xf>
    <xf numFmtId="6" fontId="2" fillId="0" borderId="48" xfId="0" applyNumberFormat="1" applyFont="1" applyFill="1" applyBorder="1" applyAlignment="1">
      <alignment horizontal="center"/>
    </xf>
    <xf numFmtId="6" fontId="2" fillId="0" borderId="37" xfId="0" applyNumberFormat="1" applyFont="1" applyFill="1" applyBorder="1" applyAlignment="1">
      <alignment horizontal="center"/>
    </xf>
    <xf numFmtId="6" fontId="2" fillId="0" borderId="39" xfId="0" applyNumberFormat="1" applyFont="1" applyFill="1" applyBorder="1" applyAlignment="1">
      <alignment horizontal="center"/>
    </xf>
    <xf numFmtId="6" fontId="2" fillId="0" borderId="24" xfId="0" applyNumberFormat="1" applyFont="1" applyFill="1" applyBorder="1" applyAlignment="1">
      <alignment horizontal="center"/>
    </xf>
    <xf numFmtId="6" fontId="2" fillId="0" borderId="29" xfId="0" applyNumberFormat="1" applyFont="1" applyFill="1" applyBorder="1" applyAlignment="1">
      <alignment horizontal="center"/>
    </xf>
    <xf numFmtId="6" fontId="0" fillId="0" borderId="37" xfId="0" applyNumberFormat="1" applyFont="1" applyFill="1" applyBorder="1"/>
    <xf numFmtId="0" fontId="0" fillId="0" borderId="47" xfId="0" applyFont="1" applyFill="1" applyBorder="1"/>
    <xf numFmtId="6" fontId="2" fillId="0" borderId="9" xfId="0" applyNumberFormat="1" applyFont="1" applyFill="1" applyBorder="1" applyAlignment="1">
      <alignment horizontal="right"/>
    </xf>
    <xf numFmtId="0" fontId="0" fillId="0" borderId="39" xfId="0" applyFont="1" applyFill="1" applyBorder="1"/>
    <xf numFmtId="10" fontId="2" fillId="0" borderId="29" xfId="2" applyNumberFormat="1" applyFont="1" applyFill="1" applyBorder="1" applyAlignment="1">
      <alignment horizontal="center"/>
    </xf>
    <xf numFmtId="0" fontId="2" fillId="9" borderId="4" xfId="0" applyFont="1" applyFill="1" applyBorder="1"/>
    <xf numFmtId="6" fontId="0" fillId="0" borderId="12" xfId="0" applyNumberFormat="1" applyFont="1" applyFill="1" applyBorder="1"/>
    <xf numFmtId="42" fontId="13" fillId="0" borderId="0" xfId="0" applyNumberFormat="1" applyFont="1"/>
    <xf numFmtId="167" fontId="0" fillId="0" borderId="0" xfId="0" applyNumberFormat="1"/>
    <xf numFmtId="164" fontId="2" fillId="9" borderId="5" xfId="0" applyNumberFormat="1" applyFont="1" applyFill="1" applyBorder="1" applyAlignment="1">
      <alignment horizontal="right"/>
    </xf>
    <xf numFmtId="0" fontId="2" fillId="12" borderId="47" xfId="0" applyFont="1" applyFill="1" applyBorder="1" applyAlignment="1">
      <alignment horizontal="center"/>
    </xf>
    <xf numFmtId="0" fontId="2" fillId="12" borderId="9" xfId="0" applyFont="1" applyFill="1" applyBorder="1" applyAlignment="1">
      <alignment horizontal="center"/>
    </xf>
    <xf numFmtId="0" fontId="2" fillId="12" borderId="48" xfId="0" applyFont="1" applyFill="1" applyBorder="1" applyAlignment="1">
      <alignment horizontal="center"/>
    </xf>
    <xf numFmtId="0" fontId="2" fillId="12" borderId="24" xfId="0" applyFont="1" applyFill="1" applyBorder="1" applyAlignment="1">
      <alignment horizontal="center"/>
    </xf>
    <xf numFmtId="6" fontId="0" fillId="12" borderId="0" xfId="0" applyNumberFormat="1" applyFont="1" applyFill="1" applyBorder="1" applyAlignment="1">
      <alignment horizontal="center"/>
    </xf>
    <xf numFmtId="6" fontId="0" fillId="12" borderId="29" xfId="0" applyNumberFormat="1" applyFont="1" applyFill="1" applyBorder="1" applyAlignment="1">
      <alignment horizontal="center"/>
    </xf>
    <xf numFmtId="0" fontId="0" fillId="12" borderId="0" xfId="0" applyFont="1" applyFill="1" applyBorder="1" applyAlignment="1">
      <alignment horizontal="center"/>
    </xf>
    <xf numFmtId="6" fontId="0" fillId="12" borderId="29" xfId="0" applyNumberFormat="1" applyFont="1" applyFill="1" applyBorder="1"/>
    <xf numFmtId="0" fontId="0" fillId="12" borderId="12" xfId="0" applyFont="1" applyFill="1" applyBorder="1" applyAlignment="1">
      <alignment horizontal="center"/>
    </xf>
    <xf numFmtId="6" fontId="0" fillId="12" borderId="31" xfId="0" applyNumberFormat="1" applyFont="1" applyFill="1" applyBorder="1"/>
    <xf numFmtId="0" fontId="0" fillId="9" borderId="37" xfId="0" applyFont="1" applyFill="1" applyBorder="1"/>
    <xf numFmtId="0" fontId="0" fillId="9" borderId="23" xfId="0" applyFont="1" applyFill="1" applyBorder="1" applyAlignment="1">
      <alignment horizontal="center"/>
    </xf>
    <xf numFmtId="0" fontId="31" fillId="0" borderId="0" xfId="0" applyFont="1" applyFill="1" applyBorder="1"/>
    <xf numFmtId="0" fontId="31" fillId="0" borderId="0" xfId="0" applyFont="1" applyFill="1" applyBorder="1" applyAlignment="1">
      <alignment horizontal="center"/>
    </xf>
    <xf numFmtId="6" fontId="33" fillId="0" borderId="0" xfId="0" applyNumberFormat="1" applyFont="1" applyFill="1" applyBorder="1"/>
    <xf numFmtId="3" fontId="21" fillId="13" borderId="6" xfId="0" applyNumberFormat="1" applyFont="1" applyFill="1" applyBorder="1" applyAlignment="1">
      <alignment horizontal="center"/>
    </xf>
    <xf numFmtId="6" fontId="2" fillId="12" borderId="12" xfId="0" applyNumberFormat="1" applyFont="1" applyFill="1" applyBorder="1" applyAlignment="1">
      <alignment horizontal="center"/>
    </xf>
    <xf numFmtId="6" fontId="0" fillId="0" borderId="24" xfId="0" applyNumberFormat="1" applyFont="1" applyFill="1" applyBorder="1" applyAlignment="1">
      <alignment horizontal="center"/>
    </xf>
    <xf numFmtId="10" fontId="1" fillId="0" borderId="29" xfId="2" applyNumberFormat="1" applyFont="1" applyFill="1" applyBorder="1" applyAlignment="1">
      <alignment horizontal="center"/>
    </xf>
    <xf numFmtId="6" fontId="2" fillId="11" borderId="37" xfId="0" applyNumberFormat="1" applyFont="1" applyFill="1" applyBorder="1" applyAlignment="1">
      <alignment horizontal="center"/>
    </xf>
    <xf numFmtId="10" fontId="2" fillId="11" borderId="6" xfId="0" applyNumberFormat="1" applyFont="1" applyFill="1" applyBorder="1" applyAlignment="1">
      <alignment horizontal="center"/>
    </xf>
    <xf numFmtId="6" fontId="2" fillId="3" borderId="39" xfId="0" applyNumberFormat="1" applyFont="1" applyFill="1" applyBorder="1"/>
    <xf numFmtId="6" fontId="2" fillId="14" borderId="6" xfId="0" applyNumberFormat="1" applyFont="1" applyFill="1" applyBorder="1" applyAlignment="1">
      <alignment horizontal="center"/>
    </xf>
    <xf numFmtId="42" fontId="2" fillId="14" borderId="6" xfId="0" applyNumberFormat="1" applyFont="1" applyFill="1" applyBorder="1"/>
    <xf numFmtId="0" fontId="30" fillId="0" borderId="0" xfId="0" applyFont="1" applyFill="1" applyBorder="1"/>
    <xf numFmtId="0" fontId="2" fillId="0" borderId="27" xfId="0" applyFont="1" applyFill="1" applyBorder="1"/>
    <xf numFmtId="0" fontId="0" fillId="0" borderId="0" xfId="0"/>
    <xf numFmtId="0" fontId="30" fillId="0" borderId="0" xfId="0" applyFont="1"/>
    <xf numFmtId="0" fontId="32" fillId="0" borderId="0" xfId="0" applyFont="1"/>
    <xf numFmtId="3" fontId="21" fillId="13" borderId="5" xfId="0" applyNumberFormat="1" applyFont="1" applyFill="1" applyBorder="1" applyAlignment="1">
      <alignment horizontal="center"/>
    </xf>
    <xf numFmtId="0" fontId="0" fillId="0" borderId="0" xfId="0" applyFont="1" applyFill="1" applyAlignment="1">
      <alignment horizontal="right"/>
    </xf>
    <xf numFmtId="0" fontId="2" fillId="12" borderId="3" xfId="0" applyFont="1" applyFill="1" applyBorder="1" applyAlignment="1">
      <alignment horizontal="center" vertical="center" wrapText="1"/>
    </xf>
    <xf numFmtId="6" fontId="0" fillId="12" borderId="51" xfId="0" applyNumberFormat="1" applyFont="1" applyFill="1" applyBorder="1" applyAlignment="1">
      <alignment horizontal="center"/>
    </xf>
    <xf numFmtId="6" fontId="0" fillId="12" borderId="51" xfId="0" applyNumberFormat="1" applyFont="1" applyFill="1" applyBorder="1" applyAlignment="1">
      <alignment horizontal="center" vertical="center"/>
    </xf>
    <xf numFmtId="6" fontId="0" fillId="12" borderId="52" xfId="0" applyNumberFormat="1" applyFont="1" applyFill="1" applyBorder="1" applyAlignment="1">
      <alignment horizontal="center" vertical="center"/>
    </xf>
    <xf numFmtId="6" fontId="0" fillId="12" borderId="53" xfId="0" applyNumberFormat="1" applyFont="1" applyFill="1" applyBorder="1" applyAlignment="1">
      <alignment horizontal="center"/>
    </xf>
    <xf numFmtId="6" fontId="0" fillId="12" borderId="54" xfId="0" applyNumberFormat="1" applyFont="1" applyFill="1" applyBorder="1" applyAlignment="1">
      <alignment horizontal="center" vertical="center"/>
    </xf>
    <xf numFmtId="6" fontId="2" fillId="12" borderId="3" xfId="0" applyNumberFormat="1" applyFont="1" applyFill="1" applyBorder="1" applyAlignment="1">
      <alignment horizontal="center"/>
    </xf>
    <xf numFmtId="6" fontId="2" fillId="0" borderId="2" xfId="0" applyNumberFormat="1" applyFont="1" applyFill="1" applyBorder="1" applyAlignment="1">
      <alignment horizontal="center"/>
    </xf>
    <xf numFmtId="6" fontId="2" fillId="0" borderId="51" xfId="0" applyNumberFormat="1" applyFont="1" applyFill="1" applyBorder="1" applyAlignment="1">
      <alignment horizontal="center"/>
    </xf>
    <xf numFmtId="6" fontId="2" fillId="12" borderId="3" xfId="0" applyNumberFormat="1" applyFont="1" applyFill="1" applyBorder="1" applyAlignment="1">
      <alignment horizontal="center" vertical="center" wrapText="1"/>
    </xf>
    <xf numFmtId="6" fontId="2" fillId="3" borderId="25" xfId="2" applyNumberFormat="1" applyFont="1" applyFill="1" applyBorder="1" applyAlignment="1">
      <alignment horizontal="center"/>
    </xf>
    <xf numFmtId="0" fontId="2" fillId="15" borderId="0" xfId="0" applyFont="1" applyFill="1" applyBorder="1" applyAlignment="1">
      <alignment horizontal="center" vertical="center" wrapText="1"/>
    </xf>
    <xf numFmtId="164" fontId="1" fillId="15" borderId="0" xfId="1" applyNumberFormat="1" applyFont="1" applyFill="1" applyBorder="1" applyAlignment="1">
      <alignment horizontal="center" vertical="center"/>
    </xf>
    <xf numFmtId="164" fontId="2" fillId="15" borderId="0" xfId="2" applyNumberFormat="1" applyFont="1" applyFill="1" applyBorder="1" applyAlignment="1">
      <alignment horizontal="center"/>
    </xf>
    <xf numFmtId="10" fontId="2" fillId="15" borderId="0" xfId="2" applyNumberFormat="1" applyFont="1" applyFill="1" applyBorder="1" applyAlignment="1">
      <alignment horizontal="center"/>
    </xf>
    <xf numFmtId="0" fontId="0" fillId="15" borderId="0" xfId="0" applyFont="1" applyFill="1" applyBorder="1"/>
    <xf numFmtId="164" fontId="2" fillId="15" borderId="0" xfId="1" applyNumberFormat="1" applyFont="1" applyFill="1" applyBorder="1" applyAlignment="1">
      <alignment horizontal="center"/>
    </xf>
    <xf numFmtId="6" fontId="34" fillId="0" borderId="37" xfId="0" applyNumberFormat="1" applyFont="1" applyFill="1" applyBorder="1" applyAlignment="1">
      <alignment horizontal="center"/>
    </xf>
    <xf numFmtId="0" fontId="34" fillId="0" borderId="0" xfId="0" applyFont="1" applyFill="1"/>
    <xf numFmtId="6" fontId="0" fillId="0" borderId="26" xfId="0" applyNumberFormat="1" applyFont="1" applyFill="1" applyBorder="1" applyAlignment="1">
      <alignment horizontal="center"/>
    </xf>
    <xf numFmtId="6" fontId="34" fillId="0" borderId="26" xfId="0" applyNumberFormat="1" applyFont="1" applyFill="1" applyBorder="1" applyAlignment="1">
      <alignment horizontal="center"/>
    </xf>
    <xf numFmtId="0" fontId="34" fillId="0" borderId="0" xfId="0" applyFont="1" applyFill="1" applyBorder="1"/>
    <xf numFmtId="6" fontId="2" fillId="0" borderId="0" xfId="0" applyNumberFormat="1" applyFont="1" applyFill="1" applyAlignment="1">
      <alignment horizontal="center"/>
    </xf>
    <xf numFmtId="6" fontId="32" fillId="0" borderId="0" xfId="0" applyNumberFormat="1" applyFont="1" applyFill="1" applyAlignment="1">
      <alignment horizontal="center"/>
    </xf>
    <xf numFmtId="0" fontId="32" fillId="0" borderId="0" xfId="0" applyFont="1" applyFill="1" applyAlignment="1">
      <alignment horizontal="right"/>
    </xf>
    <xf numFmtId="0" fontId="32" fillId="0" borderId="0" xfId="0" applyFont="1" applyFill="1"/>
    <xf numFmtId="0" fontId="32" fillId="0" borderId="4" xfId="0" applyFont="1" applyFill="1" applyBorder="1" applyAlignment="1">
      <alignment horizontal="right"/>
    </xf>
    <xf numFmtId="0" fontId="32" fillId="0" borderId="5" xfId="0" applyFont="1" applyFill="1" applyBorder="1" applyAlignment="1">
      <alignment horizontal="right"/>
    </xf>
    <xf numFmtId="6" fontId="32" fillId="0" borderId="6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164" fontId="2" fillId="3" borderId="28" xfId="0" applyNumberFormat="1" applyFont="1" applyFill="1" applyBorder="1"/>
    <xf numFmtId="0" fontId="20" fillId="10" borderId="0" xfId="0" applyFont="1" applyFill="1" applyBorder="1" applyAlignment="1">
      <alignment horizontal="center"/>
    </xf>
    <xf numFmtId="44" fontId="0" fillId="0" borderId="0" xfId="1" applyFont="1"/>
    <xf numFmtId="0" fontId="13" fillId="10" borderId="14" xfId="0" applyFont="1" applyFill="1" applyBorder="1" applyAlignment="1">
      <alignment horizontal="left"/>
    </xf>
    <xf numFmtId="0" fontId="13" fillId="10" borderId="15" xfId="0" applyFont="1" applyFill="1" applyBorder="1" applyAlignment="1">
      <alignment horizontal="left"/>
    </xf>
    <xf numFmtId="10" fontId="23" fillId="10" borderId="15" xfId="2" applyNumberFormat="1" applyFont="1" applyFill="1" applyBorder="1" applyAlignment="1">
      <alignment horizontal="right"/>
    </xf>
    <xf numFmtId="0" fontId="13" fillId="10" borderId="15" xfId="0" applyFont="1" applyFill="1" applyBorder="1"/>
    <xf numFmtId="0" fontId="13" fillId="10" borderId="16" xfId="0" applyFont="1" applyFill="1" applyBorder="1"/>
    <xf numFmtId="0" fontId="36" fillId="10" borderId="14" xfId="0" applyFont="1" applyFill="1" applyBorder="1" applyAlignment="1">
      <alignment horizontal="left"/>
    </xf>
    <xf numFmtId="0" fontId="36" fillId="10" borderId="15" xfId="0" applyFont="1" applyFill="1" applyBorder="1" applyAlignment="1">
      <alignment horizontal="left"/>
    </xf>
    <xf numFmtId="10" fontId="36" fillId="10" borderId="16" xfId="2" applyNumberFormat="1" applyFont="1" applyFill="1" applyBorder="1" applyAlignment="1">
      <alignment horizontal="right"/>
    </xf>
    <xf numFmtId="0" fontId="36" fillId="10" borderId="15" xfId="0" applyFont="1" applyFill="1" applyBorder="1"/>
    <xf numFmtId="10" fontId="0" fillId="0" borderId="0" xfId="0" applyNumberFormat="1" applyFill="1" applyBorder="1" applyAlignment="1">
      <alignment horizontal="center"/>
    </xf>
    <xf numFmtId="164" fontId="13" fillId="0" borderId="29" xfId="0" applyNumberFormat="1" applyFont="1" applyFill="1" applyBorder="1"/>
    <xf numFmtId="164" fontId="20" fillId="3" borderId="26" xfId="0" applyNumberFormat="1" applyFont="1" applyFill="1" applyBorder="1"/>
    <xf numFmtId="0" fontId="13" fillId="0" borderId="5" xfId="0" applyFont="1" applyFill="1" applyBorder="1"/>
    <xf numFmtId="164" fontId="13" fillId="0" borderId="6" xfId="0" applyNumberFormat="1" applyFont="1" applyFill="1" applyBorder="1"/>
    <xf numFmtId="0" fontId="21" fillId="0" borderId="4" xfId="0" applyFont="1" applyFill="1" applyBorder="1"/>
    <xf numFmtId="164" fontId="13" fillId="0" borderId="29" xfId="0" applyNumberFormat="1" applyFont="1" applyBorder="1"/>
    <xf numFmtId="0" fontId="20" fillId="0" borderId="0" xfId="0" applyFont="1" applyBorder="1" applyAlignment="1">
      <alignment horizontal="center"/>
    </xf>
    <xf numFmtId="10" fontId="23" fillId="10" borderId="13" xfId="2" applyNumberFormat="1" applyFont="1" applyFill="1" applyBorder="1" applyAlignment="1">
      <alignment horizontal="right"/>
    </xf>
    <xf numFmtId="10" fontId="36" fillId="10" borderId="15" xfId="2" applyNumberFormat="1" applyFont="1" applyFill="1" applyBorder="1" applyAlignment="1">
      <alignment horizontal="right"/>
    </xf>
    <xf numFmtId="44" fontId="23" fillId="10" borderId="19" xfId="0" applyNumberFormat="1" applyFont="1" applyFill="1" applyBorder="1"/>
    <xf numFmtId="0" fontId="38" fillId="0" borderId="0" xfId="0" applyFont="1"/>
    <xf numFmtId="0" fontId="39" fillId="0" borderId="0" xfId="0" applyFont="1"/>
    <xf numFmtId="168" fontId="39" fillId="0" borderId="0" xfId="0" applyNumberFormat="1" applyFont="1"/>
    <xf numFmtId="6" fontId="39" fillId="0" borderId="0" xfId="0" applyNumberFormat="1" applyFont="1"/>
    <xf numFmtId="6" fontId="39" fillId="0" borderId="0" xfId="0" applyNumberFormat="1" applyFont="1" applyFill="1"/>
    <xf numFmtId="0" fontId="39" fillId="0" borderId="0" xfId="0" applyFont="1" applyAlignment="1">
      <alignment horizontal="center"/>
    </xf>
    <xf numFmtId="14" fontId="40" fillId="0" borderId="0" xfId="0" applyNumberFormat="1" applyFont="1" applyAlignment="1">
      <alignment horizontal="left"/>
    </xf>
    <xf numFmtId="0" fontId="39" fillId="0" borderId="0" xfId="0" applyFont="1" applyBorder="1"/>
    <xf numFmtId="168" fontId="13" fillId="0" borderId="0" xfId="0" applyNumberFormat="1" applyFont="1"/>
    <xf numFmtId="6" fontId="13" fillId="0" borderId="0" xfId="0" applyNumberFormat="1" applyFont="1"/>
    <xf numFmtId="6" fontId="13" fillId="0" borderId="0" xfId="0" applyNumberFormat="1" applyFont="1" applyFill="1"/>
    <xf numFmtId="0" fontId="41" fillId="0" borderId="0" xfId="0" applyFont="1"/>
    <xf numFmtId="2" fontId="13" fillId="0" borderId="0" xfId="2" applyNumberFormat="1" applyFont="1"/>
    <xf numFmtId="6" fontId="20" fillId="0" borderId="0" xfId="0" applyNumberFormat="1" applyFont="1" applyFill="1"/>
    <xf numFmtId="38" fontId="20" fillId="0" borderId="0" xfId="0" applyNumberFormat="1" applyFont="1" applyFill="1" applyAlignment="1">
      <alignment horizontal="center"/>
    </xf>
    <xf numFmtId="0" fontId="21" fillId="0" borderId="4" xfId="0" applyFont="1" applyBorder="1" applyAlignment="1">
      <alignment horizontal="center"/>
    </xf>
    <xf numFmtId="38" fontId="21" fillId="0" borderId="5" xfId="0" applyNumberFormat="1" applyFont="1" applyBorder="1" applyAlignment="1">
      <alignment horizontal="center"/>
    </xf>
    <xf numFmtId="0" fontId="39" fillId="0" borderId="5" xfId="0" applyFont="1" applyBorder="1"/>
    <xf numFmtId="0" fontId="39" fillId="0" borderId="6" xfId="0" applyFont="1" applyBorder="1"/>
    <xf numFmtId="42" fontId="20" fillId="0" borderId="0" xfId="0" applyNumberFormat="1" applyFont="1"/>
    <xf numFmtId="4" fontId="20" fillId="0" borderId="0" xfId="0" applyNumberFormat="1" applyFont="1"/>
    <xf numFmtId="164" fontId="20" fillId="0" borderId="0" xfId="0" applyNumberFormat="1" applyFont="1" applyFill="1"/>
    <xf numFmtId="6" fontId="20" fillId="0" borderId="0" xfId="0" applyNumberFormat="1" applyFont="1" applyFill="1" applyAlignment="1">
      <alignment horizontal="center"/>
    </xf>
    <xf numFmtId="0" fontId="13" fillId="0" borderId="24" xfId="0" applyFont="1" applyFill="1" applyBorder="1" applyAlignment="1">
      <alignment horizontal="left"/>
    </xf>
    <xf numFmtId="164" fontId="23" fillId="0" borderId="0" xfId="1" applyNumberFormat="1" applyFont="1" applyFill="1" applyBorder="1"/>
    <xf numFmtId="42" fontId="13" fillId="0" borderId="18" xfId="0" applyNumberFormat="1" applyFont="1" applyFill="1" applyBorder="1"/>
    <xf numFmtId="42" fontId="26" fillId="0" borderId="19" xfId="0" applyNumberFormat="1" applyFont="1" applyFill="1" applyBorder="1" applyAlignment="1">
      <alignment horizontal="center"/>
    </xf>
    <xf numFmtId="42" fontId="20" fillId="0" borderId="19" xfId="0" applyNumberFormat="1" applyFont="1" applyFill="1" applyBorder="1" applyAlignment="1">
      <alignment horizontal="center"/>
    </xf>
    <xf numFmtId="42" fontId="20" fillId="0" borderId="0" xfId="0" applyNumberFormat="1" applyFont="1" applyFill="1" applyBorder="1" applyAlignment="1">
      <alignment horizontal="center"/>
    </xf>
    <xf numFmtId="42" fontId="20" fillId="0" borderId="29" xfId="0" applyNumberFormat="1" applyFont="1" applyFill="1" applyBorder="1" applyAlignment="1">
      <alignment horizontal="center"/>
    </xf>
    <xf numFmtId="0" fontId="13" fillId="0" borderId="24" xfId="0" applyFont="1" applyFill="1" applyBorder="1" applyAlignment="1"/>
    <xf numFmtId="42" fontId="22" fillId="0" borderId="0" xfId="0" applyNumberFormat="1" applyFont="1" applyFill="1" applyBorder="1"/>
    <xf numFmtId="42" fontId="13" fillId="0" borderId="0" xfId="0" applyNumberFormat="1" applyFont="1" applyFill="1" applyBorder="1"/>
    <xf numFmtId="42" fontId="13" fillId="0" borderId="29" xfId="0" applyNumberFormat="1" applyFont="1" applyFill="1" applyBorder="1"/>
    <xf numFmtId="0" fontId="21" fillId="0" borderId="5" xfId="0" applyFont="1" applyBorder="1" applyAlignment="1">
      <alignment horizontal="right"/>
    </xf>
    <xf numFmtId="3" fontId="21" fillId="0" borderId="6" xfId="0" applyNumberFormat="1" applyFont="1" applyBorder="1" applyAlignment="1">
      <alignment horizontal="center"/>
    </xf>
    <xf numFmtId="42" fontId="41" fillId="0" borderId="0" xfId="0" applyNumberFormat="1" applyFont="1"/>
    <xf numFmtId="4" fontId="41" fillId="0" borderId="0" xfId="0" applyNumberFormat="1" applyFont="1"/>
    <xf numFmtId="164" fontId="41" fillId="0" borderId="0" xfId="0" applyNumberFormat="1" applyFont="1"/>
    <xf numFmtId="42" fontId="39" fillId="0" borderId="0" xfId="0" applyNumberFormat="1" applyFont="1"/>
    <xf numFmtId="4" fontId="39" fillId="0" borderId="0" xfId="0" applyNumberFormat="1" applyFont="1"/>
    <xf numFmtId="164" fontId="39" fillId="0" borderId="0" xfId="0" applyNumberFormat="1" applyFont="1"/>
    <xf numFmtId="0" fontId="22" fillId="0" borderId="24" xfId="0" applyFont="1" applyBorder="1"/>
    <xf numFmtId="0" fontId="27" fillId="0" borderId="0" xfId="0" applyFont="1" applyFill="1" applyBorder="1" applyAlignment="1">
      <alignment horizontal="center"/>
    </xf>
    <xf numFmtId="164" fontId="22" fillId="0" borderId="29" xfId="0" applyNumberFormat="1" applyFont="1" applyBorder="1" applyAlignment="1">
      <alignment horizontal="center"/>
    </xf>
    <xf numFmtId="2" fontId="27" fillId="0" borderId="0" xfId="0" applyNumberFormat="1" applyFont="1" applyFill="1" applyBorder="1" applyAlignment="1">
      <alignment horizontal="center"/>
    </xf>
    <xf numFmtId="42" fontId="22" fillId="0" borderId="12" xfId="0" applyNumberFormat="1" applyFont="1" applyFill="1" applyBorder="1"/>
    <xf numFmtId="42" fontId="13" fillId="0" borderId="12" xfId="0" applyNumberFormat="1" applyFont="1" applyFill="1" applyBorder="1"/>
    <xf numFmtId="0" fontId="13" fillId="0" borderId="32" xfId="0" applyFont="1" applyFill="1" applyBorder="1"/>
    <xf numFmtId="0" fontId="20" fillId="0" borderId="15" xfId="0" applyFont="1" applyFill="1" applyBorder="1" applyAlignment="1">
      <alignment horizontal="center"/>
    </xf>
    <xf numFmtId="42" fontId="23" fillId="0" borderId="15" xfId="0" applyNumberFormat="1" applyFont="1" applyFill="1" applyBorder="1" applyAlignment="1">
      <alignment horizontal="center"/>
    </xf>
    <xf numFmtId="42" fontId="23" fillId="0" borderId="33" xfId="0" applyNumberFormat="1" applyFont="1" applyFill="1" applyBorder="1" applyAlignment="1">
      <alignment horizontal="center"/>
    </xf>
    <xf numFmtId="0" fontId="13" fillId="0" borderId="24" xfId="0" applyFont="1" applyFill="1" applyBorder="1"/>
    <xf numFmtId="42" fontId="22" fillId="0" borderId="18" xfId="0" applyNumberFormat="1" applyFont="1" applyFill="1" applyBorder="1" applyAlignment="1">
      <alignment horizontal="left"/>
    </xf>
    <xf numFmtId="42" fontId="22" fillId="0" borderId="19" xfId="0" applyNumberFormat="1" applyFont="1" applyFill="1" applyBorder="1" applyAlignment="1">
      <alignment horizontal="center"/>
    </xf>
    <xf numFmtId="42" fontId="23" fillId="0" borderId="19" xfId="0" applyNumberFormat="1" applyFont="1" applyFill="1" applyBorder="1" applyAlignment="1">
      <alignment horizontal="center"/>
    </xf>
    <xf numFmtId="42" fontId="23" fillId="0" borderId="0" xfId="0" applyNumberFormat="1" applyFont="1" applyFill="1" applyBorder="1" applyAlignment="1">
      <alignment horizontal="center"/>
    </xf>
    <xf numFmtId="42" fontId="23" fillId="0" borderId="29" xfId="0" applyNumberFormat="1" applyFont="1" applyFill="1" applyBorder="1" applyAlignment="1">
      <alignment horizontal="center"/>
    </xf>
    <xf numFmtId="40" fontId="27" fillId="0" borderId="0" xfId="0" applyNumberFormat="1" applyFont="1" applyFill="1" applyBorder="1" applyAlignment="1">
      <alignment horizontal="center"/>
    </xf>
    <xf numFmtId="42" fontId="22" fillId="0" borderId="8" xfId="0" applyNumberFormat="1" applyFont="1" applyFill="1" applyBorder="1"/>
    <xf numFmtId="0" fontId="13" fillId="0" borderId="24" xfId="0" applyFont="1" applyFill="1" applyBorder="1" applyAlignment="1">
      <alignment wrapText="1"/>
    </xf>
    <xf numFmtId="0" fontId="24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10" fontId="23" fillId="0" borderId="0" xfId="0" applyNumberFormat="1" applyFont="1" applyBorder="1" applyAlignment="1">
      <alignment horizontal="center"/>
    </xf>
    <xf numFmtId="42" fontId="22" fillId="0" borderId="11" xfId="0" applyNumberFormat="1" applyFont="1" applyFill="1" applyBorder="1"/>
    <xf numFmtId="4" fontId="13" fillId="0" borderId="28" xfId="0" applyNumberFormat="1" applyFont="1" applyBorder="1" applyAlignment="1">
      <alignment horizontal="center"/>
    </xf>
    <xf numFmtId="6" fontId="13" fillId="0" borderId="28" xfId="0" applyNumberFormat="1" applyFont="1" applyBorder="1" applyAlignment="1">
      <alignment horizontal="center"/>
    </xf>
    <xf numFmtId="0" fontId="13" fillId="0" borderId="15" xfId="0" applyFont="1" applyFill="1" applyBorder="1" applyAlignment="1">
      <alignment horizontal="center"/>
    </xf>
    <xf numFmtId="0" fontId="13" fillId="0" borderId="33" xfId="0" applyFont="1" applyFill="1" applyBorder="1" applyAlignment="1">
      <alignment horizontal="center"/>
    </xf>
    <xf numFmtId="0" fontId="20" fillId="0" borderId="24" xfId="0" applyFont="1" applyBorder="1" applyAlignment="1">
      <alignment horizontal="right"/>
    </xf>
    <xf numFmtId="4" fontId="13" fillId="0" borderId="0" xfId="0" applyNumberFormat="1" applyFont="1" applyBorder="1" applyAlignment="1">
      <alignment horizontal="center"/>
    </xf>
    <xf numFmtId="6" fontId="13" fillId="0" borderId="0" xfId="0" applyNumberFormat="1" applyFont="1" applyBorder="1" applyAlignment="1">
      <alignment horizontal="center"/>
    </xf>
    <xf numFmtId="42" fontId="20" fillId="0" borderId="29" xfId="0" applyNumberFormat="1" applyFont="1" applyBorder="1"/>
    <xf numFmtId="168" fontId="41" fillId="0" borderId="0" xfId="0" applyNumberFormat="1" applyFont="1" applyAlignment="1">
      <alignment horizontal="center"/>
    </xf>
    <xf numFmtId="0" fontId="41" fillId="0" borderId="0" xfId="0" applyFont="1" applyFill="1"/>
    <xf numFmtId="10" fontId="39" fillId="0" borderId="0" xfId="2" applyNumberFormat="1" applyFont="1" applyFill="1" applyBorder="1" applyAlignment="1">
      <alignment horizontal="center"/>
    </xf>
    <xf numFmtId="0" fontId="39" fillId="0" borderId="0" xfId="0" applyFont="1" applyFill="1"/>
    <xf numFmtId="0" fontId="13" fillId="0" borderId="34" xfId="0" applyFont="1" applyFill="1" applyBorder="1" applyAlignment="1">
      <alignment horizontal="left"/>
    </xf>
    <xf numFmtId="10" fontId="27" fillId="0" borderId="19" xfId="0" applyNumberFormat="1" applyFont="1" applyFill="1" applyBorder="1" applyAlignment="1">
      <alignment horizontal="center"/>
    </xf>
    <xf numFmtId="42" fontId="22" fillId="0" borderId="18" xfId="0" applyNumberFormat="1" applyFont="1" applyFill="1" applyBorder="1"/>
    <xf numFmtId="42" fontId="22" fillId="0" borderId="19" xfId="0" applyNumberFormat="1" applyFont="1" applyFill="1" applyBorder="1"/>
    <xf numFmtId="42" fontId="13" fillId="0" borderId="19" xfId="0" applyNumberFormat="1" applyFont="1" applyFill="1" applyBorder="1"/>
    <xf numFmtId="0" fontId="20" fillId="0" borderId="24" xfId="0" applyFont="1" applyBorder="1" applyAlignment="1">
      <alignment horizontal="left"/>
    </xf>
    <xf numFmtId="6" fontId="20" fillId="0" borderId="0" xfId="0" applyNumberFormat="1" applyFont="1" applyBorder="1" applyAlignment="1">
      <alignment horizontal="center"/>
    </xf>
    <xf numFmtId="10" fontId="39" fillId="0" borderId="0" xfId="2" applyNumberFormat="1" applyFont="1" applyFill="1" applyAlignment="1">
      <alignment horizontal="center"/>
    </xf>
    <xf numFmtId="166" fontId="23" fillId="0" borderId="0" xfId="0" applyNumberFormat="1" applyFont="1" applyFill="1" applyBorder="1" applyAlignment="1">
      <alignment horizontal="center"/>
    </xf>
    <xf numFmtId="0" fontId="39" fillId="0" borderId="0" xfId="0" applyFont="1" applyFill="1" applyAlignment="1">
      <alignment horizontal="center"/>
    </xf>
    <xf numFmtId="44" fontId="23" fillId="0" borderId="0" xfId="1" applyNumberFormat="1" applyFont="1" applyFill="1" applyBorder="1"/>
    <xf numFmtId="166" fontId="22" fillId="0" borderId="0" xfId="0" applyNumberFormat="1" applyFont="1" applyFill="1" applyBorder="1" applyAlignment="1">
      <alignment horizontal="center"/>
    </xf>
    <xf numFmtId="42" fontId="22" fillId="0" borderId="29" xfId="0" applyNumberFormat="1" applyFont="1" applyBorder="1"/>
    <xf numFmtId="2" fontId="39" fillId="0" borderId="0" xfId="0" applyNumberFormat="1" applyFont="1" applyFill="1"/>
    <xf numFmtId="44" fontId="39" fillId="0" borderId="0" xfId="0" applyNumberFormat="1" applyFont="1"/>
    <xf numFmtId="2" fontId="39" fillId="0" borderId="0" xfId="0" applyNumberFormat="1" applyFont="1"/>
    <xf numFmtId="6" fontId="23" fillId="0" borderId="0" xfId="1" applyNumberFormat="1" applyFont="1" applyFill="1" applyBorder="1"/>
    <xf numFmtId="0" fontId="13" fillId="0" borderId="30" xfId="0" applyFont="1" applyFill="1" applyBorder="1" applyAlignment="1">
      <alignment horizontal="left"/>
    </xf>
    <xf numFmtId="10" fontId="27" fillId="0" borderId="12" xfId="0" applyNumberFormat="1" applyFont="1" applyFill="1" applyBorder="1" applyAlignment="1">
      <alignment horizontal="center"/>
    </xf>
    <xf numFmtId="42" fontId="13" fillId="0" borderId="31" xfId="0" applyNumberFormat="1" applyFont="1" applyFill="1" applyBorder="1"/>
    <xf numFmtId="0" fontId="24" fillId="0" borderId="15" xfId="0" applyFont="1" applyBorder="1" applyAlignment="1">
      <alignment horizontal="center"/>
    </xf>
    <xf numFmtId="44" fontId="21" fillId="0" borderId="15" xfId="0" applyNumberFormat="1" applyFont="1" applyBorder="1"/>
    <xf numFmtId="164" fontId="21" fillId="0" borderId="33" xfId="10" applyNumberFormat="1" applyFont="1" applyBorder="1"/>
    <xf numFmtId="0" fontId="21" fillId="0" borderId="28" xfId="0" applyFont="1" applyBorder="1" applyAlignment="1">
      <alignment horizontal="center"/>
    </xf>
    <xf numFmtId="168" fontId="39" fillId="0" borderId="0" xfId="0" applyNumberFormat="1" applyFont="1" applyFill="1"/>
    <xf numFmtId="0" fontId="24" fillId="0" borderId="0" xfId="0" applyFont="1" applyFill="1" applyBorder="1" applyAlignment="1">
      <alignment horizontal="center"/>
    </xf>
    <xf numFmtId="2" fontId="39" fillId="0" borderId="0" xfId="0" applyNumberFormat="1" applyFont="1" applyFill="1" applyAlignment="1">
      <alignment horizontal="center"/>
    </xf>
    <xf numFmtId="0" fontId="24" fillId="0" borderId="28" xfId="0" applyFont="1" applyFill="1" applyBorder="1" applyAlignment="1">
      <alignment horizontal="center"/>
    </xf>
    <xf numFmtId="6" fontId="39" fillId="0" borderId="0" xfId="0" applyNumberFormat="1" applyFont="1" applyFill="1" applyBorder="1"/>
    <xf numFmtId="10" fontId="25" fillId="0" borderId="0" xfId="0" applyNumberFormat="1" applyFont="1" applyFill="1" applyBorder="1" applyAlignment="1">
      <alignment horizontal="center"/>
    </xf>
    <xf numFmtId="44" fontId="24" fillId="0" borderId="0" xfId="16" applyFont="1" applyFill="1" applyBorder="1"/>
    <xf numFmtId="44" fontId="24" fillId="0" borderId="29" xfId="16" applyFont="1" applyFill="1" applyBorder="1"/>
    <xf numFmtId="0" fontId="42" fillId="0" borderId="0" xfId="0" applyFont="1" applyFill="1" applyBorder="1"/>
    <xf numFmtId="0" fontId="43" fillId="0" borderId="0" xfId="0" applyFont="1" applyFill="1" applyBorder="1"/>
    <xf numFmtId="0" fontId="44" fillId="0" borderId="0" xfId="0" applyFont="1" applyFill="1" applyBorder="1"/>
    <xf numFmtId="168" fontId="44" fillId="0" borderId="0" xfId="0" applyNumberFormat="1" applyFont="1" applyFill="1" applyBorder="1" applyAlignment="1">
      <alignment horizontal="center"/>
    </xf>
    <xf numFmtId="38" fontId="44" fillId="0" borderId="0" xfId="0" applyNumberFormat="1" applyFont="1" applyFill="1" applyBorder="1" applyAlignment="1">
      <alignment horizontal="center"/>
    </xf>
    <xf numFmtId="0" fontId="44" fillId="0" borderId="0" xfId="0" applyFont="1" applyFill="1" applyBorder="1" applyAlignment="1">
      <alignment horizontal="right"/>
    </xf>
    <xf numFmtId="38" fontId="44" fillId="0" borderId="0" xfId="0" applyNumberFormat="1" applyFont="1" applyFill="1" applyBorder="1" applyAlignment="1">
      <alignment horizontal="left"/>
    </xf>
    <xf numFmtId="0" fontId="44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45" fillId="0" borderId="0" xfId="0" applyFont="1" applyFill="1" applyBorder="1"/>
    <xf numFmtId="6" fontId="44" fillId="0" borderId="0" xfId="0" applyNumberFormat="1" applyFont="1" applyFill="1" applyBorder="1" applyAlignment="1">
      <alignment horizontal="center"/>
    </xf>
    <xf numFmtId="10" fontId="44" fillId="0" borderId="0" xfId="2" applyNumberFormat="1" applyFont="1" applyFill="1" applyBorder="1" applyAlignment="1">
      <alignment horizontal="center"/>
    </xf>
    <xf numFmtId="38" fontId="20" fillId="0" borderId="0" xfId="0" applyNumberFormat="1" applyFont="1" applyFill="1" applyBorder="1" applyAlignment="1">
      <alignment horizontal="center"/>
    </xf>
    <xf numFmtId="6" fontId="20" fillId="0" borderId="0" xfId="0" applyNumberFormat="1" applyFont="1" applyFill="1" applyBorder="1" applyAlignment="1">
      <alignment horizontal="center"/>
    </xf>
    <xf numFmtId="0" fontId="45" fillId="0" borderId="0" xfId="0" applyFont="1" applyFill="1" applyBorder="1" applyAlignment="1">
      <alignment horizontal="right"/>
    </xf>
    <xf numFmtId="6" fontId="45" fillId="0" borderId="0" xfId="0" applyNumberFormat="1" applyFont="1" applyFill="1" applyBorder="1"/>
    <xf numFmtId="168" fontId="45" fillId="0" borderId="0" xfId="0" applyNumberFormat="1" applyFont="1" applyFill="1" applyBorder="1"/>
    <xf numFmtId="168" fontId="13" fillId="0" borderId="0" xfId="0" applyNumberFormat="1" applyFont="1" applyFill="1" applyBorder="1"/>
    <xf numFmtId="0" fontId="20" fillId="0" borderId="0" xfId="0" applyFont="1" applyAlignment="1">
      <alignment horizontal="right"/>
    </xf>
    <xf numFmtId="6" fontId="44" fillId="0" borderId="0" xfId="0" applyNumberFormat="1" applyFont="1" applyFill="1" applyBorder="1"/>
    <xf numFmtId="6" fontId="41" fillId="0" borderId="0" xfId="0" applyNumberFormat="1" applyFont="1" applyFill="1"/>
    <xf numFmtId="40" fontId="44" fillId="0" borderId="0" xfId="0" applyNumberFormat="1" applyFont="1" applyFill="1" applyBorder="1"/>
    <xf numFmtId="40" fontId="20" fillId="0" borderId="0" xfId="0" applyNumberFormat="1" applyFont="1" applyFill="1"/>
    <xf numFmtId="6" fontId="41" fillId="0" borderId="0" xfId="0" applyNumberFormat="1" applyFont="1" applyFill="1" applyBorder="1"/>
    <xf numFmtId="168" fontId="45" fillId="0" borderId="0" xfId="0" applyNumberFormat="1" applyFont="1" applyFill="1" applyBorder="1" applyAlignment="1">
      <alignment horizontal="center"/>
    </xf>
    <xf numFmtId="168" fontId="44" fillId="0" borderId="0" xfId="0" applyNumberFormat="1" applyFont="1" applyFill="1" applyBorder="1"/>
    <xf numFmtId="10" fontId="45" fillId="0" borderId="0" xfId="2" applyNumberFormat="1" applyFont="1" applyFill="1" applyBorder="1"/>
    <xf numFmtId="6" fontId="20" fillId="0" borderId="0" xfId="0" applyNumberFormat="1" applyFont="1" applyFill="1" applyBorder="1"/>
    <xf numFmtId="0" fontId="20" fillId="0" borderId="0" xfId="0" applyFont="1" applyAlignment="1">
      <alignment horizontal="center"/>
    </xf>
    <xf numFmtId="8" fontId="44" fillId="0" borderId="0" xfId="0" applyNumberFormat="1" applyFont="1" applyFill="1" applyBorder="1" applyAlignment="1">
      <alignment horizontal="center"/>
    </xf>
    <xf numFmtId="8" fontId="20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right"/>
    </xf>
    <xf numFmtId="0" fontId="13" fillId="0" borderId="0" xfId="0" applyFont="1" applyBorder="1"/>
    <xf numFmtId="6" fontId="44" fillId="0" borderId="0" xfId="2" applyNumberFormat="1" applyFont="1" applyFill="1" applyBorder="1" applyAlignment="1">
      <alignment horizontal="center"/>
    </xf>
    <xf numFmtId="6" fontId="20" fillId="0" borderId="0" xfId="2" applyNumberFormat="1" applyFont="1" applyBorder="1" applyAlignment="1">
      <alignment horizontal="center"/>
    </xf>
    <xf numFmtId="6" fontId="13" fillId="0" borderId="0" xfId="0" applyNumberFormat="1" applyFont="1" applyFill="1" applyAlignment="1">
      <alignment horizontal="right"/>
    </xf>
    <xf numFmtId="14" fontId="46" fillId="0" borderId="0" xfId="0" applyNumberFormat="1" applyFont="1" applyAlignment="1">
      <alignment horizontal="left"/>
    </xf>
    <xf numFmtId="0" fontId="22" fillId="0" borderId="18" xfId="0" applyFont="1" applyFill="1" applyBorder="1" applyAlignment="1"/>
    <xf numFmtId="42" fontId="23" fillId="0" borderId="20" xfId="0" applyNumberFormat="1" applyFont="1" applyFill="1" applyBorder="1"/>
    <xf numFmtId="42" fontId="13" fillId="0" borderId="17" xfId="0" applyNumberFormat="1" applyFont="1" applyFill="1" applyBorder="1"/>
    <xf numFmtId="0" fontId="22" fillId="0" borderId="8" xfId="0" applyFont="1" applyFill="1" applyBorder="1" applyAlignment="1">
      <alignment wrapText="1"/>
    </xf>
    <xf numFmtId="42" fontId="23" fillId="0" borderId="10" xfId="0" applyNumberFormat="1" applyFont="1" applyFill="1" applyBorder="1"/>
    <xf numFmtId="42" fontId="13" fillId="0" borderId="22" xfId="0" applyNumberFormat="1" applyFont="1" applyFill="1" applyBorder="1"/>
    <xf numFmtId="0" fontId="22" fillId="0" borderId="8" xfId="0" applyFont="1" applyFill="1" applyBorder="1" applyAlignment="1"/>
    <xf numFmtId="164" fontId="23" fillId="0" borderId="0" xfId="0" applyNumberFormat="1" applyFont="1" applyBorder="1"/>
    <xf numFmtId="0" fontId="13" fillId="0" borderId="14" xfId="0" applyFont="1" applyFill="1" applyBorder="1"/>
    <xf numFmtId="42" fontId="23" fillId="0" borderId="7" xfId="0" applyNumberFormat="1" applyFont="1" applyFill="1" applyBorder="1"/>
    <xf numFmtId="40" fontId="27" fillId="0" borderId="0" xfId="0" applyNumberFormat="1" applyFont="1" applyBorder="1" applyAlignment="1">
      <alignment horizontal="center"/>
    </xf>
    <xf numFmtId="10" fontId="27" fillId="0" borderId="12" xfId="0" applyNumberFormat="1" applyFont="1" applyBorder="1" applyAlignment="1">
      <alignment horizontal="center"/>
    </xf>
    <xf numFmtId="4" fontId="13" fillId="0" borderId="28" xfId="0" applyNumberFormat="1" applyFont="1" applyBorder="1"/>
    <xf numFmtId="6" fontId="13" fillId="0" borderId="59" xfId="0" applyNumberFormat="1" applyFont="1" applyBorder="1" applyAlignment="1">
      <alignment horizontal="center"/>
    </xf>
    <xf numFmtId="4" fontId="13" fillId="0" borderId="0" xfId="0" applyNumberFormat="1" applyFont="1" applyBorder="1"/>
    <xf numFmtId="4" fontId="20" fillId="0" borderId="0" xfId="0" applyNumberFormat="1" applyFont="1" applyBorder="1" applyAlignment="1">
      <alignment horizontal="center"/>
    </xf>
    <xf numFmtId="6" fontId="24" fillId="0" borderId="29" xfId="0" applyNumberFormat="1" applyFont="1" applyBorder="1"/>
    <xf numFmtId="0" fontId="13" fillId="0" borderId="7" xfId="0" applyFont="1" applyBorder="1"/>
    <xf numFmtId="0" fontId="13" fillId="0" borderId="18" xfId="0" applyFont="1" applyBorder="1" applyAlignment="1">
      <alignment horizontal="left"/>
    </xf>
    <xf numFmtId="10" fontId="27" fillId="0" borderId="19" xfId="0" applyNumberFormat="1" applyFont="1" applyBorder="1" applyAlignment="1">
      <alignment horizontal="center"/>
    </xf>
    <xf numFmtId="0" fontId="13" fillId="0" borderId="8" xfId="0" applyFont="1" applyBorder="1" applyAlignment="1">
      <alignment horizontal="left"/>
    </xf>
    <xf numFmtId="42" fontId="13" fillId="0" borderId="22" xfId="0" applyNumberFormat="1" applyFont="1" applyFill="1" applyBorder="1" applyAlignment="1">
      <alignment horizontal="left"/>
    </xf>
    <xf numFmtId="0" fontId="24" fillId="0" borderId="15" xfId="0" applyFont="1" applyBorder="1"/>
    <xf numFmtId="0" fontId="13" fillId="0" borderId="11" xfId="0" applyFont="1" applyBorder="1" applyAlignment="1">
      <alignment horizontal="left"/>
    </xf>
    <xf numFmtId="42" fontId="13" fillId="0" borderId="21" xfId="0" applyNumberFormat="1" applyFont="1" applyFill="1" applyBorder="1"/>
    <xf numFmtId="0" fontId="13" fillId="0" borderId="0" xfId="0" applyFont="1" applyAlignment="1">
      <alignment horizontal="left"/>
    </xf>
    <xf numFmtId="14" fontId="46" fillId="0" borderId="0" xfId="0" applyNumberFormat="1" applyFont="1" applyFill="1" applyBorder="1" applyAlignment="1">
      <alignment horizontal="left"/>
    </xf>
    <xf numFmtId="0" fontId="47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left"/>
    </xf>
    <xf numFmtId="0" fontId="22" fillId="0" borderId="11" xfId="0" applyFont="1" applyFill="1" applyBorder="1" applyAlignment="1"/>
    <xf numFmtId="0" fontId="13" fillId="0" borderId="11" xfId="0" applyFont="1" applyFill="1" applyBorder="1"/>
    <xf numFmtId="0" fontId="20" fillId="0" borderId="12" xfId="0" applyFont="1" applyFill="1" applyBorder="1" applyAlignment="1">
      <alignment horizontal="center"/>
    </xf>
    <xf numFmtId="42" fontId="23" fillId="0" borderId="21" xfId="0" applyNumberFormat="1" applyFont="1" applyFill="1" applyBorder="1"/>
    <xf numFmtId="0" fontId="13" fillId="0" borderId="24" xfId="0" applyFont="1" applyBorder="1" applyAlignment="1">
      <alignment horizontal="left"/>
    </xf>
    <xf numFmtId="42" fontId="13" fillId="0" borderId="29" xfId="0" applyNumberFormat="1" applyFont="1" applyBorder="1"/>
    <xf numFmtId="42" fontId="48" fillId="0" borderId="0" xfId="0" applyNumberFormat="1" applyFont="1" applyFill="1" applyBorder="1"/>
    <xf numFmtId="0" fontId="0" fillId="16" borderId="0" xfId="0" applyFill="1"/>
    <xf numFmtId="0" fontId="14" fillId="16" borderId="0" xfId="0" applyFont="1" applyFill="1"/>
    <xf numFmtId="0" fontId="49" fillId="16" borderId="0" xfId="0" applyFont="1" applyFill="1"/>
    <xf numFmtId="0" fontId="50" fillId="16" borderId="0" xfId="0" applyFont="1" applyFill="1"/>
    <xf numFmtId="14" fontId="51" fillId="16" borderId="0" xfId="0" applyNumberFormat="1" applyFont="1" applyFill="1" applyAlignment="1">
      <alignment horizontal="left"/>
    </xf>
    <xf numFmtId="14" fontId="52" fillId="16" borderId="0" xfId="0" applyNumberFormat="1" applyFont="1" applyFill="1" applyAlignment="1">
      <alignment horizontal="left"/>
    </xf>
    <xf numFmtId="0" fontId="22" fillId="16" borderId="0" xfId="0" applyFont="1" applyFill="1"/>
    <xf numFmtId="42" fontId="20" fillId="16" borderId="58" xfId="0" applyNumberFormat="1" applyFont="1" applyFill="1" applyBorder="1" applyAlignment="1">
      <alignment horizontal="center"/>
    </xf>
    <xf numFmtId="0" fontId="21" fillId="16" borderId="24" xfId="0" applyFont="1" applyFill="1" applyBorder="1" applyAlignment="1">
      <alignment horizontal="center"/>
    </xf>
    <xf numFmtId="38" fontId="21" fillId="16" borderId="0" xfId="0" applyNumberFormat="1" applyFont="1" applyFill="1" applyBorder="1" applyAlignment="1">
      <alignment horizontal="center"/>
    </xf>
    <xf numFmtId="0" fontId="21" fillId="16" borderId="0" xfId="0" applyFont="1" applyFill="1" applyBorder="1" applyAlignment="1">
      <alignment horizontal="center"/>
    </xf>
    <xf numFmtId="3" fontId="21" fillId="16" borderId="29" xfId="0" applyNumberFormat="1" applyFont="1" applyFill="1" applyBorder="1" applyAlignment="1">
      <alignment horizontal="center"/>
    </xf>
    <xf numFmtId="0" fontId="21" fillId="16" borderId="0" xfId="0" applyFont="1" applyFill="1" applyBorder="1" applyAlignment="1">
      <alignment horizontal="right"/>
    </xf>
    <xf numFmtId="0" fontId="39" fillId="16" borderId="0" xfId="0" applyFont="1" applyFill="1"/>
    <xf numFmtId="0" fontId="21" fillId="16" borderId="4" xfId="0" applyFont="1" applyFill="1" applyBorder="1" applyAlignment="1">
      <alignment horizontal="center"/>
    </xf>
    <xf numFmtId="38" fontId="21" fillId="16" borderId="5" xfId="0" applyNumberFormat="1" applyFont="1" applyFill="1" applyBorder="1" applyAlignment="1">
      <alignment horizontal="center"/>
    </xf>
    <xf numFmtId="0" fontId="39" fillId="16" borderId="5" xfId="0" applyFont="1" applyFill="1" applyBorder="1"/>
    <xf numFmtId="0" fontId="0" fillId="17" borderId="0" xfId="0" applyFill="1"/>
    <xf numFmtId="0" fontId="39" fillId="17" borderId="0" xfId="0" applyFont="1" applyFill="1"/>
    <xf numFmtId="164" fontId="20" fillId="17" borderId="0" xfId="0" applyNumberFormat="1" applyFont="1" applyFill="1"/>
    <xf numFmtId="6" fontId="20" fillId="17" borderId="0" xfId="0" applyNumberFormat="1" applyFont="1" applyFill="1" applyAlignment="1">
      <alignment horizontal="center"/>
    </xf>
    <xf numFmtId="6" fontId="13" fillId="17" borderId="0" xfId="0" applyNumberFormat="1" applyFont="1" applyFill="1"/>
    <xf numFmtId="0" fontId="20" fillId="0" borderId="0" xfId="0" applyFont="1" applyFill="1"/>
    <xf numFmtId="42" fontId="20" fillId="0" borderId="0" xfId="0" applyNumberFormat="1" applyFont="1" applyFill="1"/>
    <xf numFmtId="0" fontId="36" fillId="0" borderId="4" xfId="0" applyFont="1" applyFill="1" applyBorder="1"/>
    <xf numFmtId="10" fontId="36" fillId="0" borderId="5" xfId="0" applyNumberFormat="1" applyFont="1" applyFill="1" applyBorder="1" applyAlignment="1">
      <alignment horizontal="center"/>
    </xf>
    <xf numFmtId="0" fontId="36" fillId="0" borderId="5" xfId="0" applyFont="1" applyFill="1" applyBorder="1"/>
    <xf numFmtId="164" fontId="36" fillId="0" borderId="6" xfId="0" applyNumberFormat="1" applyFont="1" applyFill="1" applyBorder="1"/>
    <xf numFmtId="10" fontId="27" fillId="0" borderId="0" xfId="0" applyNumberFormat="1" applyFont="1" applyFill="1" applyBorder="1" applyAlignment="1">
      <alignment horizontal="center"/>
    </xf>
    <xf numFmtId="0" fontId="13" fillId="10" borderId="4" xfId="0" applyFont="1" applyFill="1" applyBorder="1" applyAlignment="1">
      <alignment horizontal="left"/>
    </xf>
    <xf numFmtId="0" fontId="13" fillId="10" borderId="5" xfId="0" applyFont="1" applyFill="1" applyBorder="1"/>
    <xf numFmtId="0" fontId="36" fillId="10" borderId="4" xfId="0" applyFont="1" applyFill="1" applyBorder="1" applyAlignment="1">
      <alignment horizontal="left"/>
    </xf>
    <xf numFmtId="0" fontId="36" fillId="10" borderId="5" xfId="0" applyFont="1" applyFill="1" applyBorder="1"/>
    <xf numFmtId="10" fontId="13" fillId="10" borderId="5" xfId="0" applyNumberFormat="1" applyFont="1" applyFill="1" applyBorder="1" applyAlignment="1">
      <alignment horizontal="center"/>
    </xf>
    <xf numFmtId="10" fontId="36" fillId="10" borderId="5" xfId="0" applyNumberFormat="1" applyFont="1" applyFill="1" applyBorder="1" applyAlignment="1">
      <alignment horizontal="center"/>
    </xf>
    <xf numFmtId="10" fontId="24" fillId="0" borderId="0" xfId="0" applyNumberFormat="1" applyFont="1" applyFill="1" applyBorder="1" applyAlignment="1">
      <alignment horizontal="center"/>
    </xf>
    <xf numFmtId="0" fontId="41" fillId="0" borderId="23" xfId="0" applyFont="1" applyBorder="1"/>
    <xf numFmtId="42" fontId="24" fillId="0" borderId="39" xfId="0" applyNumberFormat="1" applyFont="1" applyBorder="1"/>
    <xf numFmtId="10" fontId="53" fillId="0" borderId="5" xfId="0" applyNumberFormat="1" applyFont="1" applyFill="1" applyBorder="1" applyAlignment="1">
      <alignment horizontal="center"/>
    </xf>
    <xf numFmtId="0" fontId="53" fillId="0" borderId="5" xfId="0" applyFont="1" applyFill="1" applyBorder="1"/>
    <xf numFmtId="42" fontId="36" fillId="0" borderId="6" xfId="0" applyNumberFormat="1" applyFont="1" applyFill="1" applyBorder="1"/>
    <xf numFmtId="164" fontId="20" fillId="3" borderId="6" xfId="0" applyNumberFormat="1" applyFont="1" applyFill="1" applyBorder="1"/>
    <xf numFmtId="0" fontId="39" fillId="16" borderId="6" xfId="0" applyFont="1" applyFill="1" applyBorder="1"/>
    <xf numFmtId="0" fontId="13" fillId="0" borderId="5" xfId="0" applyFont="1" applyBorder="1"/>
    <xf numFmtId="164" fontId="13" fillId="0" borderId="6" xfId="0" applyNumberFormat="1" applyFont="1" applyBorder="1"/>
    <xf numFmtId="0" fontId="13" fillId="0" borderId="4" xfId="0" applyFont="1" applyFill="1" applyBorder="1"/>
    <xf numFmtId="0" fontId="20" fillId="0" borderId="4" xfId="0" applyFont="1" applyFill="1" applyBorder="1"/>
    <xf numFmtId="44" fontId="36" fillId="0" borderId="6" xfId="0" applyNumberFormat="1" applyFont="1" applyFill="1" applyBorder="1"/>
    <xf numFmtId="44" fontId="20" fillId="3" borderId="6" xfId="0" applyNumberFormat="1" applyFont="1" applyFill="1" applyBorder="1"/>
    <xf numFmtId="10" fontId="36" fillId="0" borderId="5" xfId="0" applyNumberFormat="1" applyFont="1" applyBorder="1" applyAlignment="1">
      <alignment horizontal="center"/>
    </xf>
    <xf numFmtId="164" fontId="21" fillId="0" borderId="29" xfId="16" applyNumberFormat="1" applyFont="1" applyFill="1" applyBorder="1"/>
    <xf numFmtId="44" fontId="36" fillId="0" borderId="6" xfId="1" applyFont="1" applyBorder="1"/>
    <xf numFmtId="0" fontId="13" fillId="10" borderId="60" xfId="0" applyFont="1" applyFill="1" applyBorder="1"/>
    <xf numFmtId="0" fontId="36" fillId="10" borderId="60" xfId="0" applyFont="1" applyFill="1" applyBorder="1"/>
    <xf numFmtId="0" fontId="0" fillId="0" borderId="0" xfId="0" applyAlignment="1">
      <alignment horizontal="left"/>
    </xf>
    <xf numFmtId="169" fontId="0" fillId="0" borderId="0" xfId="0" applyNumberFormat="1" applyAlignment="1">
      <alignment horizontal="center"/>
    </xf>
    <xf numFmtId="0" fontId="0" fillId="0" borderId="0" xfId="0" applyAlignment="1">
      <alignment horizontal="left" indent="1"/>
    </xf>
    <xf numFmtId="0" fontId="0" fillId="0" borderId="64" xfId="0" applyBorder="1"/>
    <xf numFmtId="0" fontId="0" fillId="0" borderId="7" xfId="0" applyBorder="1"/>
    <xf numFmtId="0" fontId="55" fillId="10" borderId="65" xfId="0" applyFont="1" applyFill="1" applyBorder="1"/>
    <xf numFmtId="44" fontId="0" fillId="0" borderId="7" xfId="0" applyNumberFormat="1" applyBorder="1"/>
    <xf numFmtId="10" fontId="0" fillId="0" borderId="7" xfId="0" applyNumberFormat="1" applyBorder="1"/>
    <xf numFmtId="10" fontId="55" fillId="10" borderId="7" xfId="0" applyNumberFormat="1" applyFont="1" applyFill="1" applyBorder="1" applyAlignment="1">
      <alignment horizontal="center"/>
    </xf>
    <xf numFmtId="0" fontId="0" fillId="0" borderId="64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7" xfId="0" applyBorder="1" applyAlignment="1"/>
    <xf numFmtId="164" fontId="0" fillId="0" borderId="7" xfId="1" applyNumberFormat="1" applyFont="1" applyBorder="1"/>
    <xf numFmtId="0" fontId="57" fillId="10" borderId="65" xfId="0" applyFont="1" applyFill="1" applyBorder="1"/>
    <xf numFmtId="0" fontId="0" fillId="0" borderId="66" xfId="0" applyBorder="1"/>
    <xf numFmtId="0" fontId="0" fillId="0" borderId="58" xfId="0" applyBorder="1"/>
    <xf numFmtId="164" fontId="0" fillId="0" borderId="58" xfId="1" applyNumberFormat="1" applyFont="1" applyBorder="1"/>
    <xf numFmtId="0" fontId="55" fillId="10" borderId="67" xfId="0" applyFont="1" applyFill="1" applyBorder="1"/>
    <xf numFmtId="0" fontId="2" fillId="8" borderId="6" xfId="0" applyFont="1" applyFill="1" applyBorder="1"/>
    <xf numFmtId="0" fontId="2" fillId="8" borderId="5" xfId="0" applyFont="1" applyFill="1" applyBorder="1"/>
    <xf numFmtId="0" fontId="38" fillId="8" borderId="5" xfId="0" applyFont="1" applyFill="1" applyBorder="1"/>
    <xf numFmtId="42" fontId="55" fillId="10" borderId="58" xfId="0" applyNumberFormat="1" applyFont="1" applyFill="1" applyBorder="1" applyAlignment="1">
      <alignment horizontal="center"/>
    </xf>
    <xf numFmtId="42" fontId="55" fillId="10" borderId="7" xfId="0" applyNumberFormat="1" applyFont="1" applyFill="1" applyBorder="1" applyAlignment="1">
      <alignment horizontal="center"/>
    </xf>
    <xf numFmtId="0" fontId="55" fillId="0" borderId="63" xfId="0" applyFont="1" applyFill="1" applyBorder="1"/>
    <xf numFmtId="0" fontId="0" fillId="0" borderId="62" xfId="0" applyFill="1" applyBorder="1"/>
    <xf numFmtId="0" fontId="0" fillId="0" borderId="61" xfId="0" applyFill="1" applyBorder="1"/>
    <xf numFmtId="164" fontId="55" fillId="10" borderId="7" xfId="1" applyNumberFormat="1" applyFont="1" applyFill="1" applyBorder="1" applyAlignment="1">
      <alignment horizontal="center"/>
    </xf>
    <xf numFmtId="44" fontId="55" fillId="10" borderId="7" xfId="1" applyNumberFormat="1" applyFont="1" applyFill="1" applyBorder="1" applyAlignment="1">
      <alignment horizontal="center"/>
    </xf>
    <xf numFmtId="44" fontId="0" fillId="0" borderId="0" xfId="1" applyNumberFormat="1" applyFont="1"/>
    <xf numFmtId="164" fontId="55" fillId="10" borderId="62" xfId="1" applyNumberFormat="1" applyFont="1" applyFill="1" applyBorder="1" applyAlignment="1">
      <alignment horizontal="center"/>
    </xf>
    <xf numFmtId="0" fontId="0" fillId="30" borderId="4" xfId="0" applyFill="1" applyBorder="1"/>
    <xf numFmtId="0" fontId="0" fillId="30" borderId="5" xfId="0" applyFill="1" applyBorder="1"/>
    <xf numFmtId="0" fontId="0" fillId="30" borderId="6" xfId="0" applyFill="1" applyBorder="1"/>
    <xf numFmtId="0" fontId="55" fillId="10" borderId="68" xfId="0" applyFont="1" applyFill="1" applyBorder="1"/>
    <xf numFmtId="42" fontId="55" fillId="10" borderId="50" xfId="0" applyNumberFormat="1" applyFont="1" applyFill="1" applyBorder="1" applyAlignment="1">
      <alignment horizontal="center"/>
    </xf>
    <xf numFmtId="164" fontId="0" fillId="0" borderId="17" xfId="1" applyNumberFormat="1" applyFont="1" applyBorder="1"/>
    <xf numFmtId="0" fontId="0" fillId="0" borderId="17" xfId="0" applyBorder="1"/>
    <xf numFmtId="0" fontId="0" fillId="0" borderId="69" xfId="0" applyBorder="1"/>
    <xf numFmtId="0" fontId="56" fillId="10" borderId="70" xfId="0" applyFont="1" applyFill="1" applyBorder="1"/>
    <xf numFmtId="10" fontId="56" fillId="10" borderId="21" xfId="2" applyNumberFormat="1" applyFont="1" applyFill="1" applyBorder="1" applyAlignment="1">
      <alignment horizontal="center"/>
    </xf>
    <xf numFmtId="0" fontId="0" fillId="0" borderId="21" xfId="0" applyBorder="1"/>
    <xf numFmtId="0" fontId="0" fillId="0" borderId="71" xfId="0" applyBorder="1"/>
    <xf numFmtId="0" fontId="0" fillId="30" borderId="72" xfId="0" applyFill="1" applyBorder="1"/>
    <xf numFmtId="0" fontId="0" fillId="30" borderId="49" xfId="0" applyFill="1" applyBorder="1"/>
    <xf numFmtId="0" fontId="0" fillId="30" borderId="73" xfId="0" applyFill="1" applyBorder="1"/>
    <xf numFmtId="0" fontId="78" fillId="31" borderId="9" xfId="232" applyFont="1" applyFill="1" applyBorder="1"/>
    <xf numFmtId="0" fontId="79" fillId="31" borderId="48" xfId="232" applyFont="1" applyFill="1" applyBorder="1"/>
    <xf numFmtId="0" fontId="69" fillId="0" borderId="0" xfId="232"/>
    <xf numFmtId="0" fontId="79" fillId="31" borderId="0" xfId="232" applyFont="1" applyFill="1" applyBorder="1"/>
    <xf numFmtId="0" fontId="80" fillId="31" borderId="29" xfId="232" applyFont="1" applyFill="1" applyBorder="1"/>
    <xf numFmtId="0" fontId="81" fillId="31" borderId="23" xfId="232" applyFont="1" applyFill="1" applyBorder="1"/>
    <xf numFmtId="0" fontId="80" fillId="31" borderId="39" xfId="232" applyFont="1" applyFill="1" applyBorder="1"/>
    <xf numFmtId="0" fontId="80" fillId="0" borderId="0" xfId="232" applyFont="1"/>
    <xf numFmtId="0" fontId="82" fillId="32" borderId="0" xfId="29" applyFont="1" applyFill="1"/>
    <xf numFmtId="0" fontId="82" fillId="33" borderId="0" xfId="29" applyFont="1" applyFill="1"/>
    <xf numFmtId="0" fontId="82" fillId="34" borderId="0" xfId="29" applyFont="1" applyFill="1"/>
    <xf numFmtId="0" fontId="82" fillId="35" borderId="0" xfId="29" applyFont="1" applyFill="1"/>
    <xf numFmtId="0" fontId="82" fillId="36" borderId="0" xfId="29" applyFont="1" applyFill="1"/>
    <xf numFmtId="14" fontId="80" fillId="0" borderId="0" xfId="232" applyNumberFormat="1" applyFont="1"/>
    <xf numFmtId="165" fontId="69" fillId="0" borderId="0" xfId="232" applyNumberFormat="1"/>
    <xf numFmtId="0" fontId="80" fillId="0" borderId="0" xfId="24" applyFont="1"/>
    <xf numFmtId="0" fontId="7" fillId="0" borderId="0" xfId="24"/>
    <xf numFmtId="0" fontId="83" fillId="0" borderId="0" xfId="24" applyFont="1"/>
    <xf numFmtId="0" fontId="84" fillId="0" borderId="0" xfId="24" applyFont="1"/>
    <xf numFmtId="0" fontId="7" fillId="0" borderId="18" xfId="24" applyBorder="1"/>
    <xf numFmtId="0" fontId="7" fillId="0" borderId="19" xfId="24" applyBorder="1"/>
    <xf numFmtId="0" fontId="7" fillId="0" borderId="20" xfId="24" applyBorder="1"/>
    <xf numFmtId="0" fontId="7" fillId="0" borderId="8" xfId="24" applyBorder="1"/>
    <xf numFmtId="0" fontId="7" fillId="0" borderId="0" xfId="24" applyBorder="1" applyAlignment="1">
      <alignment horizontal="right"/>
    </xf>
    <xf numFmtId="0" fontId="7" fillId="0" borderId="0" xfId="24" applyBorder="1"/>
    <xf numFmtId="0" fontId="7" fillId="0" borderId="10" xfId="24" applyBorder="1"/>
    <xf numFmtId="0" fontId="85" fillId="0" borderId="10" xfId="24" applyFont="1" applyBorder="1" applyAlignment="1">
      <alignment horizontal="center"/>
    </xf>
    <xf numFmtId="165" fontId="69" fillId="0" borderId="0" xfId="232" applyNumberFormat="1" applyAlignment="1">
      <alignment horizontal="left"/>
    </xf>
    <xf numFmtId="165" fontId="7" fillId="0" borderId="10" xfId="24" applyNumberFormat="1" applyBorder="1" applyAlignment="1">
      <alignment horizontal="center"/>
    </xf>
    <xf numFmtId="0" fontId="7" fillId="0" borderId="10" xfId="24" applyBorder="1" applyAlignment="1">
      <alignment horizontal="center"/>
    </xf>
    <xf numFmtId="14" fontId="80" fillId="0" borderId="0" xfId="232" applyNumberFormat="1" applyFont="1" applyAlignment="1">
      <alignment horizontal="right"/>
    </xf>
    <xf numFmtId="0" fontId="80" fillId="3" borderId="0" xfId="24" applyFont="1" applyFill="1" applyBorder="1" applyAlignment="1">
      <alignment horizontal="right"/>
    </xf>
    <xf numFmtId="10" fontId="80" fillId="3" borderId="10" xfId="34" applyNumberFormat="1" applyFont="1" applyFill="1" applyBorder="1" applyAlignment="1">
      <alignment horizontal="center"/>
    </xf>
    <xf numFmtId="0" fontId="7" fillId="0" borderId="11" xfId="24" applyBorder="1"/>
    <xf numFmtId="0" fontId="7" fillId="0" borderId="12" xfId="24" applyBorder="1"/>
    <xf numFmtId="0" fontId="7" fillId="0" borderId="13" xfId="24" applyBorder="1"/>
    <xf numFmtId="0" fontId="20" fillId="10" borderId="8" xfId="0" applyFont="1" applyFill="1" applyBorder="1" applyAlignment="1">
      <alignment horizontal="center"/>
    </xf>
    <xf numFmtId="0" fontId="20" fillId="10" borderId="0" xfId="0" applyFont="1" applyFill="1" applyBorder="1" applyAlignment="1">
      <alignment horizontal="center"/>
    </xf>
    <xf numFmtId="0" fontId="18" fillId="9" borderId="40" xfId="0" applyFont="1" applyFill="1" applyBorder="1" applyAlignment="1">
      <alignment horizontal="center"/>
    </xf>
    <xf numFmtId="0" fontId="18" fillId="9" borderId="41" xfId="0" applyFont="1" applyFill="1" applyBorder="1" applyAlignment="1">
      <alignment horizontal="center"/>
    </xf>
    <xf numFmtId="0" fontId="18" fillId="9" borderId="42" xfId="0" applyFont="1" applyFill="1" applyBorder="1" applyAlignment="1">
      <alignment horizontal="center"/>
    </xf>
    <xf numFmtId="0" fontId="19" fillId="9" borderId="4" xfId="0" applyFont="1" applyFill="1" applyBorder="1" applyAlignment="1">
      <alignment horizontal="center" vertical="top"/>
    </xf>
    <xf numFmtId="0" fontId="19" fillId="9" borderId="5" xfId="0" applyFont="1" applyFill="1" applyBorder="1" applyAlignment="1">
      <alignment horizontal="center" vertical="top"/>
    </xf>
    <xf numFmtId="0" fontId="19" fillId="9" borderId="6" xfId="0" applyFont="1" applyFill="1" applyBorder="1" applyAlignment="1">
      <alignment horizontal="center" vertical="top"/>
    </xf>
    <xf numFmtId="0" fontId="20" fillId="0" borderId="11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42" fontId="20" fillId="0" borderId="43" xfId="0" applyNumberFormat="1" applyFont="1" applyFill="1" applyBorder="1" applyAlignment="1">
      <alignment horizontal="center"/>
    </xf>
    <xf numFmtId="42" fontId="20" fillId="0" borderId="9" xfId="0" applyNumberFormat="1" applyFont="1" applyFill="1" applyBorder="1" applyAlignment="1">
      <alignment horizontal="center"/>
    </xf>
    <xf numFmtId="42" fontId="20" fillId="0" borderId="44" xfId="0" applyNumberFormat="1" applyFont="1" applyFill="1" applyBorder="1" applyAlignment="1">
      <alignment horizontal="center"/>
    </xf>
    <xf numFmtId="42" fontId="13" fillId="10" borderId="8" xfId="0" applyNumberFormat="1" applyFont="1" applyFill="1" applyBorder="1" applyAlignment="1">
      <alignment horizontal="left" vertical="top" wrapText="1"/>
    </xf>
    <xf numFmtId="42" fontId="13" fillId="10" borderId="0" xfId="0" applyNumberFormat="1" applyFont="1" applyFill="1" applyBorder="1" applyAlignment="1">
      <alignment horizontal="left" vertical="top" wrapText="1"/>
    </xf>
    <xf numFmtId="42" fontId="13" fillId="10" borderId="10" xfId="0" applyNumberFormat="1" applyFont="1" applyFill="1" applyBorder="1" applyAlignment="1">
      <alignment horizontal="left" vertical="top" wrapText="1"/>
    </xf>
    <xf numFmtId="0" fontId="26" fillId="10" borderId="14" xfId="0" applyFont="1" applyFill="1" applyBorder="1" applyAlignment="1">
      <alignment horizontal="center"/>
    </xf>
    <xf numFmtId="0" fontId="26" fillId="10" borderId="16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6" fontId="0" fillId="0" borderId="0" xfId="0" applyNumberFormat="1" applyFont="1" applyFill="1" applyBorder="1" applyAlignment="1">
      <alignment horizontal="right" vertical="center"/>
    </xf>
    <xf numFmtId="6" fontId="0" fillId="0" borderId="12" xfId="0" applyNumberFormat="1" applyFont="1" applyFill="1" applyBorder="1" applyAlignment="1">
      <alignment horizontal="right" vertical="center"/>
    </xf>
    <xf numFmtId="10" fontId="1" fillId="0" borderId="10" xfId="2" applyNumberFormat="1" applyFont="1" applyFill="1" applyBorder="1" applyAlignment="1">
      <alignment horizontal="center" vertical="center"/>
    </xf>
    <xf numFmtId="10" fontId="1" fillId="0" borderId="13" xfId="2" applyNumberFormat="1" applyFont="1" applyFill="1" applyBorder="1" applyAlignment="1">
      <alignment horizontal="center" vertical="center"/>
    </xf>
    <xf numFmtId="3" fontId="0" fillId="0" borderId="0" xfId="0" applyNumberFormat="1" applyFont="1" applyFill="1" applyBorder="1" applyAlignment="1">
      <alignment horizontal="center"/>
    </xf>
    <xf numFmtId="3" fontId="0" fillId="0" borderId="12" xfId="0" applyNumberFormat="1" applyFont="1" applyFill="1" applyBorder="1" applyAlignment="1">
      <alignment horizontal="center"/>
    </xf>
    <xf numFmtId="6" fontId="0" fillId="0" borderId="0" xfId="0" applyNumberFormat="1" applyFont="1" applyFill="1" applyBorder="1" applyAlignment="1">
      <alignment horizontal="center" vertical="center"/>
    </xf>
    <xf numFmtId="6" fontId="0" fillId="0" borderId="12" xfId="0" applyNumberFormat="1" applyFont="1" applyFill="1" applyBorder="1" applyAlignment="1">
      <alignment horizontal="center" vertical="center"/>
    </xf>
    <xf numFmtId="6" fontId="0" fillId="7" borderId="9" xfId="0" applyNumberFormat="1" applyFont="1" applyFill="1" applyBorder="1" applyAlignment="1">
      <alignment horizontal="center" vertical="center"/>
    </xf>
    <xf numFmtId="6" fontId="0" fillId="7" borderId="0" xfId="0" applyNumberFormat="1" applyFont="1" applyFill="1" applyBorder="1" applyAlignment="1">
      <alignment horizontal="center" vertical="center"/>
    </xf>
    <xf numFmtId="6" fontId="0" fillId="7" borderId="12" xfId="0" applyNumberFormat="1" applyFont="1" applyFill="1" applyBorder="1" applyAlignment="1">
      <alignment horizontal="center" vertical="center"/>
    </xf>
    <xf numFmtId="10" fontId="1" fillId="7" borderId="29" xfId="2" applyNumberFormat="1" applyFont="1" applyFill="1" applyBorder="1" applyAlignment="1">
      <alignment horizontal="center" vertical="center"/>
    </xf>
    <xf numFmtId="10" fontId="1" fillId="7" borderId="31" xfId="2" applyNumberFormat="1" applyFont="1" applyFill="1" applyBorder="1" applyAlignment="1">
      <alignment horizontal="center" vertical="center"/>
    </xf>
    <xf numFmtId="6" fontId="2" fillId="0" borderId="19" xfId="0" applyNumberFormat="1" applyFont="1" applyFill="1" applyBorder="1" applyAlignment="1">
      <alignment horizontal="right" vertical="center"/>
    </xf>
    <xf numFmtId="6" fontId="2" fillId="0" borderId="12" xfId="0" applyNumberFormat="1" applyFont="1" applyFill="1" applyBorder="1" applyAlignment="1">
      <alignment horizontal="right" vertical="center"/>
    </xf>
    <xf numFmtId="6" fontId="0" fillId="0" borderId="19" xfId="0" applyNumberFormat="1" applyFont="1" applyFill="1" applyBorder="1" applyAlignment="1">
      <alignment horizontal="right" vertical="center"/>
    </xf>
    <xf numFmtId="10" fontId="1" fillId="0" borderId="20" xfId="2" applyNumberFormat="1" applyFont="1" applyFill="1" applyBorder="1" applyAlignment="1">
      <alignment horizontal="center" vertical="center"/>
    </xf>
    <xf numFmtId="6" fontId="0" fillId="7" borderId="19" xfId="0" applyNumberFormat="1" applyFont="1" applyFill="1" applyBorder="1" applyAlignment="1">
      <alignment horizontal="center" vertical="center"/>
    </xf>
    <xf numFmtId="10" fontId="1" fillId="7" borderId="35" xfId="2" applyNumberFormat="1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left" vertical="center"/>
    </xf>
    <xf numFmtId="0" fontId="0" fillId="0" borderId="21" xfId="0" applyFont="1" applyFill="1" applyBorder="1" applyAlignment="1">
      <alignment horizontal="left" vertical="center"/>
    </xf>
    <xf numFmtId="6" fontId="2" fillId="0" borderId="0" xfId="0" applyNumberFormat="1" applyFont="1" applyFill="1" applyBorder="1" applyAlignment="1">
      <alignment horizontal="right" vertical="center"/>
    </xf>
    <xf numFmtId="0" fontId="0" fillId="0" borderId="17" xfId="0" applyFont="1" applyFill="1" applyBorder="1" applyAlignment="1">
      <alignment horizontal="left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6" fontId="0" fillId="0" borderId="19" xfId="0" applyNumberFormat="1" applyFont="1" applyFill="1" applyBorder="1" applyAlignment="1">
      <alignment horizontal="center" vertical="center"/>
    </xf>
    <xf numFmtId="6" fontId="2" fillId="0" borderId="4" xfId="0" applyNumberFormat="1" applyFont="1" applyFill="1" applyBorder="1" applyAlignment="1">
      <alignment horizontal="center"/>
    </xf>
    <xf numFmtId="6" fontId="2" fillId="0" borderId="5" xfId="0" applyNumberFormat="1" applyFont="1" applyFill="1" applyBorder="1" applyAlignment="1">
      <alignment horizontal="center"/>
    </xf>
    <xf numFmtId="6" fontId="2" fillId="0" borderId="6" xfId="0" applyNumberFormat="1" applyFont="1" applyFill="1" applyBorder="1" applyAlignment="1">
      <alignment horizontal="center"/>
    </xf>
    <xf numFmtId="0" fontId="18" fillId="16" borderId="40" xfId="0" applyFont="1" applyFill="1" applyBorder="1" applyAlignment="1">
      <alignment horizontal="center"/>
    </xf>
    <xf numFmtId="0" fontId="18" fillId="16" borderId="41" xfId="0" applyFont="1" applyFill="1" applyBorder="1" applyAlignment="1">
      <alignment horizontal="center"/>
    </xf>
    <xf numFmtId="0" fontId="18" fillId="16" borderId="42" xfId="0" applyFont="1" applyFill="1" applyBorder="1" applyAlignment="1">
      <alignment horizontal="center"/>
    </xf>
    <xf numFmtId="0" fontId="19" fillId="16" borderId="4" xfId="0" applyFont="1" applyFill="1" applyBorder="1" applyAlignment="1">
      <alignment horizontal="center" vertical="top"/>
    </xf>
    <xf numFmtId="0" fontId="19" fillId="16" borderId="5" xfId="0" applyFont="1" applyFill="1" applyBorder="1" applyAlignment="1">
      <alignment horizontal="center" vertical="top"/>
    </xf>
    <xf numFmtId="0" fontId="19" fillId="16" borderId="6" xfId="0" applyFont="1" applyFill="1" applyBorder="1" applyAlignment="1">
      <alignment horizontal="center" vertical="top"/>
    </xf>
    <xf numFmtId="0" fontId="19" fillId="17" borderId="4" xfId="0" applyFont="1" applyFill="1" applyBorder="1" applyAlignment="1">
      <alignment horizontal="center" vertical="top"/>
    </xf>
    <xf numFmtId="0" fontId="19" fillId="17" borderId="5" xfId="0" applyFont="1" applyFill="1" applyBorder="1" applyAlignment="1">
      <alignment horizontal="center" vertical="top"/>
    </xf>
    <xf numFmtId="0" fontId="19" fillId="17" borderId="6" xfId="0" applyFont="1" applyFill="1" applyBorder="1" applyAlignment="1">
      <alignment horizontal="center" vertical="top"/>
    </xf>
    <xf numFmtId="42" fontId="13" fillId="13" borderId="8" xfId="0" applyNumberFormat="1" applyFont="1" applyFill="1" applyBorder="1" applyAlignment="1">
      <alignment horizontal="left" vertical="top" wrapText="1"/>
    </xf>
    <xf numFmtId="42" fontId="13" fillId="13" borderId="0" xfId="0" applyNumberFormat="1" applyFont="1" applyFill="1" applyBorder="1" applyAlignment="1">
      <alignment horizontal="left" vertical="top" wrapText="1"/>
    </xf>
    <xf numFmtId="42" fontId="13" fillId="13" borderId="10" xfId="0" applyNumberFormat="1" applyFont="1" applyFill="1" applyBorder="1" applyAlignment="1">
      <alignment horizontal="left" vertical="top" wrapText="1"/>
    </xf>
    <xf numFmtId="0" fontId="35" fillId="0" borderId="0" xfId="0" applyFont="1" applyFill="1" applyBorder="1" applyAlignment="1">
      <alignment horizontal="center"/>
    </xf>
    <xf numFmtId="0" fontId="44" fillId="0" borderId="0" xfId="0" applyFont="1" applyFill="1" applyBorder="1" applyAlignment="1">
      <alignment horizontal="center"/>
    </xf>
    <xf numFmtId="14" fontId="18" fillId="16" borderId="4" xfId="0" applyNumberFormat="1" applyFont="1" applyFill="1" applyBorder="1" applyAlignment="1">
      <alignment horizontal="center"/>
    </xf>
    <xf numFmtId="0" fontId="18" fillId="16" borderId="5" xfId="0" applyFont="1" applyFill="1" applyBorder="1" applyAlignment="1">
      <alignment horizontal="center"/>
    </xf>
    <xf numFmtId="0" fontId="18" fillId="16" borderId="6" xfId="0" applyFont="1" applyFill="1" applyBorder="1" applyAlignment="1">
      <alignment horizontal="center"/>
    </xf>
    <xf numFmtId="0" fontId="20" fillId="16" borderId="30" xfId="0" applyFont="1" applyFill="1" applyBorder="1" applyAlignment="1">
      <alignment horizontal="center"/>
    </xf>
    <xf numFmtId="0" fontId="20" fillId="16" borderId="12" xfId="0" applyFont="1" applyFill="1" applyBorder="1" applyAlignment="1">
      <alignment horizontal="center"/>
    </xf>
    <xf numFmtId="42" fontId="20" fillId="16" borderId="55" xfId="0" applyNumberFormat="1" applyFont="1" applyFill="1" applyBorder="1" applyAlignment="1">
      <alignment horizontal="center"/>
    </xf>
    <xf numFmtId="42" fontId="20" fillId="16" borderId="56" xfId="0" applyNumberFormat="1" applyFont="1" applyFill="1" applyBorder="1" applyAlignment="1">
      <alignment horizontal="center"/>
    </xf>
    <xf numFmtId="42" fontId="20" fillId="16" borderId="57" xfId="0" applyNumberFormat="1" applyFont="1" applyFill="1" applyBorder="1" applyAlignment="1">
      <alignment horizontal="center"/>
    </xf>
    <xf numFmtId="42" fontId="22" fillId="0" borderId="14" xfId="0" applyNumberFormat="1" applyFont="1" applyFill="1" applyBorder="1" applyAlignment="1">
      <alignment horizontal="center"/>
    </xf>
    <xf numFmtId="42" fontId="22" fillId="0" borderId="15" xfId="0" applyNumberFormat="1" applyFont="1" applyFill="1" applyBorder="1" applyAlignment="1">
      <alignment horizontal="center"/>
    </xf>
    <xf numFmtId="0" fontId="20" fillId="0" borderId="32" xfId="0" applyFont="1" applyFill="1" applyBorder="1" applyAlignment="1">
      <alignment horizontal="center"/>
    </xf>
    <xf numFmtId="0" fontId="20" fillId="0" borderId="15" xfId="0" applyFont="1" applyFill="1" applyBorder="1" applyAlignment="1">
      <alignment horizontal="center"/>
    </xf>
    <xf numFmtId="0" fontId="22" fillId="0" borderId="14" xfId="0" applyFont="1" applyFill="1" applyBorder="1" applyAlignment="1">
      <alignment horizontal="center"/>
    </xf>
    <xf numFmtId="0" fontId="22" fillId="0" borderId="15" xfId="0" applyFont="1" applyFill="1" applyBorder="1" applyAlignment="1">
      <alignment horizontal="center"/>
    </xf>
    <xf numFmtId="0" fontId="20" fillId="16" borderId="11" xfId="0" applyFont="1" applyFill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20" fillId="0" borderId="16" xfId="0" applyFont="1" applyBorder="1" applyAlignment="1">
      <alignment horizontal="center"/>
    </xf>
    <xf numFmtId="10" fontId="1" fillId="0" borderId="29" xfId="2" applyNumberFormat="1" applyFont="1" applyFill="1" applyBorder="1" applyAlignment="1">
      <alignment horizontal="center" vertical="center"/>
    </xf>
    <xf numFmtId="10" fontId="1" fillId="0" borderId="31" xfId="2" applyNumberFormat="1" applyFont="1" applyFill="1" applyBorder="1" applyAlignment="1">
      <alignment horizontal="center" vertical="center"/>
    </xf>
    <xf numFmtId="6" fontId="0" fillId="0" borderId="24" xfId="0" applyNumberFormat="1" applyFont="1" applyFill="1" applyBorder="1" applyAlignment="1">
      <alignment horizontal="center" vertical="center"/>
    </xf>
    <xf numFmtId="6" fontId="0" fillId="0" borderId="30" xfId="0" applyNumberFormat="1" applyFont="1" applyFill="1" applyBorder="1" applyAlignment="1">
      <alignment horizontal="center" vertical="center"/>
    </xf>
    <xf numFmtId="10" fontId="1" fillId="0" borderId="35" xfId="2" applyNumberFormat="1" applyFont="1" applyFill="1" applyBorder="1" applyAlignment="1">
      <alignment horizontal="center" vertical="center"/>
    </xf>
    <xf numFmtId="6" fontId="0" fillId="11" borderId="17" xfId="0" applyNumberFormat="1" applyFont="1" applyFill="1" applyBorder="1" applyAlignment="1">
      <alignment horizontal="center" vertical="center"/>
    </xf>
    <xf numFmtId="6" fontId="0" fillId="11" borderId="21" xfId="0" applyNumberFormat="1" applyFont="1" applyFill="1" applyBorder="1" applyAlignment="1">
      <alignment horizontal="center" vertical="center"/>
    </xf>
    <xf numFmtId="6" fontId="0" fillId="0" borderId="34" xfId="0" applyNumberFormat="1" applyFont="1" applyFill="1" applyBorder="1" applyAlignment="1">
      <alignment horizontal="center" vertical="center"/>
    </xf>
    <xf numFmtId="10" fontId="1" fillId="11" borderId="35" xfId="2" applyNumberFormat="1" applyFont="1" applyFill="1" applyBorder="1" applyAlignment="1">
      <alignment horizontal="center" vertical="center"/>
    </xf>
    <xf numFmtId="10" fontId="1" fillId="11" borderId="31" xfId="2" applyNumberFormat="1" applyFont="1" applyFill="1" applyBorder="1" applyAlignment="1">
      <alignment horizontal="center" vertical="center"/>
    </xf>
    <xf numFmtId="6" fontId="0" fillId="11" borderId="50" xfId="0" applyNumberFormat="1" applyFont="1" applyFill="1" applyBorder="1" applyAlignment="1">
      <alignment horizontal="center" vertical="center"/>
    </xf>
    <xf numFmtId="6" fontId="0" fillId="11" borderId="22" xfId="0" applyNumberFormat="1" applyFont="1" applyFill="1" applyBorder="1" applyAlignment="1">
      <alignment horizontal="center" vertical="center"/>
    </xf>
    <xf numFmtId="10" fontId="1" fillId="11" borderId="29" xfId="2" applyNumberFormat="1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/>
    </xf>
    <xf numFmtId="0" fontId="2" fillId="9" borderId="5" xfId="0" applyFont="1" applyFill="1" applyBorder="1" applyAlignment="1">
      <alignment horizontal="center"/>
    </xf>
    <xf numFmtId="0" fontId="2" fillId="9" borderId="6" xfId="0" applyFont="1" applyFill="1" applyBorder="1" applyAlignment="1">
      <alignment horizontal="center"/>
    </xf>
    <xf numFmtId="6" fontId="2" fillId="9" borderId="4" xfId="0" applyNumberFormat="1" applyFont="1" applyFill="1" applyBorder="1" applyAlignment="1">
      <alignment horizontal="center"/>
    </xf>
    <xf numFmtId="6" fontId="2" fillId="9" borderId="5" xfId="0" applyNumberFormat="1" applyFont="1" applyFill="1" applyBorder="1" applyAlignment="1">
      <alignment horizontal="center"/>
    </xf>
    <xf numFmtId="6" fontId="2" fillId="9" borderId="6" xfId="0" applyNumberFormat="1" applyFont="1" applyFill="1" applyBorder="1" applyAlignment="1">
      <alignment horizontal="center"/>
    </xf>
    <xf numFmtId="44" fontId="2" fillId="14" borderId="4" xfId="0" applyNumberFormat="1" applyFont="1" applyFill="1" applyBorder="1" applyAlignment="1">
      <alignment horizontal="center"/>
    </xf>
    <xf numFmtId="44" fontId="2" fillId="14" borderId="6" xfId="0" applyNumberFormat="1" applyFont="1" applyFill="1" applyBorder="1" applyAlignment="1">
      <alignment horizontal="center"/>
    </xf>
    <xf numFmtId="0" fontId="2" fillId="14" borderId="4" xfId="0" applyFont="1" applyFill="1" applyBorder="1" applyAlignment="1">
      <alignment horizontal="center"/>
    </xf>
    <xf numFmtId="0" fontId="2" fillId="14" borderId="5" xfId="0" applyFont="1" applyFill="1" applyBorder="1" applyAlignment="1">
      <alignment horizontal="center"/>
    </xf>
    <xf numFmtId="0" fontId="2" fillId="14" borderId="6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58" fillId="8" borderId="4" xfId="0" applyFont="1" applyFill="1" applyBorder="1" applyAlignment="1">
      <alignment horizontal="center" vertical="center"/>
    </xf>
    <xf numFmtId="0" fontId="58" fillId="8" borderId="5" xfId="0" applyFont="1" applyFill="1" applyBorder="1" applyAlignment="1">
      <alignment horizontal="center" vertical="center"/>
    </xf>
  </cellXfs>
  <cellStyles count="335">
    <cellStyle name="20% - Accent1 2" xfId="41"/>
    <cellStyle name="20% - Accent1 2 2" xfId="42"/>
    <cellStyle name="20% - Accent1 2 3" xfId="43"/>
    <cellStyle name="20% - Accent1 2 4" xfId="44"/>
    <cellStyle name="20% - Accent1 2 5" xfId="45"/>
    <cellStyle name="20% - Accent1 2 6" xfId="46"/>
    <cellStyle name="20% - Accent1 3" xfId="47"/>
    <cellStyle name="20% - Accent1 4" xfId="48"/>
    <cellStyle name="20% - Accent1 5" xfId="49"/>
    <cellStyle name="20% - Accent1 6" xfId="50"/>
    <cellStyle name="20% - Accent2 2" xfId="51"/>
    <cellStyle name="20% - Accent2 2 2" xfId="52"/>
    <cellStyle name="20% - Accent2 2 3" xfId="53"/>
    <cellStyle name="20% - Accent2 2 4" xfId="54"/>
    <cellStyle name="20% - Accent2 2 5" xfId="55"/>
    <cellStyle name="20% - Accent2 2 6" xfId="56"/>
    <cellStyle name="20% - Accent2 3" xfId="57"/>
    <cellStyle name="20% - Accent2 4" xfId="58"/>
    <cellStyle name="20% - Accent2 5" xfId="59"/>
    <cellStyle name="20% - Accent2 6" xfId="60"/>
    <cellStyle name="20% - Accent3 2" xfId="61"/>
    <cellStyle name="20% - Accent3 2 2" xfId="62"/>
    <cellStyle name="20% - Accent3 2 3" xfId="63"/>
    <cellStyle name="20% - Accent3 2 4" xfId="64"/>
    <cellStyle name="20% - Accent3 2 5" xfId="65"/>
    <cellStyle name="20% - Accent3 2 6" xfId="66"/>
    <cellStyle name="20% - Accent3 3" xfId="67"/>
    <cellStyle name="20% - Accent3 4" xfId="68"/>
    <cellStyle name="20% - Accent3 5" xfId="69"/>
    <cellStyle name="20% - Accent3 6" xfId="70"/>
    <cellStyle name="20% - Accent4 2" xfId="71"/>
    <cellStyle name="20% - Accent4 2 2" xfId="72"/>
    <cellStyle name="20% - Accent4 2 3" xfId="73"/>
    <cellStyle name="20% - Accent4 2 4" xfId="74"/>
    <cellStyle name="20% - Accent4 2 5" xfId="75"/>
    <cellStyle name="20% - Accent4 2 6" xfId="76"/>
    <cellStyle name="20% - Accent4 3" xfId="77"/>
    <cellStyle name="20% - Accent4 4" xfId="78"/>
    <cellStyle name="20% - Accent4 5" xfId="79"/>
    <cellStyle name="20% - Accent4 6" xfId="80"/>
    <cellStyle name="20% - Accent5 2" xfId="81"/>
    <cellStyle name="20% - Accent5 2 2" xfId="82"/>
    <cellStyle name="20% - Accent5 2 3" xfId="83"/>
    <cellStyle name="20% - Accent5 2 4" xfId="84"/>
    <cellStyle name="20% - Accent5 2 5" xfId="85"/>
    <cellStyle name="20% - Accent5 2 6" xfId="86"/>
    <cellStyle name="20% - Accent5 3" xfId="87"/>
    <cellStyle name="20% - Accent5 4" xfId="88"/>
    <cellStyle name="20% - Accent5 5" xfId="89"/>
    <cellStyle name="20% - Accent5 6" xfId="90"/>
    <cellStyle name="20% - Accent6 2" xfId="91"/>
    <cellStyle name="20% - Accent6 2 2" xfId="92"/>
    <cellStyle name="20% - Accent6 2 3" xfId="93"/>
    <cellStyle name="20% - Accent6 2 4" xfId="94"/>
    <cellStyle name="20% - Accent6 2 5" xfId="95"/>
    <cellStyle name="20% - Accent6 2 6" xfId="96"/>
    <cellStyle name="20% - Accent6 3" xfId="97"/>
    <cellStyle name="20% - Accent6 4" xfId="98"/>
    <cellStyle name="20% - Accent6 5" xfId="99"/>
    <cellStyle name="20% - Accent6 6" xfId="100"/>
    <cellStyle name="40% - Accent1 2" xfId="101"/>
    <cellStyle name="40% - Accent1 2 2" xfId="102"/>
    <cellStyle name="40% - Accent1 2 3" xfId="103"/>
    <cellStyle name="40% - Accent1 2 4" xfId="104"/>
    <cellStyle name="40% - Accent1 2 5" xfId="105"/>
    <cellStyle name="40% - Accent1 2 6" xfId="106"/>
    <cellStyle name="40% - Accent1 3" xfId="107"/>
    <cellStyle name="40% - Accent1 4" xfId="108"/>
    <cellStyle name="40% - Accent1 5" xfId="109"/>
    <cellStyle name="40% - Accent1 6" xfId="110"/>
    <cellStyle name="40% - Accent2 2" xfId="111"/>
    <cellStyle name="40% - Accent2 2 2" xfId="112"/>
    <cellStyle name="40% - Accent2 2 3" xfId="113"/>
    <cellStyle name="40% - Accent2 2 4" xfId="114"/>
    <cellStyle name="40% - Accent2 2 5" xfId="115"/>
    <cellStyle name="40% - Accent2 2 6" xfId="116"/>
    <cellStyle name="40% - Accent2 3" xfId="117"/>
    <cellStyle name="40% - Accent2 4" xfId="118"/>
    <cellStyle name="40% - Accent2 5" xfId="119"/>
    <cellStyle name="40% - Accent2 6" xfId="120"/>
    <cellStyle name="40% - Accent3 2" xfId="121"/>
    <cellStyle name="40% - Accent3 2 2" xfId="122"/>
    <cellStyle name="40% - Accent3 2 3" xfId="123"/>
    <cellStyle name="40% - Accent3 2 4" xfId="124"/>
    <cellStyle name="40% - Accent3 2 5" xfId="125"/>
    <cellStyle name="40% - Accent3 2 6" xfId="126"/>
    <cellStyle name="40% - Accent3 3" xfId="127"/>
    <cellStyle name="40% - Accent3 4" xfId="128"/>
    <cellStyle name="40% - Accent3 5" xfId="129"/>
    <cellStyle name="40% - Accent3 6" xfId="130"/>
    <cellStyle name="40% - Accent4 2" xfId="131"/>
    <cellStyle name="40% - Accent4 2 2" xfId="132"/>
    <cellStyle name="40% - Accent4 2 3" xfId="133"/>
    <cellStyle name="40% - Accent4 2 4" xfId="134"/>
    <cellStyle name="40% - Accent4 2 5" xfId="135"/>
    <cellStyle name="40% - Accent4 2 6" xfId="136"/>
    <cellStyle name="40% - Accent4 3" xfId="137"/>
    <cellStyle name="40% - Accent4 4" xfId="138"/>
    <cellStyle name="40% - Accent4 5" xfId="139"/>
    <cellStyle name="40% - Accent4 6" xfId="140"/>
    <cellStyle name="40% - Accent5 2" xfId="141"/>
    <cellStyle name="40% - Accent5 2 2" xfId="142"/>
    <cellStyle name="40% - Accent5 2 3" xfId="143"/>
    <cellStyle name="40% - Accent5 2 4" xfId="144"/>
    <cellStyle name="40% - Accent5 2 5" xfId="145"/>
    <cellStyle name="40% - Accent5 2 6" xfId="146"/>
    <cellStyle name="40% - Accent5 3" xfId="147"/>
    <cellStyle name="40% - Accent5 4" xfId="148"/>
    <cellStyle name="40% - Accent5 5" xfId="149"/>
    <cellStyle name="40% - Accent5 6" xfId="150"/>
    <cellStyle name="40% - Accent6 2" xfId="151"/>
    <cellStyle name="40% - Accent6 2 2" xfId="152"/>
    <cellStyle name="40% - Accent6 2 3" xfId="153"/>
    <cellStyle name="40% - Accent6 2 4" xfId="154"/>
    <cellStyle name="40% - Accent6 2 5" xfId="155"/>
    <cellStyle name="40% - Accent6 2 6" xfId="156"/>
    <cellStyle name="40% - Accent6 3" xfId="157"/>
    <cellStyle name="40% - Accent6 4" xfId="158"/>
    <cellStyle name="40% - Accent6 5" xfId="159"/>
    <cellStyle name="40% - Accent6 6" xfId="160"/>
    <cellStyle name="Comma 2" xfId="3"/>
    <cellStyle name="Comma 2 2" xfId="161"/>
    <cellStyle name="Comma 3" xfId="4"/>
    <cellStyle name="Comma 3 2" xfId="5"/>
    <cellStyle name="Comma 3 3" xfId="162"/>
    <cellStyle name="Comma 3 4" xfId="163"/>
    <cellStyle name="Comma 3 5" xfId="164"/>
    <cellStyle name="Comma 3 6" xfId="165"/>
    <cellStyle name="Comma 4" xfId="6"/>
    <cellStyle name="Comma 4 2" xfId="166"/>
    <cellStyle name="Comma 5" xfId="7"/>
    <cellStyle name="Comma 5 2" xfId="167"/>
    <cellStyle name="Comma 5 3" xfId="168"/>
    <cellStyle name="Comma 5 4" xfId="169"/>
    <cellStyle name="Comma 5 5" xfId="170"/>
    <cellStyle name="Comma 5 6" xfId="171"/>
    <cellStyle name="Comma 6" xfId="8"/>
    <cellStyle name="Comma 7" xfId="9"/>
    <cellStyle name="Currency" xfId="1" builtinId="4"/>
    <cellStyle name="Currency 10" xfId="10"/>
    <cellStyle name="Currency 2" xfId="11"/>
    <cellStyle name="Currency 2 2" xfId="12"/>
    <cellStyle name="Currency 2 2 2" xfId="172"/>
    <cellStyle name="Currency 2 2 2 3" xfId="173"/>
    <cellStyle name="Currency 2 3" xfId="13"/>
    <cellStyle name="Currency 2 4" xfId="174"/>
    <cellStyle name="Currency 3" xfId="14"/>
    <cellStyle name="Currency 3 2" xfId="15"/>
    <cellStyle name="Currency 3 2 2" xfId="175"/>
    <cellStyle name="Currency 3 3" xfId="176"/>
    <cellStyle name="Currency 4" xfId="16"/>
    <cellStyle name="Currency 4 2" xfId="17"/>
    <cellStyle name="Currency 4 3" xfId="177"/>
    <cellStyle name="Currency 4 4" xfId="178"/>
    <cellStyle name="Currency 5" xfId="18"/>
    <cellStyle name="Currency 5 2" xfId="19"/>
    <cellStyle name="Currency 5 3" xfId="179"/>
    <cellStyle name="Currency 6" xfId="180"/>
    <cellStyle name="Currency 6 2" xfId="181"/>
    <cellStyle name="Currency 6 3" xfId="182"/>
    <cellStyle name="Currency 6 4" xfId="183"/>
    <cellStyle name="Currency 6 5" xfId="184"/>
    <cellStyle name="Currency 6 6" xfId="185"/>
    <cellStyle name="Currency 7" xfId="186"/>
    <cellStyle name="Currency 7 2" xfId="187"/>
    <cellStyle name="Currency 7 3" xfId="188"/>
    <cellStyle name="Currency 7 4" xfId="189"/>
    <cellStyle name="Currency 7 5" xfId="190"/>
    <cellStyle name="Currency 7 6" xfId="191"/>
    <cellStyle name="Currency 8" xfId="192"/>
    <cellStyle name="Currency 9" xfId="193"/>
    <cellStyle name="FRxAmtStyle" xfId="194"/>
    <cellStyle name="FRxAmtStyle 2" xfId="195"/>
    <cellStyle name="FRxCurrStyle" xfId="196"/>
    <cellStyle name="FRxCurrStyle 2" xfId="197"/>
    <cellStyle name="FRxPcntStyle" xfId="198"/>
    <cellStyle name="FRxPcntStyle 2" xfId="199"/>
    <cellStyle name="Hyperlink 2" xfId="200"/>
    <cellStyle name="Hyperlink 3" xfId="201"/>
    <cellStyle name="Normal" xfId="0" builtinId="0"/>
    <cellStyle name="Normal 10" xfId="202"/>
    <cellStyle name="Normal 10 2" xfId="203"/>
    <cellStyle name="Normal 11" xfId="204"/>
    <cellStyle name="Normal 12" xfId="205"/>
    <cellStyle name="Normal 12 2" xfId="206"/>
    <cellStyle name="Normal 12 3" xfId="207"/>
    <cellStyle name="Normal 12 4" xfId="208"/>
    <cellStyle name="Normal 12 5" xfId="209"/>
    <cellStyle name="Normal 12 6" xfId="210"/>
    <cellStyle name="Normal 13" xfId="211"/>
    <cellStyle name="Normal 14" xfId="212"/>
    <cellStyle name="Normal 15" xfId="213"/>
    <cellStyle name="Normal 15 2" xfId="214"/>
    <cellStyle name="Normal 16" xfId="215"/>
    <cellStyle name="Normal 17" xfId="216"/>
    <cellStyle name="Normal 17 2" xfId="217"/>
    <cellStyle name="Normal 18" xfId="218"/>
    <cellStyle name="Normal 18 2" xfId="219"/>
    <cellStyle name="Normal 19" xfId="220"/>
    <cellStyle name="Normal 2" xfId="20"/>
    <cellStyle name="Normal 2 2" xfId="21"/>
    <cellStyle name="Normal 2 2 2" xfId="221"/>
    <cellStyle name="Normal 2 2 3" xfId="222"/>
    <cellStyle name="Normal 2 3" xfId="223"/>
    <cellStyle name="Normal 2 3 2" xfId="224"/>
    <cellStyle name="Normal 2 3 3" xfId="225"/>
    <cellStyle name="Normal 2 3 4" xfId="226"/>
    <cellStyle name="Normal 2 3 5" xfId="227"/>
    <cellStyle name="Normal 2 3 6" xfId="228"/>
    <cellStyle name="Normal 2 4" xfId="229"/>
    <cellStyle name="Normal 2 5" xfId="230"/>
    <cellStyle name="Normal 2_13-14 PKG - BC premium breakdown includes figures(1)" xfId="231"/>
    <cellStyle name="Normal 20" xfId="232"/>
    <cellStyle name="Normal 21" xfId="233"/>
    <cellStyle name="Normal 3" xfId="22"/>
    <cellStyle name="Normal 3 2" xfId="23"/>
    <cellStyle name="Normal 3 2 2" xfId="234"/>
    <cellStyle name="Normal 3 2 3" xfId="235"/>
    <cellStyle name="Normal 3 2 4" xfId="236"/>
    <cellStyle name="Normal 3 2 5" xfId="237"/>
    <cellStyle name="Normal 3 2 6" xfId="238"/>
    <cellStyle name="Normal 3 3" xfId="239"/>
    <cellStyle name="Normal 3 4" xfId="240"/>
    <cellStyle name="Normal 4" xfId="24"/>
    <cellStyle name="Normal 4 2" xfId="25"/>
    <cellStyle name="Normal 4 2 2" xfId="241"/>
    <cellStyle name="Normal 5" xfId="26"/>
    <cellStyle name="Normal 5 2" xfId="27"/>
    <cellStyle name="Normal 5 2 2" xfId="242"/>
    <cellStyle name="Normal 5 3" xfId="243"/>
    <cellStyle name="Normal 5 3 2" xfId="244"/>
    <cellStyle name="Normal 6" xfId="28"/>
    <cellStyle name="Normal 6 2" xfId="29"/>
    <cellStyle name="Normal 6 2 2" xfId="245"/>
    <cellStyle name="Normal 6 2 2 2" xfId="246"/>
    <cellStyle name="Normal 6 2 2 3" xfId="247"/>
    <cellStyle name="Normal 6 2 2 4" xfId="248"/>
    <cellStyle name="Normal 6 2 2 5" xfId="249"/>
    <cellStyle name="Normal 6 2 2 6" xfId="250"/>
    <cellStyle name="Normal 6 2 3" xfId="251"/>
    <cellStyle name="Normal 6 2 4" xfId="252"/>
    <cellStyle name="Normal 6 2 5" xfId="253"/>
    <cellStyle name="Normal 6 2 6" xfId="254"/>
    <cellStyle name="Normal 6 2 7" xfId="255"/>
    <cellStyle name="Normal 6 2 8" xfId="256"/>
    <cellStyle name="Normal 6 3" xfId="257"/>
    <cellStyle name="Normal 6 3 2" xfId="258"/>
    <cellStyle name="Normal 6 3 3" xfId="259"/>
    <cellStyle name="Normal 6 3 4" xfId="260"/>
    <cellStyle name="Normal 6 3 5" xfId="261"/>
    <cellStyle name="Normal 6 3 6" xfId="262"/>
    <cellStyle name="Normal 6 4" xfId="263"/>
    <cellStyle name="Normal 6 4 2" xfId="264"/>
    <cellStyle name="Normal 6 4 3" xfId="265"/>
    <cellStyle name="Normal 6 4 4" xfId="266"/>
    <cellStyle name="Normal 6 4 5" xfId="267"/>
    <cellStyle name="Normal 6 4 6" xfId="268"/>
    <cellStyle name="Normal 6 5" xfId="269"/>
    <cellStyle name="Normal 6 6" xfId="270"/>
    <cellStyle name="Normal 6 7" xfId="271"/>
    <cellStyle name="Normal 6 8" xfId="272"/>
    <cellStyle name="Normal 6 9" xfId="273"/>
    <cellStyle name="Normal 7" xfId="30"/>
    <cellStyle name="Normal 7 2" xfId="274"/>
    <cellStyle name="Normal 7 3" xfId="275"/>
    <cellStyle name="Normal 8" xfId="31"/>
    <cellStyle name="Normal 8 2" xfId="276"/>
    <cellStyle name="Normal 8 2 2" xfId="277"/>
    <cellStyle name="Normal 8 2 3" xfId="278"/>
    <cellStyle name="Normal 8 2 4" xfId="279"/>
    <cellStyle name="Normal 8 2 5" xfId="280"/>
    <cellStyle name="Normal 8 2 6" xfId="281"/>
    <cellStyle name="Normal 8 3" xfId="282"/>
    <cellStyle name="Normal 8 4" xfId="283"/>
    <cellStyle name="Normal 8 5" xfId="284"/>
    <cellStyle name="Normal 8 6" xfId="285"/>
    <cellStyle name="Normal 8 7" xfId="286"/>
    <cellStyle name="Normal 8 8" xfId="287"/>
    <cellStyle name="Normal 9" xfId="288"/>
    <cellStyle name="Note 2" xfId="32"/>
    <cellStyle name="Note 2 2" xfId="289"/>
    <cellStyle name="Note 3" xfId="33"/>
    <cellStyle name="Percent" xfId="2" builtinId="5"/>
    <cellStyle name="Percent 2" xfId="34"/>
    <cellStyle name="Percent 2 2" xfId="290"/>
    <cellStyle name="Percent 2 2 2" xfId="291"/>
    <cellStyle name="Percent 2 3" xfId="292"/>
    <cellStyle name="Percent 2 4" xfId="293"/>
    <cellStyle name="Percent 2 5" xfId="294"/>
    <cellStyle name="Percent 3" xfId="35"/>
    <cellStyle name="Percent 3 2" xfId="295"/>
    <cellStyle name="Percent 3 3" xfId="296"/>
    <cellStyle name="Percent 3 4" xfId="297"/>
    <cellStyle name="Percent 3 5" xfId="298"/>
    <cellStyle name="Percent 4" xfId="36"/>
    <cellStyle name="Percent 4 2" xfId="37"/>
    <cellStyle name="Percent 4 3" xfId="299"/>
    <cellStyle name="Percent 5" xfId="38"/>
    <cellStyle name="Percent 5 2" xfId="300"/>
    <cellStyle name="Percent 6" xfId="39"/>
    <cellStyle name="Percent 6 2" xfId="301"/>
    <cellStyle name="Percent 6 2 2" xfId="302"/>
    <cellStyle name="Percent 6 2 3" xfId="303"/>
    <cellStyle name="Percent 6 2 4" xfId="304"/>
    <cellStyle name="Percent 6 2 5" xfId="305"/>
    <cellStyle name="Percent 6 2 6" xfId="306"/>
    <cellStyle name="Percent 6 3" xfId="307"/>
    <cellStyle name="Percent 6 3 2" xfId="308"/>
    <cellStyle name="Percent 6 3 3" xfId="309"/>
    <cellStyle name="Percent 6 3 4" xfId="310"/>
    <cellStyle name="Percent 6 3 5" xfId="311"/>
    <cellStyle name="Percent 6 3 6" xfId="312"/>
    <cellStyle name="Percent 6 4" xfId="313"/>
    <cellStyle name="Percent 6 5" xfId="314"/>
    <cellStyle name="Percent 6 6" xfId="315"/>
    <cellStyle name="Percent 6 7" xfId="316"/>
    <cellStyle name="Percent 6 8" xfId="317"/>
    <cellStyle name="Percent 7" xfId="40"/>
    <cellStyle name="Percent 7 2" xfId="318"/>
    <cellStyle name="Percent 7 3" xfId="319"/>
    <cellStyle name="Percent 8" xfId="320"/>
    <cellStyle name="STYLE1" xfId="321"/>
    <cellStyle name="STYLE1 2" xfId="322"/>
    <cellStyle name="STYLE1 2 2" xfId="323"/>
    <cellStyle name="STYLE1 3" xfId="324"/>
    <cellStyle name="STYLE1_YEPs" xfId="325"/>
    <cellStyle name="STYLE2" xfId="326"/>
    <cellStyle name="STYLE2 2" xfId="327"/>
    <cellStyle name="STYLE3" xfId="328"/>
    <cellStyle name="STYLE3 2" xfId="329"/>
    <cellStyle name="STYLE3 3" xfId="330"/>
    <cellStyle name="STYLE4" xfId="331"/>
    <cellStyle name="STYLE5" xfId="332"/>
    <cellStyle name="Title 2" xfId="333"/>
    <cellStyle name="Title 3" xfId="334"/>
  </cellStyles>
  <dxfs count="3">
    <dxf>
      <alignment horizontal="center" readingOrder="0"/>
    </dxf>
    <dxf>
      <alignment horizontal="center" readingOrder="0"/>
    </dxf>
    <dxf>
      <numFmt numFmtId="169" formatCode="&quot;$&quot;#,##0"/>
    </dxf>
  </dxfs>
  <tableStyles count="0" defaultTableStyle="TableStyleMedium2" defaultPivotStyle="PivotStyleLight16"/>
  <colors>
    <mruColors>
      <color rgb="FFFFFFBD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ocuments%20and%20Settings\Lisa\My%20Documents\BayCove\BayCove2005Profile315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@LISA\@lisa2001\Contracts2001\@LISA\@lisa99\Contracts99\FullerSEE99Am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rihbany/Desktop/FY16%20Budget%20-%20Consolidated%2006112015%20FC%20Final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W_Pricing/POS/Year%203%20Projects/Year%203%20Plan/Service%20Classes/Youth%20Intermediate%20Term%20Stabilization/3470%20DPH%20BSAS%20Youth%20Residential/YITS-DPH/YITS_DPH_Yr%203%20review_FY2010-2011_General%20Analysis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istrative%20Services-POS%20Policy%20Office/Rate%20Setting/Rate%20Projects/DMH%20-%20Respite/3.%20Proposal,%20Hearing,%20&amp;%20Sign%20Off/FOR%20WEBSITE/DMH%20Respit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istrative%20Services-POS%20Policy%20Office/Rate%20Setting/Rate%20Projects/DMH%20-%20Respite/1.%20Strategy%20Team%20Materials/DMH%20Respite%202-3-17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on/Administrative%20Services-POS%20Policy%20Office/Rate%20Setting/Rate%20Projects/DMH%20-%20Respite/3.%20Proposal,%20Hearing,%20&amp;%20Sign%20Off/FOR%20WEBSITE/DMH%20Resp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ile"/>
      <sheetName val="Crosswalks"/>
      <sheetName val="Sheet2"/>
    </sheetNames>
    <sheetDataSet>
      <sheetData sheetId="0"/>
      <sheetData sheetId="1"/>
      <sheetData sheetId="2" refreshError="1">
        <row r="1">
          <cell r="B1" t="str">
            <v>REGION</v>
          </cell>
        </row>
        <row r="2">
          <cell r="A2" t="str">
            <v>Berkshire</v>
          </cell>
          <cell r="B2" t="str">
            <v>1&amp;2</v>
          </cell>
        </row>
        <row r="3">
          <cell r="A3" t="str">
            <v>Brockton</v>
          </cell>
          <cell r="B3">
            <v>3</v>
          </cell>
        </row>
        <row r="4">
          <cell r="A4" t="str">
            <v>Cape Cod/Islands</v>
          </cell>
          <cell r="B4">
            <v>5</v>
          </cell>
        </row>
        <row r="5">
          <cell r="A5" t="str">
            <v>Central Middlesex</v>
          </cell>
          <cell r="B5">
            <v>6</v>
          </cell>
        </row>
        <row r="6">
          <cell r="A6" t="str">
            <v>Charles River West</v>
          </cell>
        </row>
        <row r="7">
          <cell r="A7" t="str">
            <v>Dorchester/Fuller</v>
          </cell>
        </row>
        <row r="8">
          <cell r="A8" t="str">
            <v>Fall River</v>
          </cell>
        </row>
        <row r="9">
          <cell r="A9" t="str">
            <v>Franklin/Hampshire</v>
          </cell>
        </row>
        <row r="10">
          <cell r="A10" t="str">
            <v>Holyoke/Chicopee</v>
          </cell>
        </row>
        <row r="11">
          <cell r="A11" t="str">
            <v>Lowell</v>
          </cell>
        </row>
        <row r="12">
          <cell r="A12" t="str">
            <v>Merrimack</v>
          </cell>
        </row>
        <row r="13">
          <cell r="A13" t="str">
            <v>Metro Boston - Harbor</v>
          </cell>
        </row>
        <row r="14">
          <cell r="A14" t="str">
            <v>Metro North</v>
          </cell>
        </row>
        <row r="15">
          <cell r="A15" t="str">
            <v>Middlesex West</v>
          </cell>
        </row>
        <row r="16">
          <cell r="A16" t="str">
            <v>New Bedford</v>
          </cell>
        </row>
        <row r="17">
          <cell r="A17" t="str">
            <v>Newton/South Norfolk</v>
          </cell>
        </row>
        <row r="18">
          <cell r="A18" t="str">
            <v>North Central</v>
          </cell>
        </row>
        <row r="19">
          <cell r="A19" t="str">
            <v>North Shore</v>
          </cell>
        </row>
        <row r="20">
          <cell r="A20" t="str">
            <v>Plymouth</v>
          </cell>
        </row>
        <row r="21">
          <cell r="A21" t="str">
            <v>South Costal</v>
          </cell>
        </row>
        <row r="22">
          <cell r="A22" t="str">
            <v>South Valley</v>
          </cell>
        </row>
        <row r="23">
          <cell r="A23" t="str">
            <v>South Valley - Milford Site</v>
          </cell>
        </row>
        <row r="24">
          <cell r="A24" t="str">
            <v>Springfield</v>
          </cell>
        </row>
        <row r="25">
          <cell r="A25" t="str">
            <v>Taunton/Attleboro</v>
          </cell>
        </row>
        <row r="26">
          <cell r="A26" t="str">
            <v>West Boston/Brookline</v>
          </cell>
        </row>
        <row r="27">
          <cell r="A27" t="str">
            <v>Westfield Area</v>
          </cell>
        </row>
        <row r="28">
          <cell r="A28" t="str">
            <v>Worcester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ndA"/>
      <sheetName val="DATA  ENTRY"/>
      <sheetName val="FullerSEE"/>
      <sheetName val="SummaryNarrative"/>
    </sheetNames>
    <sheetDataSet>
      <sheetData sheetId="0" refreshError="1">
        <row r="2">
          <cell r="B2" t="str">
            <v>ATTACHMENT A: AMENDMENT FORM         1999</v>
          </cell>
        </row>
        <row r="4">
          <cell r="J4" t="str">
            <v>Service Contract:</v>
          </cell>
        </row>
        <row r="5">
          <cell r="J5" t="str">
            <v>2631 9631 317</v>
          </cell>
        </row>
        <row r="8">
          <cell r="C8" t="str">
            <v>1) Highlight any significant programmatic or fiscal changes:</v>
          </cell>
          <cell r="O8" t="str">
            <v>Amendment #</v>
          </cell>
          <cell r="S8">
            <v>1</v>
          </cell>
        </row>
        <row r="12">
          <cell r="C12" t="str">
            <v>None</v>
          </cell>
        </row>
        <row r="13">
          <cell r="C13" t="str">
            <v xml:space="preserve"> </v>
          </cell>
        </row>
        <row r="26">
          <cell r="C26" t="str">
            <v>2) Identify any modification to the outcome measures or performance based objectives:</v>
          </cell>
        </row>
        <row r="28">
          <cell r="C28" t="str">
            <v>Per agreement with the Fuller Area office of the Department of Mental Health, the Attachment 2: Performance</v>
          </cell>
        </row>
        <row r="29">
          <cell r="C29" t="str">
            <v>Measures have been amended. Please see the amended Perofrmance Measures, attached.</v>
          </cell>
        </row>
        <row r="33">
          <cell r="C33" t="str">
            <v>1) Highlight any significant programmatic or fiscal changes:</v>
          </cell>
          <cell r="O33" t="str">
            <v>Amendment #</v>
          </cell>
        </row>
        <row r="44">
          <cell r="C44" t="str">
            <v>2) Identify any modification to the outcome measures or performance based objectives:</v>
          </cell>
        </row>
        <row r="50">
          <cell r="B50" t="str">
            <v>Attach a copy of the Attachment A: Renewal Summary Form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Universal"/>
      <sheetName val="AllAgencyByDivisionFC"/>
      <sheetName val="FY16 Vs FY15 Comparison FC"/>
      <sheetName val="TreasurersReportDetail"/>
      <sheetName val="TreasurersReportSummary -dnu"/>
      <sheetName val="FY16 Vs FY15 Comparison"/>
      <sheetName val="Admin"/>
      <sheetName val="Development"/>
      <sheetName val="BCA"/>
      <sheetName val="DD"/>
      <sheetName val="EI"/>
      <sheetName val="MH"/>
      <sheetName val="AS"/>
      <sheetName val="CASPAR"/>
      <sheetName val="KC"/>
      <sheetName val="All Agency"/>
      <sheetName val="All Programs"/>
      <sheetName val="All Agency by Division"/>
      <sheetName val="All Bay Cove"/>
      <sheetName val="A150 Development"/>
      <sheetName val="All Admin"/>
      <sheetName val="A112 Central Administration"/>
      <sheetName val="A113 Advocacy"/>
      <sheetName val="A114 Accounting"/>
      <sheetName val="A115 Rep Payee"/>
      <sheetName val="A117 QI &amp; Special Projects"/>
      <sheetName val="A120 Information Services"/>
      <sheetName val="A122 Training &amp; CLC"/>
      <sheetName val="A130 Human Resources"/>
      <sheetName val="A140 Property"/>
      <sheetName val="A145 Housing"/>
      <sheetName val="O172 Canal Street"/>
      <sheetName val="B671 Bay Cove Academy"/>
      <sheetName val="All DD"/>
      <sheetName val="D802 DD Non-Res Central Costs"/>
      <sheetName val="All DD by Program"/>
      <sheetName val="All DD Housing Support"/>
      <sheetName val="All DD Residential"/>
      <sheetName val="D401 DD Residential Centralized"/>
      <sheetName val="D404 Res Social Rec"/>
      <sheetName val="D361 Bourne St"/>
      <sheetName val="D362 Center Ave"/>
      <sheetName val="D363 Plymouth St"/>
      <sheetName val="D366 Pat Ree Drive"/>
      <sheetName val="D372 Caswell 1"/>
      <sheetName val="D373 Caswell 2"/>
      <sheetName val="D374 Caswell 3"/>
      <sheetName val="D375 Caswell 4"/>
      <sheetName val="D411 Williams House"/>
      <sheetName val="D412 Juliette St"/>
      <sheetName val="D413 Marlowe House"/>
      <sheetName val="D415 Pond St"/>
      <sheetName val="D416 Quincy Adams"/>
      <sheetName val="D417 Columbia Rd"/>
      <sheetName val="D418 Willers St"/>
      <sheetName val="D420 Dorchester Ave"/>
      <sheetName val="D421 Brett House"/>
      <sheetName val="D422 Canterbury St"/>
      <sheetName val="D424 Harbor Point"/>
      <sheetName val="D431 Truman Highway"/>
      <sheetName val="D432 Utica St"/>
      <sheetName val="D433 Mill St"/>
      <sheetName val="D434 Winthrop St"/>
      <sheetName val="D435 Washington Ave"/>
      <sheetName val="D436 Carol Circle"/>
      <sheetName val="D437 Freeland St"/>
      <sheetName val="D438 Orlando Street I &amp; II"/>
      <sheetName val="D439 Cook Ave"/>
      <sheetName val="D444 Hyde Park Ave"/>
      <sheetName val="D446 Connors House"/>
      <sheetName val="D448 Columbia West"/>
      <sheetName val="D449 Kittredge Street"/>
      <sheetName val="D471 Zelma Lacey Ass Living"/>
      <sheetName val="D491 Adelaide St Residential"/>
      <sheetName val="D492 Revere House"/>
      <sheetName val="All DD SH"/>
      <sheetName val="D825 Lindsay Supported Housing"/>
      <sheetName val="D826 Adelaide St Supp Housing"/>
      <sheetName val="D831 Individual Supports"/>
      <sheetName val="D832 SEAD"/>
      <sheetName val="All Family and Parent Support"/>
      <sheetName val="D856 Parent Support"/>
      <sheetName val="All Family Support"/>
      <sheetName val="D844 Family Support Services"/>
      <sheetName val="D845 Family Sup Financial Assis"/>
      <sheetName val="All DD Day Programs"/>
      <sheetName val="O862 Bradston Street"/>
      <sheetName val="D874 Social Recreation"/>
      <sheetName val="All CBDS"/>
      <sheetName val="D863 CHES CBDS"/>
      <sheetName val="D873 City Square CBDS"/>
      <sheetName val="All Day Hab"/>
      <sheetName val="D866 Bradston Day Hab"/>
      <sheetName val="D876 Charlestown Day Hab"/>
      <sheetName val="F651 Early Intervention"/>
      <sheetName val="All Kit Clark"/>
      <sheetName val="K191 KCSS Administration"/>
      <sheetName val="All KC Occupancy"/>
      <sheetName val="O192 1500 Dorchester Ave"/>
      <sheetName val="O193 645 Washington Street"/>
      <sheetName val="K105 Kit Clark Clinic"/>
      <sheetName val="All Long Term Services"/>
      <sheetName val="All ADH"/>
      <sheetName val="K910 ADH AGO"/>
      <sheetName val="K911 Adult Day Health"/>
      <sheetName val="ADH Staffing"/>
      <sheetName val="All In Home Services"/>
      <sheetName val="K912 Foley Assisted Living"/>
      <sheetName val="K914 Homecare Program"/>
      <sheetName val="All Social and Health"/>
      <sheetName val="K921 Health Clinic"/>
      <sheetName val="K925 Senior Center"/>
      <sheetName val="K926 Fit for Life"/>
      <sheetName val="K928 SNAP"/>
      <sheetName val="All Housing and Homeless"/>
      <sheetName val="K933 MHSA YMCA"/>
      <sheetName val="K934 Congregate Housing"/>
      <sheetName val="K935 Cardinal Medeiros Center"/>
      <sheetName val="K937 Home Repair Program"/>
      <sheetName val="All Nutrition and Trans"/>
      <sheetName val="All Nutrition"/>
      <sheetName val="Meals"/>
      <sheetName val="All Public Nutrition"/>
      <sheetName val="All Private Nutrition"/>
      <sheetName val="K941 Public Nutrition"/>
      <sheetName val="K942 Private Nutrition"/>
      <sheetName val="K945 ADH Nutrition"/>
      <sheetName val="All Transportation"/>
      <sheetName val="K943 Transporation Private Food"/>
      <sheetName val="K944 Transporation Public Nutri"/>
      <sheetName val="K951 ADH Transportation"/>
      <sheetName val="K952 Private Transportation"/>
      <sheetName val="Vehicle List"/>
      <sheetName val="All MH + Clinic"/>
      <sheetName val="L206 Mental Health Clinic"/>
      <sheetName val="All MH"/>
      <sheetName val="All MH by Program"/>
      <sheetName val="M200 MH Non-CBFS Central Costs"/>
      <sheetName val="O177 Bowker Street"/>
      <sheetName val="O180 1960 Washington Street"/>
      <sheetName val="O181 3313 Washington Street"/>
      <sheetName val="M202 TPP"/>
      <sheetName val="M208 Bay View Inn"/>
      <sheetName val="M605 Home At Last"/>
      <sheetName val="M608 Health Home"/>
      <sheetName val="M609 CMMI Health Outreach"/>
      <sheetName val="M808 Boston Night Center"/>
      <sheetName val="All CCA CCS"/>
      <sheetName val="M214 CCA CCS - Brighton"/>
      <sheetName val="M215 CCA CCS - Carney"/>
      <sheetName val="All BEST"/>
      <sheetName val="All BEST CCS + Fuller"/>
      <sheetName val="M203 BEST CCS (Fuller)"/>
      <sheetName val="M204 BEST UCC"/>
      <sheetName val="M213 Longwood CCS"/>
      <sheetName val="All North Suffolk"/>
      <sheetName val="M209 Staniford House"/>
      <sheetName val="M400 Harbor House"/>
      <sheetName val="All MH Day Programs"/>
      <sheetName val="M750 PACT"/>
      <sheetName val="M821 Day Treatment"/>
      <sheetName val="M841 Employment Services"/>
      <sheetName val="All Clubs"/>
      <sheetName val="M801 Center Club"/>
      <sheetName val="M802 Transitions"/>
      <sheetName val="M803 Ruby Rogers"/>
      <sheetName val="All FBC CBFS"/>
      <sheetName val="O178 Amory Street"/>
      <sheetName val="M201 MH CBFS Centralized Costs"/>
      <sheetName val="M601 Wellness Center"/>
      <sheetName val="All Safety Net"/>
      <sheetName val="M603 Safety Net Respite"/>
      <sheetName val="M604 Safety Net Outreach"/>
      <sheetName val="All Teams"/>
      <sheetName val="M610 CBFS Teams - Occupancy"/>
      <sheetName val="M611 CBFS Team 2"/>
      <sheetName val="M612 CBFS Team 3"/>
      <sheetName val="M613 CBFS Team 4"/>
      <sheetName val="M614 CBFS Team 5"/>
      <sheetName val="All CBFS Residential"/>
      <sheetName val="M620 Hamilton"/>
      <sheetName val="M621 Gordon"/>
      <sheetName val="M622 Perrin Street"/>
      <sheetName val="M623 Walnut Residence"/>
      <sheetName val="M624 Speedwell"/>
      <sheetName val="M625 Walk Hill"/>
      <sheetName val="M626 Bowdoin"/>
      <sheetName val="M627 Bailey"/>
      <sheetName val="M628 Astoria Street"/>
      <sheetName val="M629 Dudley"/>
      <sheetName val="M630 Fessenden"/>
      <sheetName val="M631 Vincent"/>
      <sheetName val="M632 Betances"/>
      <sheetName val="M633 Stanley"/>
      <sheetName val="M634 Daly House"/>
      <sheetName val="M636 Lyon &amp; Orchardfield"/>
      <sheetName val="M637 Central Ave"/>
      <sheetName val="M638 Bartlett"/>
      <sheetName val="M639 Winston"/>
      <sheetName val="M640 Maple"/>
      <sheetName val="M641 Hollander"/>
      <sheetName val="M642 Pleasant St"/>
      <sheetName val="M643 Boylston Place"/>
      <sheetName val="M644 Charles"/>
      <sheetName val="M645 Harvard street"/>
      <sheetName val="M647 Tremont"/>
      <sheetName val="M648 Fenway"/>
      <sheetName val="M649 Fuller"/>
      <sheetName val="M650 Souris"/>
      <sheetName val="M651 Hosmer Street"/>
      <sheetName val="M653 Bay Cove Modified Apts"/>
      <sheetName val="M654 Norfolk"/>
      <sheetName val="M659 Dorchester Street "/>
      <sheetName val="M660 Aspinwall"/>
      <sheetName val="M661 Stanwood"/>
      <sheetName val="All AS"/>
      <sheetName val="S512 Andrew House ATS"/>
      <sheetName val="S531 New Hope TSS"/>
      <sheetName val="S543 Bay Cove Treatment Center"/>
      <sheetName val="S557 Charlestown Recovery House"/>
      <sheetName val="All Chelsea ASAP"/>
      <sheetName val="S571 Chelsea ASAP"/>
      <sheetName val="S572 DSS Family Services"/>
      <sheetName val="S573 Outpatient Counseling"/>
      <sheetName val="S574 Driver Alcohol Ed"/>
      <sheetName val="S575 Youth Program"/>
      <sheetName val="S578 Chelsea Batterers"/>
      <sheetName val="S581 Drug Free Communities"/>
      <sheetName val="All CASPAR"/>
      <sheetName val="S701 CASPAR Centralized Costs"/>
      <sheetName val="O702 Middlesex Ave"/>
      <sheetName val="All CASPAR Programs"/>
      <sheetName val="All Emergency Services"/>
      <sheetName val="S721 Shelter"/>
      <sheetName val="S725 First Step"/>
      <sheetName val="All Support Services"/>
      <sheetName val="S761 Phoenix Outpatient Svcs"/>
      <sheetName val="S771 Youth Services"/>
      <sheetName val="S791 Employment Services"/>
      <sheetName val="All Mens Residential"/>
      <sheetName val="S741 Highland Ave"/>
      <sheetName val="S742 Summit Ave"/>
      <sheetName val="S743 Hagan Manor"/>
      <sheetName val="All Womens Residential"/>
      <sheetName val="S751 WomanPlace"/>
      <sheetName val="S752 New Day"/>
      <sheetName val="S753 Grow-House"/>
      <sheetName val="All Intercompany"/>
      <sheetName val="X901 BayCove Group Homes I"/>
      <sheetName val="X902 BayCove Group Homes II"/>
      <sheetName val="X903 BayCove Group Homes III"/>
      <sheetName val="X904 BayCove Moseley"/>
      <sheetName val="X906 BayCove Hamilton"/>
      <sheetName val="X907 HUD 7"/>
      <sheetName val="2015 Orig Budget"/>
    </sheetNames>
    <sheetDataSet>
      <sheetData sheetId="0" refreshError="1"/>
      <sheetData sheetId="1" refreshError="1">
        <row r="7">
          <cell r="C7">
            <v>7.6499999999999999E-2</v>
          </cell>
        </row>
        <row r="8">
          <cell r="C8">
            <v>0.1285</v>
          </cell>
        </row>
        <row r="9">
          <cell r="C9">
            <v>2.3E-3</v>
          </cell>
        </row>
        <row r="10">
          <cell r="C10">
            <v>0.02</v>
          </cell>
        </row>
        <row r="11">
          <cell r="C11">
            <v>50</v>
          </cell>
        </row>
        <row r="12">
          <cell r="C12">
            <v>0.02</v>
          </cell>
        </row>
        <row r="13">
          <cell r="C13">
            <v>0.109</v>
          </cell>
        </row>
        <row r="14">
          <cell r="C14">
            <v>11.15</v>
          </cell>
        </row>
        <row r="17">
          <cell r="C17">
            <v>52.4</v>
          </cell>
        </row>
        <row r="18">
          <cell r="C18">
            <v>52.285714285714285</v>
          </cell>
        </row>
        <row r="19">
          <cell r="C19">
            <v>0.03</v>
          </cell>
        </row>
        <row r="20">
          <cell r="C20">
            <v>0.03</v>
          </cell>
        </row>
        <row r="21">
          <cell r="C21">
            <v>0.03</v>
          </cell>
        </row>
        <row r="22">
          <cell r="C22">
            <v>0.01</v>
          </cell>
        </row>
        <row r="23">
          <cell r="C23">
            <v>0.03</v>
          </cell>
        </row>
        <row r="24">
          <cell r="C24">
            <v>0.03</v>
          </cell>
        </row>
        <row r="25">
          <cell r="C25">
            <v>0.05</v>
          </cell>
        </row>
        <row r="30">
          <cell r="C30">
            <v>31</v>
          </cell>
          <cell r="D30">
            <v>31</v>
          </cell>
          <cell r="E30">
            <v>30</v>
          </cell>
          <cell r="F30">
            <v>31</v>
          </cell>
          <cell r="G30">
            <v>30</v>
          </cell>
          <cell r="H30">
            <v>31</v>
          </cell>
          <cell r="I30">
            <v>31</v>
          </cell>
          <cell r="J30">
            <v>29</v>
          </cell>
          <cell r="K30">
            <v>31</v>
          </cell>
          <cell r="L30">
            <v>30</v>
          </cell>
          <cell r="M30">
            <v>31</v>
          </cell>
          <cell r="N30">
            <v>30</v>
          </cell>
        </row>
        <row r="31">
          <cell r="C31">
            <v>23</v>
          </cell>
          <cell r="D31">
            <v>21</v>
          </cell>
          <cell r="E31">
            <v>22</v>
          </cell>
          <cell r="F31">
            <v>22</v>
          </cell>
          <cell r="G31">
            <v>21</v>
          </cell>
          <cell r="H31">
            <v>23</v>
          </cell>
          <cell r="I31">
            <v>21</v>
          </cell>
          <cell r="J31">
            <v>21</v>
          </cell>
          <cell r="K31">
            <v>23</v>
          </cell>
          <cell r="L31">
            <v>21</v>
          </cell>
          <cell r="M31">
            <v>22</v>
          </cell>
          <cell r="N31">
            <v>22</v>
          </cell>
        </row>
        <row r="33">
          <cell r="C33">
            <v>5</v>
          </cell>
          <cell r="D33">
            <v>4</v>
          </cell>
          <cell r="E33">
            <v>4</v>
          </cell>
          <cell r="F33">
            <v>5</v>
          </cell>
          <cell r="G33">
            <v>4</v>
          </cell>
          <cell r="H33">
            <v>5</v>
          </cell>
          <cell r="I33">
            <v>4</v>
          </cell>
          <cell r="J33">
            <v>4</v>
          </cell>
          <cell r="K33">
            <v>5</v>
          </cell>
          <cell r="L33">
            <v>4</v>
          </cell>
          <cell r="M33">
            <v>4</v>
          </cell>
          <cell r="N33">
            <v>5</v>
          </cell>
        </row>
        <row r="35">
          <cell r="B35" t="str">
            <v>DISTRIBUTION FOR VACATION BUYBACK</v>
          </cell>
          <cell r="C35">
            <v>0.11273627238600022</v>
          </cell>
          <cell r="D35">
            <v>8.4201725671216074E-2</v>
          </cell>
          <cell r="E35">
            <v>5.2132930663845105E-2</v>
          </cell>
          <cell r="F35">
            <v>6.2362634168389455E-2</v>
          </cell>
          <cell r="G35">
            <v>7.8957880368337438E-2</v>
          </cell>
          <cell r="H35">
            <v>0.11340406968814248</v>
          </cell>
          <cell r="I35">
            <v>8.2846422722826857E-2</v>
          </cell>
          <cell r="J35">
            <v>7.8949799086628136E-2</v>
          </cell>
          <cell r="K35">
            <v>7.8437634590311528E-2</v>
          </cell>
          <cell r="L35">
            <v>8.7033625381253546E-2</v>
          </cell>
          <cell r="M35">
            <v>7.6279140597660097E-2</v>
          </cell>
          <cell r="N35">
            <v>9.265786467538914E-2</v>
          </cell>
        </row>
        <row r="37">
          <cell r="C37">
            <v>8.7786259541984726E-2</v>
          </cell>
          <cell r="D37">
            <v>8.0152671755725186E-2</v>
          </cell>
          <cell r="E37">
            <v>8.3969465648854963E-2</v>
          </cell>
          <cell r="F37">
            <v>8.3969465648854963E-2</v>
          </cell>
          <cell r="G37">
            <v>8.0152671755725186E-2</v>
          </cell>
          <cell r="H37">
            <v>8.7786259541984726E-2</v>
          </cell>
          <cell r="I37">
            <v>8.0152671755725186E-2</v>
          </cell>
          <cell r="J37">
            <v>8.0152671755725186E-2</v>
          </cell>
          <cell r="K37">
            <v>8.7786259541984726E-2</v>
          </cell>
          <cell r="L37">
            <v>8.0152671755725186E-2</v>
          </cell>
          <cell r="M37">
            <v>8.3969465648854963E-2</v>
          </cell>
          <cell r="N37">
            <v>8.3969465648854963E-2</v>
          </cell>
        </row>
        <row r="38">
          <cell r="C38">
            <v>8.4699453551912565E-2</v>
          </cell>
          <cell r="D38">
            <v>8.4699453551912565E-2</v>
          </cell>
          <cell r="E38">
            <v>8.1967213114754092E-2</v>
          </cell>
          <cell r="F38">
            <v>8.4699453551912565E-2</v>
          </cell>
          <cell r="G38">
            <v>8.1967213114754092E-2</v>
          </cell>
          <cell r="H38">
            <v>8.4699453551912565E-2</v>
          </cell>
          <cell r="I38">
            <v>8.4699453551912565E-2</v>
          </cell>
          <cell r="J38">
            <v>7.9234972677595633E-2</v>
          </cell>
          <cell r="K38">
            <v>8.4699453551912565E-2</v>
          </cell>
          <cell r="L38">
            <v>8.1967213114754092E-2</v>
          </cell>
          <cell r="M38">
            <v>8.4699453551912565E-2</v>
          </cell>
          <cell r="N38">
            <v>8.1967213114754092E-2</v>
          </cell>
        </row>
        <row r="49">
          <cell r="C49">
            <v>42189</v>
          </cell>
        </row>
        <row r="50">
          <cell r="C50">
            <v>42254</v>
          </cell>
        </row>
        <row r="51">
          <cell r="C51">
            <v>42289</v>
          </cell>
        </row>
        <row r="52">
          <cell r="C52">
            <v>42319</v>
          </cell>
        </row>
        <row r="53">
          <cell r="C53">
            <v>42334</v>
          </cell>
        </row>
        <row r="54">
          <cell r="C54">
            <v>42363</v>
          </cell>
        </row>
        <row r="55">
          <cell r="C55">
            <v>42370</v>
          </cell>
        </row>
        <row r="56">
          <cell r="C56">
            <v>42387</v>
          </cell>
        </row>
        <row r="57">
          <cell r="C57">
            <v>42415</v>
          </cell>
        </row>
        <row r="58">
          <cell r="C58">
            <v>42478</v>
          </cell>
        </row>
        <row r="59">
          <cell r="C59">
            <v>42520</v>
          </cell>
        </row>
        <row r="72">
          <cell r="B72">
            <v>1</v>
          </cell>
          <cell r="F72">
            <v>215.35999999999999</v>
          </cell>
        </row>
        <row r="73">
          <cell r="B73">
            <v>2</v>
          </cell>
          <cell r="F73">
            <v>256.96000000000004</v>
          </cell>
        </row>
        <row r="74">
          <cell r="B74">
            <v>3</v>
          </cell>
          <cell r="F74">
            <v>272.55999999999995</v>
          </cell>
        </row>
        <row r="75">
          <cell r="B75">
            <v>4</v>
          </cell>
          <cell r="F75">
            <v>288.15999999999997</v>
          </cell>
        </row>
        <row r="76">
          <cell r="B76">
            <v>5</v>
          </cell>
          <cell r="F76">
            <v>303.76</v>
          </cell>
        </row>
        <row r="77">
          <cell r="B77">
            <v>6</v>
          </cell>
          <cell r="F77">
            <v>319.36</v>
          </cell>
        </row>
        <row r="78">
          <cell r="B78">
            <v>7</v>
          </cell>
          <cell r="F78">
            <v>334.96</v>
          </cell>
        </row>
        <row r="85">
          <cell r="B85">
            <v>5090</v>
          </cell>
        </row>
        <row r="86">
          <cell r="B86">
            <v>5110</v>
          </cell>
        </row>
        <row r="87">
          <cell r="B87">
            <v>5130</v>
          </cell>
        </row>
        <row r="88">
          <cell r="B88">
            <v>5160</v>
          </cell>
        </row>
        <row r="89">
          <cell r="B89">
            <v>5230</v>
          </cell>
        </row>
        <row r="90">
          <cell r="B90">
            <v>5250</v>
          </cell>
        </row>
        <row r="91">
          <cell r="B91">
            <v>5320</v>
          </cell>
        </row>
        <row r="92">
          <cell r="B92">
            <v>5330</v>
          </cell>
        </row>
        <row r="93">
          <cell r="B93">
            <v>5340</v>
          </cell>
        </row>
        <row r="94">
          <cell r="B94">
            <v>5350</v>
          </cell>
        </row>
        <row r="95">
          <cell r="B95">
            <v>5410</v>
          </cell>
        </row>
        <row r="96">
          <cell r="B96">
            <v>5420</v>
          </cell>
        </row>
        <row r="97">
          <cell r="B97">
            <v>5430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scalImpact"/>
      <sheetName val="Total Expenses=YR1 rate"/>
      <sheetName val="RateOptions"/>
      <sheetName val="GeogVar"/>
      <sheetName val="CostDrivers"/>
      <sheetName val="CostSummary"/>
      <sheetName val="CleanData"/>
      <sheetName val="RawDataCalcs"/>
      <sheetName val="RawContractData"/>
      <sheetName val="Source"/>
      <sheetName val="Benchmark Statistics"/>
      <sheetName val="CleanData (2)"/>
      <sheetName val="RawDataCalcs (2)"/>
      <sheetName val="Lookups"/>
      <sheetName val="Source1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Z4">
            <v>65246</v>
          </cell>
        </row>
      </sheetData>
      <sheetData sheetId="7">
        <row r="4">
          <cell r="A4" t="str">
            <v>Community Healthlink, Inc.</v>
          </cell>
        </row>
        <row r="12">
          <cell r="L12">
            <v>0</v>
          </cell>
          <cell r="M12">
            <v>0.47942206821686489</v>
          </cell>
          <cell r="N12">
            <v>0.59107516603638444</v>
          </cell>
          <cell r="O12">
            <v>0</v>
          </cell>
          <cell r="P12">
            <v>0.14716929384611976</v>
          </cell>
          <cell r="Q12">
            <v>0.77728942548679902</v>
          </cell>
          <cell r="R12">
            <v>3.9793460642052985</v>
          </cell>
          <cell r="S12">
            <v>0</v>
          </cell>
          <cell r="T12">
            <v>6.8799860627629245E-2</v>
          </cell>
          <cell r="U12">
            <v>0</v>
          </cell>
          <cell r="V12">
            <v>0</v>
          </cell>
          <cell r="W12">
            <v>5.5124194334010168E-2</v>
          </cell>
          <cell r="X12">
            <v>0.10885459283877919</v>
          </cell>
          <cell r="Y12">
            <v>2.6944466327065229E-2</v>
          </cell>
          <cell r="Z12">
            <v>37657.202763269961</v>
          </cell>
          <cell r="AA12">
            <v>41481.381742527206</v>
          </cell>
          <cell r="AB12">
            <v>0</v>
          </cell>
          <cell r="AC12">
            <v>23180.701871100842</v>
          </cell>
          <cell r="AD12">
            <v>0</v>
          </cell>
          <cell r="AE12">
            <v>0</v>
          </cell>
          <cell r="AF12">
            <v>17680</v>
          </cell>
          <cell r="AG12">
            <v>30932.575823280509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17680</v>
          </cell>
          <cell r="AO12">
            <v>34886.084346898184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29311.548012080879</v>
          </cell>
          <cell r="AX12">
            <v>24465.648402802188</v>
          </cell>
          <cell r="AY12">
            <v>0</v>
          </cell>
          <cell r="AZ12">
            <v>0</v>
          </cell>
          <cell r="BA12">
            <v>17680</v>
          </cell>
          <cell r="BB12">
            <v>0</v>
          </cell>
          <cell r="BC12">
            <v>19175.405214616003</v>
          </cell>
          <cell r="BD12">
            <v>30701.478943232476</v>
          </cell>
          <cell r="BE12">
            <v>17680</v>
          </cell>
          <cell r="BF12">
            <v>17680</v>
          </cell>
          <cell r="BG12">
            <v>20600.958294636763</v>
          </cell>
          <cell r="BH12">
            <v>17680</v>
          </cell>
          <cell r="BI12">
            <v>17680</v>
          </cell>
          <cell r="BJ12">
            <v>17680</v>
          </cell>
          <cell r="BK12">
            <v>0</v>
          </cell>
          <cell r="BL12">
            <v>26322.226006430636</v>
          </cell>
          <cell r="BM12">
            <v>17680</v>
          </cell>
          <cell r="BN12">
            <v>38685.831484193477</v>
          </cell>
          <cell r="BO12">
            <v>23961.524385988574</v>
          </cell>
          <cell r="BP12">
            <v>30587.443549548538</v>
          </cell>
          <cell r="BQ12">
            <v>30374.501516037635</v>
          </cell>
          <cell r="BR12">
            <v>24065.321450444375</v>
          </cell>
          <cell r="BS12">
            <v>17680</v>
          </cell>
          <cell r="BT12">
            <v>31503.545017618279</v>
          </cell>
          <cell r="BU12">
            <v>0.10875010040212529</v>
          </cell>
          <cell r="BV12">
            <v>-665.86045161233085</v>
          </cell>
          <cell r="BW12">
            <v>30515.853243324513</v>
          </cell>
          <cell r="BX12">
            <v>-16660.640829909837</v>
          </cell>
          <cell r="BY12">
            <v>-9135.1790957685735</v>
          </cell>
          <cell r="BZ12">
            <v>32296.395852713424</v>
          </cell>
          <cell r="CA12">
            <v>334845.21992346627</v>
          </cell>
          <cell r="CB12">
            <v>0.10234530988206607</v>
          </cell>
          <cell r="CC12">
            <v>28765.51864806415</v>
          </cell>
          <cell r="CD12">
            <v>-5284.7957360897844</v>
          </cell>
          <cell r="CE12">
            <v>-25513.097684307293</v>
          </cell>
          <cell r="CF12">
            <v>-18906.352557716724</v>
          </cell>
          <cell r="CG12">
            <v>104276.06801952093</v>
          </cell>
          <cell r="CH12">
            <v>-14888.551594883442</v>
          </cell>
          <cell r="CI12">
            <v>216681.70258684226</v>
          </cell>
          <cell r="CJ12">
            <v>30515.853243324513</v>
          </cell>
          <cell r="CK12">
            <v>37966.399759004111</v>
          </cell>
          <cell r="CL12">
            <v>-9135.1790957685735</v>
          </cell>
          <cell r="CM12">
            <v>-8350.2509393528308</v>
          </cell>
          <cell r="CN12">
            <v>32296.395852713424</v>
          </cell>
          <cell r="CO12">
            <v>349550.20301367302</v>
          </cell>
          <cell r="CP12">
            <v>0.42294613762647371</v>
          </cell>
          <cell r="CQ12">
            <v>7.35905594988258E-2</v>
          </cell>
          <cell r="CR12">
            <v>8.2962594909753024E-2</v>
          </cell>
          <cell r="CS12">
            <v>1.7892516626277867E-2</v>
          </cell>
          <cell r="CT12">
            <v>-2.4732885317140137E-3</v>
          </cell>
          <cell r="CU12">
            <v>0.10586298753888759</v>
          </cell>
          <cell r="CV12">
            <v>42.600838212563545</v>
          </cell>
          <cell r="CW12">
            <v>5.3071657252094475</v>
          </cell>
          <cell r="CX12">
            <v>9.4706980108063252</v>
          </cell>
          <cell r="CY12">
            <v>-1.1700110965968467</v>
          </cell>
          <cell r="CZ12">
            <v>0.97393317189613549</v>
          </cell>
          <cell r="DA12">
            <v>13.160797782723682</v>
          </cell>
          <cell r="DB12">
            <v>80.826561365641552</v>
          </cell>
        </row>
        <row r="13">
          <cell r="L13">
            <v>22.480065146407</v>
          </cell>
          <cell r="M13">
            <v>1.0747456362248122</v>
          </cell>
          <cell r="N13">
            <v>2.7329248339636161</v>
          </cell>
          <cell r="O13">
            <v>0.29078784028338911</v>
          </cell>
          <cell r="P13">
            <v>3.2028307061538803</v>
          </cell>
          <cell r="Q13">
            <v>1.222710574513201</v>
          </cell>
          <cell r="R13">
            <v>16.372653935794702</v>
          </cell>
          <cell r="S13">
            <v>1.8165771771769958</v>
          </cell>
          <cell r="T13">
            <v>0.2110486242208556</v>
          </cell>
          <cell r="U13">
            <v>3.4194407243989366E-2</v>
          </cell>
          <cell r="V13">
            <v>0.29486276909909559</v>
          </cell>
          <cell r="W13">
            <v>7.0209138999323156E-2</v>
          </cell>
          <cell r="X13">
            <v>1.5136605586763723</v>
          </cell>
          <cell r="Y13">
            <v>5.6085836703237808E-2</v>
          </cell>
          <cell r="Z13">
            <v>72052.353271212793</v>
          </cell>
          <cell r="AA13">
            <v>117026.19825747277</v>
          </cell>
          <cell r="AB13">
            <v>0</v>
          </cell>
          <cell r="AC13">
            <v>67914.273684454718</v>
          </cell>
          <cell r="AD13">
            <v>0</v>
          </cell>
          <cell r="AE13">
            <v>0</v>
          </cell>
          <cell r="AF13">
            <v>53455.555555555555</v>
          </cell>
          <cell r="AG13">
            <v>131907.42417671951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33021.102040816324</v>
          </cell>
          <cell r="AO13">
            <v>40539.29362929229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41423.482202344065</v>
          </cell>
          <cell r="AX13">
            <v>45416.588620337287</v>
          </cell>
          <cell r="AY13">
            <v>0</v>
          </cell>
          <cell r="AZ13">
            <v>0</v>
          </cell>
          <cell r="BA13">
            <v>46311.377761028903</v>
          </cell>
          <cell r="BB13">
            <v>0</v>
          </cell>
          <cell r="BC13">
            <v>49620.594785383997</v>
          </cell>
          <cell r="BD13">
            <v>38093.165287536744</v>
          </cell>
          <cell r="BE13">
            <v>40410.526315789473</v>
          </cell>
          <cell r="BF13">
            <v>37251.243231968059</v>
          </cell>
          <cell r="BG13">
            <v>22717.334880124985</v>
          </cell>
          <cell r="BH13">
            <v>43556.327965630728</v>
          </cell>
          <cell r="BI13">
            <v>25381.428571428572</v>
          </cell>
          <cell r="BJ13">
            <v>23444.833333333336</v>
          </cell>
          <cell r="BK13">
            <v>0</v>
          </cell>
          <cell r="BL13">
            <v>37511.068903385298</v>
          </cell>
          <cell r="BM13">
            <v>93123.892778139023</v>
          </cell>
          <cell r="BN13">
            <v>75161.12445450385</v>
          </cell>
          <cell r="BO13">
            <v>120235.51265104848</v>
          </cell>
          <cell r="BP13">
            <v>39356.546406253517</v>
          </cell>
          <cell r="BQ13">
            <v>41923.151828633563</v>
          </cell>
          <cell r="BR13">
            <v>34860.115494120335</v>
          </cell>
          <cell r="BS13">
            <v>39268.080811067135</v>
          </cell>
          <cell r="BT13">
            <v>163298.52298238172</v>
          </cell>
          <cell r="BU13">
            <v>0.30951402011544682</v>
          </cell>
          <cell r="BV13">
            <v>1049.4056009049723</v>
          </cell>
          <cell r="BW13">
            <v>163902.66960738285</v>
          </cell>
          <cell r="BX13">
            <v>33115.928829909841</v>
          </cell>
          <cell r="BY13">
            <v>128723.77509576856</v>
          </cell>
          <cell r="BZ13">
            <v>235075.35593657917</v>
          </cell>
          <cell r="CA13">
            <v>1129686.2829272412</v>
          </cell>
          <cell r="CB13">
            <v>0.26182901402968572</v>
          </cell>
          <cell r="CC13">
            <v>147377.24535193585</v>
          </cell>
          <cell r="CD13">
            <v>16435.075736089784</v>
          </cell>
          <cell r="CE13">
            <v>121361.9336843073</v>
          </cell>
          <cell r="CF13">
            <v>62410.420557716723</v>
          </cell>
          <cell r="CG13">
            <v>413661.7199804791</v>
          </cell>
          <cell r="CH13">
            <v>40855.207594883439</v>
          </cell>
          <cell r="CI13">
            <v>653868.68941315776</v>
          </cell>
          <cell r="CJ13">
            <v>163902.66960738285</v>
          </cell>
          <cell r="CK13">
            <v>142570.37624099589</v>
          </cell>
          <cell r="CL13">
            <v>128723.77509576856</v>
          </cell>
          <cell r="CM13">
            <v>42639.914939352835</v>
          </cell>
          <cell r="CN13">
            <v>235075.35593657917</v>
          </cell>
          <cell r="CO13">
            <v>1317205.4996263271</v>
          </cell>
          <cell r="CP13">
            <v>0.63910146780055677</v>
          </cell>
          <cell r="CQ13">
            <v>0.15684808047742871</v>
          </cell>
          <cell r="CR13">
            <v>0.13469498808628508</v>
          </cell>
          <cell r="CS13">
            <v>0.11500826593670618</v>
          </cell>
          <cell r="CT13">
            <v>4.1578822468167242E-2</v>
          </cell>
          <cell r="CU13">
            <v>0.2119868675623521</v>
          </cell>
          <cell r="CV13">
            <v>143.50182671064113</v>
          </cell>
          <cell r="CW13">
            <v>32.845811714322963</v>
          </cell>
          <cell r="CX13">
            <v>28.993534782884005</v>
          </cell>
          <cell r="CY13">
            <v>22.748648622541225</v>
          </cell>
          <cell r="CZ13">
            <v>4.0384890780000875</v>
          </cell>
          <cell r="DA13">
            <v>37.670291443995474</v>
          </cell>
          <cell r="DB13">
            <v>259.3154627933456</v>
          </cell>
        </row>
      </sheetData>
      <sheetData sheetId="8">
        <row r="4">
          <cell r="BO4">
            <v>1</v>
          </cell>
        </row>
      </sheetData>
      <sheetData sheetId="9">
        <row r="3">
          <cell r="A3" t="str">
            <v>Community Healthlink, Inc.</v>
          </cell>
        </row>
      </sheetData>
      <sheetData sheetId="10"/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endedModels"/>
      <sheetName val="Peer Model Updated"/>
      <sheetName val="Per Diem Model"/>
      <sheetName val="Mobile Per Diem Model"/>
      <sheetName val="AHCS Salary Breakout"/>
      <sheetName val="FY16 Contracts"/>
      <sheetName val="Fall2016 CAF"/>
    </sheetNames>
    <sheetDataSet>
      <sheetData sheetId="0"/>
      <sheetData sheetId="1"/>
      <sheetData sheetId="2"/>
      <sheetData sheetId="3"/>
      <sheetData sheetId="4">
        <row r="5">
          <cell r="B5">
            <v>54265.845095051212</v>
          </cell>
        </row>
        <row r="6">
          <cell r="B6">
            <v>75588.90937283411</v>
          </cell>
        </row>
        <row r="10">
          <cell r="B10">
            <v>90483.887203019724</v>
          </cell>
        </row>
        <row r="11">
          <cell r="B11">
            <v>62728.637696237201</v>
          </cell>
        </row>
        <row r="12">
          <cell r="B12">
            <v>48356.933422073991</v>
          </cell>
        </row>
        <row r="15">
          <cell r="B15">
            <v>53772.035779272279</v>
          </cell>
        </row>
        <row r="27">
          <cell r="B27">
            <v>28224.841144193815</v>
          </cell>
        </row>
        <row r="29">
          <cell r="B29">
            <v>27811.316309872502</v>
          </cell>
        </row>
      </sheetData>
      <sheetData sheetId="5">
        <row r="14">
          <cell r="BW14">
            <v>51201.5</v>
          </cell>
        </row>
        <row r="42">
          <cell r="C42">
            <v>0.22602863541922683</v>
          </cell>
        </row>
        <row r="64">
          <cell r="BI64">
            <v>1668.9958313837251</v>
          </cell>
        </row>
        <row r="65">
          <cell r="BI65">
            <v>1121.0773320855844</v>
          </cell>
        </row>
      </sheetData>
      <sheetData sheetId="6">
        <row r="39">
          <cell r="BJ39">
            <v>5.4305515997341604E-2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ended Models"/>
      <sheetName val="BlendedModels"/>
      <sheetName val="Peer Model Updated"/>
      <sheetName val="Per Diem Model"/>
      <sheetName val="Mobile Per Diem Model"/>
      <sheetName val="Fiscal Impact (2)"/>
      <sheetName val="Fiscal Impact"/>
      <sheetName val="Fall2016 CAF"/>
      <sheetName val="ContractBreakout"/>
      <sheetName val="Mobile Contract Data"/>
      <sheetName val="Peer Model"/>
      <sheetName val="AHCS Salary Breakout"/>
      <sheetName val="LOS (2)"/>
      <sheetName val="FY16 Contracts"/>
      <sheetName val="Per Diem Expenses"/>
      <sheetName val="Spring2016 CAF"/>
      <sheetName val="FY16 Utilization"/>
    </sheetNames>
    <sheetDataSet>
      <sheetData sheetId="0"/>
      <sheetData sheetId="1">
        <row r="40">
          <cell r="D40">
            <v>5.4305515997341604E-2</v>
          </cell>
          <cell r="P40">
            <v>636251.59056600067</v>
          </cell>
          <cell r="U40">
            <v>871365.72928131081</v>
          </cell>
          <cell r="Z40">
            <v>1745641.777306139</v>
          </cell>
        </row>
      </sheetData>
      <sheetData sheetId="2">
        <row r="34">
          <cell r="N34">
            <v>443925.58597145992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>
        <row r="59">
          <cell r="D59">
            <v>353677.4</v>
          </cell>
        </row>
      </sheetData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endedModels"/>
      <sheetName val="Peer Model Updated"/>
      <sheetName val="Per Diem Model"/>
      <sheetName val="Mobile Per Diem Model"/>
      <sheetName val="AHCS Salary Breakout"/>
      <sheetName val="FY16 Contracts"/>
      <sheetName val="Fall2016 CAF"/>
    </sheetNames>
    <sheetDataSet>
      <sheetData sheetId="0">
        <row r="6">
          <cell r="N6">
            <v>6</v>
          </cell>
        </row>
        <row r="7">
          <cell r="S7">
            <v>10</v>
          </cell>
        </row>
        <row r="21">
          <cell r="D21">
            <v>1</v>
          </cell>
        </row>
        <row r="22">
          <cell r="D22">
            <v>0.6</v>
          </cell>
        </row>
        <row r="23">
          <cell r="D23">
            <v>0.1</v>
          </cell>
        </row>
        <row r="24">
          <cell r="D24">
            <v>0.5</v>
          </cell>
        </row>
        <row r="25">
          <cell r="D25">
            <v>0.5</v>
          </cell>
        </row>
        <row r="26">
          <cell r="D26">
            <v>4.2</v>
          </cell>
        </row>
        <row r="28">
          <cell r="D28">
            <v>1.4</v>
          </cell>
        </row>
        <row r="30">
          <cell r="D30">
            <v>0.25</v>
          </cell>
        </row>
        <row r="34">
          <cell r="D34">
            <v>51201.5</v>
          </cell>
        </row>
        <row r="37">
          <cell r="D37">
            <v>1668.9958313837251</v>
          </cell>
        </row>
        <row r="38">
          <cell r="D38">
            <v>1121.0773320855844</v>
          </cell>
        </row>
        <row r="39">
          <cell r="D39">
            <v>0.12</v>
          </cell>
        </row>
      </sheetData>
      <sheetData sheetId="1"/>
      <sheetData sheetId="2"/>
      <sheetData sheetId="3"/>
      <sheetData sheetId="4">
        <row r="5">
          <cell r="B5">
            <v>54265.845095051212</v>
          </cell>
        </row>
        <row r="6">
          <cell r="B6">
            <v>75588.90937283411</v>
          </cell>
        </row>
        <row r="11">
          <cell r="B11">
            <v>62728.637696237201</v>
          </cell>
        </row>
        <row r="27">
          <cell r="B27">
            <v>28224.841144193815</v>
          </cell>
        </row>
        <row r="28">
          <cell r="B28">
            <v>43134.568793597049</v>
          </cell>
        </row>
        <row r="29">
          <cell r="B29">
            <v>27811.316309872502</v>
          </cell>
        </row>
      </sheetData>
      <sheetData sheetId="5">
        <row r="42">
          <cell r="C42">
            <v>0.22602863541922683</v>
          </cell>
        </row>
      </sheetData>
      <sheetData sheetId="6">
        <row r="39">
          <cell r="BJ39">
            <v>5.4305515997341604E-2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KaSolimini/AppData/Local/Microsoft/Windows/Temporary%20Internet%20Files/Content.Outlook/VPTTPB14/SpendingActivitycodes_Kara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anon, Richard (EHS)" refreshedDate="43370.450757870371" createdVersion="4" refreshedVersion="4" minRefreshableVersion="3" recordCount="4174">
  <cacheSource type="worksheet">
    <worksheetSource ref="A4:G4178" sheet="qry_SpendingActivitycodes" r:id="rId2"/>
  </cacheSource>
  <cacheFields count="7">
    <cacheField name="fiscal_year" numFmtId="0">
      <sharedItems containsSemiMixedTypes="0" containsString="0" containsNumber="1" containsInteger="1" minValue="2013" maxValue="2018" count="6">
        <n v="2014"/>
        <n v="2015"/>
        <n v="2013"/>
        <n v="2018"/>
        <n v="2016"/>
        <n v="2017"/>
      </sharedItems>
    </cacheField>
    <cacheField name="department" numFmtId="0">
      <sharedItems count="20">
        <s v="DMR"/>
        <s v="MCB"/>
        <s v="ELD"/>
        <s v="DSS"/>
        <s v="VET"/>
        <s v="DMH"/>
        <s v="DPH"/>
        <s v="MRC"/>
        <s v="ORI"/>
        <s v="DYS"/>
        <s v="OCD"/>
        <s v="EHS"/>
        <s v="WEL"/>
        <s v="EEC"/>
        <s v="CHE"/>
        <s v="MCD"/>
        <s v="DOT"/>
        <s v="CDA"/>
        <s v="NSC"/>
        <s v="MGC"/>
      </sharedItems>
    </cacheField>
    <cacheField name="activity" numFmtId="0">
      <sharedItems count="496">
        <s v="3753"/>
        <s v="210L"/>
        <s v="8031"/>
        <s v="DVCB"/>
        <s v="1131"/>
        <s v="3054"/>
        <s v="RES0"/>
        <s v="FNFO"/>
        <s v="3375"/>
        <s v="8075"/>
        <s v="3182"/>
        <s v="3700"/>
        <s v="3080"/>
        <s v="3716"/>
        <s v="2100"/>
        <s v="2222"/>
        <s v="2234"/>
        <s v="2021"/>
        <s v="3752"/>
        <s v="3361"/>
        <s v="3780"/>
        <s v="3315"/>
        <s v="3385"/>
        <s v="2215"/>
        <s v="2517"/>
        <s v="3170"/>
        <s v="3228"/>
        <s v="DVRE"/>
        <s v="3773"/>
        <s v="FNLA"/>
        <s v="3014"/>
        <s v="3288"/>
        <s v="CSSI"/>
        <s v="2405"/>
        <s v="5200"/>
        <s v="4928"/>
        <s v="2506"/>
        <s v="4939"/>
        <s v="3470"/>
        <s v="4705"/>
        <s v="2244"/>
        <s v="3713"/>
        <s v="2237"/>
        <s v="5300"/>
        <s v="3701"/>
        <s v="2022"/>
        <s v="2504"/>
        <s v="2226"/>
        <s v="3180"/>
        <s v="3664"/>
        <s v="4942"/>
        <s v="2213"/>
        <s v="3168"/>
        <s v="3771"/>
        <s v="2402"/>
        <s v="2236"/>
        <s v="3438"/>
        <s v="6700"/>
        <s v="3781"/>
        <s v="3020"/>
        <s v="3007"/>
        <s v="4957"/>
        <s v="3434"/>
        <s v="4930"/>
        <s v="FBSS"/>
        <s v="3709"/>
        <s v="3738"/>
        <s v="3033"/>
        <s v="2922"/>
        <s v="8015"/>
        <s v="8016"/>
        <s v="4777"/>
        <s v="2503"/>
        <s v="3702"/>
        <s v="3059"/>
        <s v="3015"/>
        <s v="3065"/>
        <s v="3431"/>
        <s v="3423"/>
        <s v="3174"/>
        <s v="7100"/>
        <s v="4936"/>
        <s v="3319"/>
        <s v="3395"/>
        <s v="3183"/>
        <s v="4787"/>
        <s v="4614"/>
        <s v="4909"/>
        <s v="3799"/>
        <s v="CSSS"/>
        <s v="2121"/>
        <s v="4772"/>
        <s v="3043"/>
        <s v="6704"/>
        <s v="3056"/>
        <s v="4955"/>
        <s v="6000"/>
        <s v="3285"/>
        <s v="2861"/>
        <s v="4941"/>
        <s v="2230"/>
        <s v="2151"/>
        <s v="3703"/>
        <s v="6780"/>
        <s v="3196"/>
        <s v="3751"/>
        <s v="3249"/>
        <s v="2184"/>
        <s v="8019"/>
        <s v="3401"/>
        <s v="3262"/>
        <s v="4857"/>
        <s v="FNSS"/>
        <s v="FBS0"/>
        <s v="8052"/>
        <s v="3735"/>
        <s v="3731"/>
        <s v="FRCM"/>
        <s v="3366"/>
        <s v="2128"/>
        <s v="2238"/>
        <s v="3163"/>
        <s v="3779"/>
        <s v="4753"/>
        <s v="2949"/>
        <s v="2240"/>
        <s v="6753"/>
        <s v="2220"/>
        <s v="CCHM"/>
        <s v="2886"/>
        <s v="3066"/>
        <s v="3068"/>
        <s v="CCSP"/>
        <s v="3034"/>
        <s v="3031"/>
        <s v="2262"/>
        <s v="2144"/>
        <s v="3386"/>
        <s v="3039"/>
        <s v="4927"/>
        <s v="2250"/>
        <s v="3778"/>
        <s v="4940"/>
        <s v="3166"/>
        <s v="4964"/>
        <s v="2219"/>
        <s v="4706"/>
        <s v="3777"/>
        <s v="CSSU"/>
        <s v="3467"/>
        <s v="3760"/>
        <s v="2232"/>
        <s v="4929"/>
        <s v="4953"/>
        <s v="3150"/>
        <s v="2515"/>
        <s v="1601"/>
        <s v="2109"/>
        <s v="3029"/>
        <s v="3284"/>
        <s v="3001"/>
        <s v="3774"/>
        <s v="2906"/>
        <s v="2516"/>
        <s v="8068"/>
        <s v="4734"/>
        <s v="4912"/>
        <s v="3681"/>
        <s v="3279"/>
        <s v="3710"/>
        <s v="4935"/>
        <s v="4959"/>
        <s v="2142"/>
        <s v="2229"/>
        <s v="4771"/>
        <s v="3382"/>
        <s v="4933"/>
        <s v="3181"/>
        <s v="3208"/>
        <s v="3202"/>
        <s v="4943"/>
        <s v="4613"/>
        <s v="4881"/>
        <s v="4874"/>
        <s v="DVHT"/>
        <s v="4965"/>
        <s v="3191"/>
        <s v="3226"/>
        <s v="3048"/>
        <s v="3764"/>
        <s v="4617"/>
        <s v="4958"/>
        <s v="4956"/>
        <s v="3161"/>
        <s v="3400"/>
        <s v="3021"/>
        <s v="3329"/>
        <s v="8005"/>
        <s v="2217"/>
        <s v="3184"/>
        <s v="2508"/>
        <s v="3330"/>
        <s v="3283"/>
        <s v="FOSM"/>
        <s v="4741"/>
        <s v="3785"/>
        <s v="2119"/>
        <s v="8032"/>
        <s v="2225"/>
        <s v="3079"/>
        <s v="3274"/>
        <s v="4627"/>
        <s v="CCIE"/>
        <s v="2143"/>
        <s v="3075"/>
        <s v="6703"/>
        <s v="3422"/>
        <s v="3707"/>
        <s v="4950"/>
        <s v="2502"/>
        <s v="3798"/>
        <s v="3153"/>
        <s v="2501"/>
        <s v="3770"/>
        <s v="8034"/>
        <s v="CSSE"/>
        <s v="4828"/>
        <s v="RESS"/>
        <s v="2110"/>
        <s v="3759"/>
        <s v="8010"/>
        <s v="2127"/>
        <s v="2928"/>
        <s v="4954"/>
        <s v="4749"/>
        <s v="210S"/>
        <s v="4952"/>
        <s v="4921"/>
        <s v="2227"/>
        <s v="3040"/>
        <s v="3457"/>
        <s v="2507"/>
        <s v="3024"/>
        <s v="2024"/>
        <s v="5004"/>
        <s v="4620"/>
        <s v="3165"/>
        <s v="3078"/>
        <s v="2521"/>
        <s v="4760"/>
        <s v="2406"/>
        <s v="2251"/>
        <s v="3389"/>
        <s v="3380"/>
        <s v="1133"/>
        <s v="4633"/>
        <s v="4784"/>
        <s v="3051"/>
        <s v="8027"/>
        <s v="2404"/>
        <s v="3712"/>
        <s v="3210"/>
        <s v="RESG"/>
        <s v="3317"/>
        <s v="4951"/>
        <s v="FNCO"/>
        <s v="2403"/>
        <s v="3131"/>
        <s v="2242"/>
        <s v="8043"/>
        <s v="3061"/>
        <s v="2218"/>
        <s v="8030"/>
        <s v="3169"/>
        <s v="3321"/>
        <s v="2451"/>
        <s v="4735"/>
        <s v="4919"/>
        <s v="3287"/>
        <s v="CTT0"/>
        <s v="8065"/>
        <s v="3397"/>
        <s v="8070"/>
        <s v="8042"/>
        <s v="2264"/>
        <s v="4725"/>
        <s v="2124"/>
        <s v="4911"/>
        <s v="4788"/>
        <s v="4910"/>
        <s v="3042"/>
        <s v="2156"/>
        <s v="8029"/>
        <s v="2510"/>
        <s v="2208"/>
        <s v="3041"/>
        <s v="2231"/>
        <s v="3128"/>
        <s v="8066"/>
        <s v="3222"/>
        <s v="4702"/>
        <s v="4710"/>
        <s v="CSSO"/>
        <s v="2518"/>
        <s v="3415"/>
        <s v="4923"/>
        <s v="4728"/>
        <s v="CSSH"/>
        <s v="3412"/>
        <s v="6002"/>
        <s v="022N"/>
        <s v="8002"/>
        <s v="2235"/>
        <s v="FBSC"/>
        <s v="3749"/>
        <s v="6707"/>
        <s v="SALR"/>
        <s v="2841"/>
        <s v="3027"/>
        <s v="2916"/>
        <s v="EVAC"/>
        <s v="8074"/>
        <s v="5834"/>
        <s v="2224"/>
        <s v="4785"/>
        <s v="4714"/>
        <s v="2200"/>
        <s v="5100"/>
        <s v="8006"/>
        <s v="2216"/>
        <s v="3023"/>
        <s v="2025"/>
        <s v="2514"/>
        <s v="2522"/>
        <s v="4770"/>
        <s v="4984"/>
        <s v="3776"/>
        <s v="4700"/>
        <s v="8026"/>
        <s v="3772"/>
        <s v="8061"/>
        <s v="3300"/>
        <s v="2027"/>
        <s v="2221"/>
        <s v="2223"/>
        <s v="3478"/>
        <s v="1500"/>
        <s v="8007"/>
        <s v="2246"/>
        <s v="3063"/>
        <s v="4634"/>
        <s v="3069"/>
        <s v="CTC0"/>
        <s v="3104"/>
        <s v="3750"/>
        <s v="3482"/>
        <s v="4775"/>
        <s v="4931"/>
        <s v="4618"/>
        <s v="3049"/>
        <s v="FNST"/>
        <s v="3052"/>
        <s v="3146"/>
        <s v="2199"/>
        <s v="8044"/>
        <s v="4779"/>
        <s v="4925"/>
        <s v="CFC0"/>
        <s v="4704"/>
        <s v="6701"/>
        <s v="2103"/>
        <s v="CFR0"/>
        <s v="2131"/>
        <s v="FNGH"/>
        <s v="3705"/>
        <s v="2202"/>
        <s v="2675"/>
        <s v="FOS0"/>
        <s v="4887"/>
        <s v="2245"/>
        <s v="1300"/>
        <s v="2115"/>
        <s v="2885"/>
        <s v="2833"/>
        <s v="8062"/>
        <s v="2925"/>
        <s v="4963"/>
        <s v="3089"/>
        <s v="2505"/>
        <s v="8017"/>
        <s v="3091"/>
        <s v="2023"/>
        <s v="210R"/>
        <s v="2953"/>
        <s v="0149"/>
        <s v="2401"/>
        <s v="3486"/>
        <s v="4621"/>
        <s v="4883"/>
        <s v="2028"/>
        <s v="4626"/>
        <s v="4926"/>
        <s v="NECH"/>
        <s v="3253"/>
        <s v="FNSO"/>
        <s v="4630"/>
        <s v="2020"/>
        <s v="2511"/>
        <s v="4915"/>
        <s v="8014"/>
        <s v="2500"/>
        <s v="8067"/>
        <s v="2253"/>
        <s v="4776"/>
        <s v="FRCF"/>
        <s v="FRCO"/>
        <s v="3455"/>
        <s v="3452"/>
        <s v="AMSS"/>
        <s v="3775"/>
        <s v="8028"/>
        <s v="5005"/>
        <s v="2248"/>
        <s v="4885"/>
        <s v="3062"/>
        <s v="4641"/>
        <s v="CCTP"/>
        <s v="ISAP"/>
        <s v="8060"/>
        <s v="8036"/>
        <s v="022P"/>
        <s v="0999"/>
        <s v="4619"/>
        <s v="2247"/>
        <s v="4750"/>
        <s v="3203"/>
        <s v="2122"/>
        <s v="3453"/>
        <s v="7101"/>
        <s v="2670"/>
        <s v="8003"/>
        <s v="3139"/>
        <s v="4625"/>
        <s v="8064"/>
        <s v="2512"/>
        <s v="3769"/>
        <s v="2243"/>
        <s v="3090"/>
        <s v="FOSC"/>
        <s v="1400"/>
        <s v="4701"/>
        <s v="4727"/>
        <s v="2931"/>
        <s v="FBSA"/>
        <s v="2233"/>
        <s v="2152"/>
        <s v="3081"/>
        <s v="8055"/>
        <s v="3197"/>
        <s v="8041"/>
        <s v="3379"/>
        <s v="DVST"/>
        <s v="0997"/>
        <s v="FBSR"/>
        <s v="3047"/>
        <s v="2212"/>
        <s v="4729"/>
        <s v="4980"/>
        <s v="4629"/>
        <s v="2509"/>
        <s v="4631"/>
        <s v="2101"/>
        <s v="2884"/>
        <s v="8072"/>
        <s v="4635"/>
        <s v="CCRR"/>
        <s v="4623"/>
        <s v="4922"/>
        <s v="2241"/>
        <s v="3240"/>
        <s v="1200"/>
        <s v="4622"/>
        <s v="4624"/>
        <s v="2933"/>
        <s v="2029"/>
        <s v="4872"/>
        <s v="4764"/>
        <s v="2835"/>
        <s v="3050"/>
        <s v="QT05"/>
        <s v="4860"/>
        <s v="2209"/>
        <s v="1100"/>
        <s v="4628"/>
        <s v="5885"/>
        <s v="2901"/>
      </sharedItems>
    </cacheField>
    <cacheField name="activity_name" numFmtId="0">
      <sharedItems count="500">
        <s v="Occupancy for Adult Long Term Residential Svs."/>
        <s v="Adult Long Term Care Occupancy"/>
        <s v="Elderly Nutrition Program"/>
        <s v="DV Community Based"/>
        <s v="Non-residential Support Services for Veterans"/>
        <s v="COMMUNITY BASED FLEXIBLE SUPPORT"/>
        <s v="RES SERVICE"/>
        <s v="Foster Care"/>
        <s v="WIC NUTRITION"/>
        <s v="Naturally Occurring Retirement Communities"/>
        <s v="EMERGENCY STABILIZATION RESIDENCE"/>
        <s v="Family Support Navigation"/>
        <s v="INTENSIVE RESIDENTIAL TREATMENT"/>
        <s v="Community Peer Support/Residential Peer Support"/>
        <s v="MEDICAL EVALUATION NONMEDICAID"/>
        <s v="Transitional to Adult Hood"/>
        <s v="TAC Assigned CHPT 688 VR&amp;CL"/>
        <s v="Employment Services"/>
        <s v="Acquired Brain Injury Shared Living"/>
        <s v="SEX ASSAULT.PREV.&amp; SURV."/>
        <s v="Financial Assistance"/>
        <s v="FIRST OFFENDER DRIVER"/>
        <s v="AMBULATORY SERVICES"/>
        <s v="INDEPENDENT LIVING CENTERS"/>
        <s v="SUPPORT SERVICES"/>
        <s v="CLINICAL TEAM"/>
        <s v="RECRUITMENT SERVICES"/>
        <s v="DV Residential"/>
        <s v="Intensive Flexible Family Support Services"/>
        <s v="Family Networks Lead Agency"/>
        <s v="RECOVERY LEARNING COMMUNITY"/>
        <s v="Placement Services Tier 1"/>
        <s v="CTR PROTECTIVE INVESTIGATIONS"/>
        <s v="Deaf Biind Community Access Network"/>
        <s v="CIES Component Procurement"/>
        <s v="Youth Stabilization"/>
        <s v="RESIDENTIAL SERVICES BLANKET"/>
        <s v="Womens Health Comprehensive Care Coordination"/>
        <s v="YOUTH RESIDENTIAL"/>
        <s v="RURAL DOM VIOL &amp; CHLD VCTM"/>
        <s v="ABI Waiver Non - Residential"/>
        <s v="Occupancy for Acquired Brain Injury Residential Svs."/>
        <s v="Substance Abuse Services"/>
        <s v="Partnership Plus"/>
        <s v="Respite In Recipent's Home-Day"/>
        <s v="Social Adjustment Services"/>
        <s v="FOSTER CARE - DYS"/>
        <s v="MRC - RESIDENTIAL"/>
        <s v="Comprehensive Integrated Employment Services"/>
        <s v="Day Habilitation Services"/>
        <s v="BCHAP Legislative Earmarks"/>
        <s v="ARRA VR Basic Support"/>
        <s v="Supported Employment Services"/>
        <s v="Cultural Linguistic Family Support Centers"/>
        <s v="RESIDENTAL SUPPORTS"/>
        <s v="Clinical and Medical Diagnostics"/>
        <s v="Teen Pregnancy Prevention"/>
        <s v="Family Support Navigation AWC"/>
        <s v="Financial Assistance Administration"/>
        <s v="STAFF TRAINING"/>
        <s v="PROGRAM MANAGEMENT - CENTRAL / AREA"/>
        <s v="Statewide Municipal Capacity Building"/>
        <s v="TRANSITIONAL SERVICES"/>
        <s v="Recovery Support Services"/>
        <s v="SUPTV PREV PROG"/>
        <s v="Community Family Training/Residential Family Training"/>
        <s v="DDS/DESE Direct Support Services"/>
        <s v="CAMPS FORDMH REFERRED YOUTH"/>
        <s v="Housing Search"/>
        <s v="Supportive Senior Housing"/>
        <s v="Coordination of Care"/>
        <s v="Early Childhood Care"/>
        <s v="Staff Secure Treatment"/>
        <s v="Respite In Care Giver's Home"/>
        <s v="COMMUNITY REHABILITATIVE SUPPO"/>
        <s v="CLIENT &amp; COMMUNITY EMPOWERMENT"/>
        <s v="COMMUNITY &amp; SCHOOL THERAPEUTIC SUPPORT"/>
        <s v="PEDIATRIC AIDS (MASS CARE)"/>
        <s v="HIV/AIDS RESEARCH TRNG. SUPP."/>
        <s v="SUPPORTIVE SERVICE BLANKET"/>
        <s v="Autism Coaching Support-Agency"/>
        <s v="Youth Intervention Programs"/>
        <s v="Family Planning Program"/>
        <s v="INPATIENT DETOXIFICATION"/>
        <s v="CENTRAL OFFICE EXECUTIVE"/>
        <s v="Integrated Chronic Disease Management"/>
        <s v="Moms Do Care"/>
        <s v="Targeted Capacity Building for AOD"/>
        <s v="Financial Intermediary Service-PDP"/>
        <s v="CONTR SVC MGMT"/>
        <s v="MOBILITY - NONMEDICAID"/>
        <s v="Tobacco Control Resource Center"/>
        <s v="HOMELESS PROGRAM SUPPORT"/>
        <s v="Individualized Day Supports AWC"/>
        <s v="INDIVIDUAL SUPPORT"/>
        <s v="OHA HIV/AIDS Case Management and Health Related Support"/>
        <s v="EOHHS Operations"/>
        <s v="DAY HABILITATION SUPPLEMENT"/>
        <s v="SMOC-Transportation Program"/>
        <s v="Substance Abuse Prevention Programs"/>
        <s v="Shared Living"/>
        <s v="RADIO READING"/>
        <s v="Individualized Home Supports"/>
        <s v="Financial Assistance AWC"/>
        <s v="TRANSPORTATION"/>
        <s v="Acquired Brain Injury Residential Hab."/>
        <s v="PSYCHOLOGY DIRECT CARE SERVICE"/>
        <s v="Competitive Integrated Employment Services"/>
        <s v="Elder Homelessness Assistance"/>
        <s v="2ND OFFENDER RESIDENTIAL"/>
        <s v="ASSISTIVE TECHNOLOGY SERVICES"/>
        <s v="Laboratory Capacity Chemical Agents (Focus Area D)"/>
        <s v="Fam Networks Supp &amp; Stab"/>
        <s v="FBS"/>
        <s v="LGBT Aging Project"/>
        <s v="Children's Respite in Care Giver's Home-Hour"/>
        <s v="Respite in Recipent's Home-Hour"/>
        <s v="Resource Centers Micro"/>
        <s v="POISON CONTROL"/>
        <s v="CLIENT TRAVEL"/>
        <s v="Recreational Services"/>
        <s v="COMMUNITY BASED DAY SUPPORTS"/>
        <s v="Family Support Center Flexible Stipends"/>
        <s v="Suicide Prevention"/>
        <s v="SNAP Nutrition Ed &amp; Obesity Prevention Programs"/>
        <s v="DIVISION OF DISABILITY DETERMI"/>
        <s v="Agency w/Choice Admin fee"/>
        <s v="HOME CARE ASSISTANCE"/>
        <s v="CHILD CARE HOMELESS"/>
        <s v="M3 Employment Supports"/>
        <s v="INDIVIDUAL SUPPORT (BLANKET)"/>
        <s v="DAY SERVICES"/>
        <s v="CHILD CARE SUPPORTIVE"/>
        <s v="CLUBHOUSE SERVICES"/>
        <s v="PROGRAM OF ASSERTIVE COMMUNITY TREATMENT"/>
        <s v="Individual Supports for Community Habilitation"/>
        <s v="RESIDENTIAL TREATMENT"/>
        <s v="HOMELESS SUPPORT SERVICES"/>
        <s v="Recovery High School"/>
        <s v="Transition Related Services"/>
        <s v="Rolland Transition/Community Outreach Services"/>
        <s v="Mass Collaborative for Action, Leadership and Learning 2"/>
        <s v="BLANKET DAY SERVICES"/>
        <s v="Strategic Prevention Framework Partnership for Success 2"/>
        <s v="Adaptive Driving Evaluation and Training"/>
        <s v="CRIME PREVENTION COALITION (JANE DOE)"/>
        <s v="Active Treatment"/>
        <s v="UNACCOMPANIED MINOR SVCS"/>
        <s v="REFUGEE HEALTH"/>
        <s v="Non-Waiver Services"/>
        <s v="MFP NON - Residential"/>
        <s v="Office Based Opioid Treatment Services"/>
        <s v="Pregnant and Parenting Teens"/>
        <s v="PLACEMENT SERVICES"/>
        <s v="DIAGNOSTIC"/>
        <s v="Accounting"/>
        <s v="PERSONAL VOC ADJ - NONMEDICAID"/>
        <s v="DISASTER CRISIS COUNSELING"/>
        <s v="EXECUTIVE-CENTRAL/AREA"/>
        <s v="Medically Complex Programs"/>
        <s v="Emergency Assistance Temporary Shelter"/>
        <s v="TRANS. INDEP. LIVING PROGRAN"/>
        <s v="Money Follows People  Transition"/>
        <s v="Obesity/Physical Activity"/>
        <s v="Substance Abuse Legislative Earmarks"/>
        <s v="DDS/Group Supported Employment Partnership"/>
        <s v="GUARDIANSHIP SERVICES"/>
        <s v="Behavioral Supports and ConsultationFamily Training"/>
        <s v="Family Focused Intervention &amp; Care Coordination"/>
        <s v="Personal Responsibility Education Program"/>
        <s v="Shared living Services"/>
        <s v="Tob Cntl Statewide Capacity Bldg"/>
        <s v="YOUTH SEARCH"/>
        <s v="Health Disparities Reduction"/>
        <s v="Group Supported Employment"/>
        <s v="PSYCHIATRY SERVICE"/>
        <s v="MEDICAL SERVICES"/>
        <s v="Asthma Prevention and Control Programe"/>
        <s v="Infectious Disease Drug Assistance Program"/>
        <s v="Epidemiology Surveillance"/>
        <s v="BT Emergency Preparedness - Focus Area A - General"/>
        <s v="DV Hotline"/>
        <s v="Drug Court Case Management"/>
        <s v="F &amp; E/CORE"/>
        <s v="TRAINING &amp; STAFF DEVELOPMENT"/>
        <s v="RESPITE CARE SERVICES"/>
        <s v="Facility Day Habilitation"/>
        <s v="Recovery Coaches in Emergency Department"/>
        <s v="BSAS Jail Diversion Program"/>
        <s v="BSAS Supportive Case Management"/>
        <s v="BLANKET RESIDENTIAL"/>
        <s v="CRIM JUSTICE PROG"/>
        <s v="PSYCHIATRIC RESIDENCY TRAINING"/>
        <s v="TEWKSBURY STAB AND TRANS"/>
        <s v="Money Management Assistance"/>
        <s v="Long-Term Device Loan Program"/>
        <s v="REGIONAL OFFICE EXECUTIVE"/>
        <s v="EDUCATIONAL SERVICES"/>
        <s v="EI - SPEC TRAINING PROJECTS"/>
        <s v="ASSISTIVE TECHNOLOGY"/>
        <s v="FOST CARE MGMT"/>
        <s v="Special Health Needs Family Initiatives"/>
        <s v="Lifespan Respite Program"/>
        <s v="HOMEMAKER"/>
        <s v="Title III-E National Family Caregiver Support Program"/>
        <s v="MRC Supported Employment"/>
        <s v="CHILD/ADOL RESIDENTIAL SERVICE"/>
        <s v="CORPORATE REP PAYEE"/>
        <s v="General Community - Based DV"/>
        <s v="CHILD CARE INCOME ELIGIBLE"/>
        <s v="RESIDENTIAL/DAY PROG."/>
        <s v="INDIVIDUALIZED SUPPORT, RESIDENTAL"/>
        <s v="Individualized Home Supports AWC"/>
        <s v="SCHOOL BASED HEALTH CENTERS"/>
        <s v="MRC NON - Residential"/>
        <s v="Adult Companion"/>
        <s v="HIV Prevention, Testing and Referral Services"/>
        <s v="ASSESSMENT"/>
        <s v="Individual/Community Supports"/>
        <s v="24 HOUR RESIDENTIAL SERVICES"/>
        <s v="Hardware Secure Detention"/>
        <s v="Family Support Centers"/>
        <s v="Senior Community Service Employment"/>
        <s v="CTR COMPREHENSIVE EMER SVCS"/>
        <s v="Environmental Heath Assessment"/>
        <s v="RES SHELTER"/>
        <s v="PERSONAL VOC ADJ - MEDICAID"/>
        <s v="Adult Site Based Respite Facility"/>
        <s v="Guardianship"/>
        <s v="ESP-YPP Transportation"/>
        <s v="Home Visiting Maternal Child Evidence Based"/>
        <s v="Refug &amp; Immigr Safety (RISE)"/>
        <s v="Day Hab Supplement"/>
        <s v="INDIVIDUAL FLEXIBLE SUPPORT SERVICE"/>
        <s v="BSAS Access to Recovery Program"/>
        <s v="Statewide Treatment for Civilly-Committed Pesons"/>
        <s v="Community Supports"/>
        <s v="OUTREACH &amp; ENGAGEMENT"/>
        <s v="TB Clinics"/>
        <s v="Alternative lock - Up"/>
        <s v="PRE-SCREENING AND ASSESSMENT"/>
        <s v="Refugee School Impact (RSI)"/>
        <s v="Children's policy"/>
        <s v="DV Residential  Based"/>
        <s v="Adult Day Health Services"/>
        <s v="CHILD/ADDOLESCENT RESPITE CARE"/>
        <s v="Provider Client Services"/>
        <s v="Perinatal &amp; Early Childhood Project Mgt Staff"/>
        <s v="Mobile Eye Clinic Services"/>
        <s v="MRC Community-Based Day Supports"/>
        <s v="SASI - SA SHELTER FOR IND"/>
        <s v="SPECIALIZED RES SERV"/>
        <s v="HOMELESS VETERANS"/>
        <s v="Triage, Engagement and Assessment"/>
        <s v="Street Outreach"/>
        <s v="BFHN Legislative Earmarks"/>
        <s v="Nursing Facility Active Treatment"/>
        <s v="Prevention and Recovery in Early Psychosis"/>
        <s v="Title III-D Medication Management Services"/>
        <s v="SOCIAL SUPPORT AND NETWORKING"/>
        <s v="Stabilization In Caregiver's Home"/>
        <s v="PHARMACY SERVICES (GENERAL)"/>
        <s v="GROUP HOME"/>
        <s v="EARLY INTERVENTION-COMPREHENSIVE"/>
        <s v="Latina Residential Recovery With or Without Their Children"/>
        <s v="Congregate Care"/>
        <s v="Dormiciliary Care"/>
        <s v="COMPREHENSIVE MEDICAL SERVICES"/>
        <s v="TBI Waiver Residential"/>
        <s v="ELDER PROTECTIVE PROGRAMS"/>
        <s v="TRANSITION AGED YOUTH SERVICE"/>
        <s v="Assistive Technology Independent Living"/>
        <s v="Title III-B Supportive Services"/>
        <s v="Adult Long Term Care"/>
        <s v="Center-Based Work Services"/>
        <s v="GROWTH &amp; NUTRITION PROGRMS"/>
        <s v="INDEPENDENT LIVING SERVICE"/>
        <s v="SECURE DETENTION"/>
        <s v="Comprehensive Cancer Prev &amp; Control"/>
        <s v="Specialized Case Management for Families in TSL"/>
        <s v="SUPPLEMENTAL ADULT SUPPORTS"/>
        <s v="Caring Together Teen Parent"/>
        <s v="Standards of Care for People with Alzheimer's"/>
        <s v="NARCOTIC TREATMENT"/>
        <s v="Enhanced ADRC"/>
        <s v="Protective Service Casework"/>
        <s v="CHILD/ADOL GROUP HOMES"/>
        <s v="Tobacco Control Contract Mgt"/>
        <s v="RESPITE CARE"/>
        <s v="Healthy Communities"/>
        <s v="Wellness Promotion"/>
        <s v="Substance Abuse Helpline &amp; Website"/>
        <s v="HOUSING FIRST"/>
        <s v="ENGINEER GRP. CONSLT."/>
        <s v="Title III-B Long Term Care Ombudsman"/>
        <s v="DETENTION DIVERSION"/>
        <s v="VR INDEPENDENT LIVING"/>
        <s v="STABILIZATION SERVICES"/>
        <s v="Adaptive Assistance"/>
        <s v="RECREATIONAL THERAPY SERVICES"/>
        <s v="FLEXIBLE FAMILY SUPPORTS"/>
        <s v="Veterans Program"/>
        <s v="GENERAL ADMINISTRAIVE SUPPORT SER"/>
        <s v="S.A.N.E."/>
        <s v="SCHOOL HLTH INSTITUTE"/>
        <s v="CTR PROTECTIVE OTHER"/>
        <s v="JUVENILE OFFENDER BOOT CAMP."/>
        <s v="E.I. AUTISTIC SERVICES"/>
        <s v="HIV Drug Assist. &amp; Supports for Access &amp; Adherence (HDAP)"/>
        <s v="Office of Rural Health"/>
        <s v="CTR CHILD ABUSE HOTLINE"/>
        <s v="SPECIALIZED DENTALCARE"/>
        <s v="Transportation Management"/>
        <s v="PREP PLANS,SPECS,DESIGNS,&amp; PE"/>
        <s v="Grants to Councils on Aging"/>
        <s v="Informational &amp; Referal/Edu"/>
        <s v="FBS CLINICAL"/>
        <s v="Individual Support &amp; Community Habilitation"/>
        <s v="Adult Companion AWC"/>
        <s v="POS Salary Reserve"/>
        <s v="Food Stamp Outreach"/>
        <s v="ADULT FORENSIC COURT SERVICES"/>
        <s v="UMM Learning Disability Assessments"/>
        <s v="EVACUATION"/>
        <s v="MA EOEA PROTECTIVE SERVICES PROJECT"/>
        <s v="Residential Supervision- Area based client and Program Serv"/>
        <s v="Adaptive Housing"/>
        <s v="LGBT Domestic Violence Response"/>
        <s v="HLTH PROM CLEARINGHOUSE"/>
        <s v="Day Habilitation Supplements"/>
        <s v="VOCATIONAL REHABILITATION"/>
        <s v="VR CIES COMPONENTS"/>
        <s v="Home Care/Respite Care Purchased Sevices"/>
        <s v="Independent Living / Supported Living"/>
        <s v="RESEARCH"/>
        <s v="Preventive Health (PHP)"/>
        <s v="DAY REPORTING CENTER"/>
        <s v="Staff Secure Detention"/>
        <s v="Tob Cntl Community Coalitions"/>
        <s v="Opiod Urgent Care Centers"/>
        <s v="Family Leadership Program"/>
        <s v="EI - TRANSPORTATION"/>
        <s v="Title III Area Plan Administration"/>
        <s v="Autism Support Centers"/>
        <s v="Enhanced Community Options Program Purchased Services"/>
        <s v="COMPREHENSIVE HOME HEALTH"/>
        <s v="Family Support Center Stipends"/>
        <s v="AmeriCorp"/>
        <s v="Protective Services"/>
        <s v="Assistive Technology Regional Centers"/>
        <s v="MASSTART"/>
        <s v="Individual Rapid Rehousing ARRA-HPRP"/>
        <s v="Elder Abuse Hotline"/>
        <s v="Rolland Waiver Non Residential"/>
        <s v="STATE COLLEGE PREPARATORY SERVICE"/>
        <s v="Opioid STR Federal Grant"/>
        <s v="CARING TOGETHER FAMILY PARTNER PROGRAM"/>
        <s v="Nursing Facility Transitional Services"/>
        <s v="Caring Together"/>
        <s v="CONTRACTED CLIENT TRANSPORT."/>
        <s v="Fiscal Intermediary Processing Fee"/>
        <s v="Specialized Early Intervention"/>
        <s v="EI Regional Consultation Program"/>
        <s v="Clinically Managed Inpatient Detoxification"/>
        <s v="Extended Release Naltrexone Pilot"/>
        <s v="ADULT RESIDENTIAL SERVICES"/>
        <s v="Fam Networks STARR"/>
        <s v="HEALTH/WELLNESS INITIATIVE"/>
        <s v="COMPREHENSIVE PSYCH SERVICES - CLINIC"/>
        <s v="Community Choices Program"/>
        <s v="Pediatric Palliative Care"/>
        <s v="BT Emergency Preparedness - Pandemic Influenza"/>
        <s v="Comp FC"/>
        <s v="GAY AND LESBIAN YOUTH PROGRAM"/>
        <s v="Respite In Recipient's Home AWC"/>
        <s v="DIAGNOSTIC &amp; EVAL - MEDICAID"/>
        <s v="Comp Family Res"/>
        <s v="CLT. INTERP. SERV. NONMEDICAID"/>
        <s v="Fam Networks Group Homes"/>
        <s v="Children's Respite In Care Giver Home-Day"/>
        <s v="MRC Brain Injury Community Center"/>
        <s v="Office of Long Term Care"/>
        <s v="Refugee and Immigrant Health Program Management"/>
        <s v="Rolland Waiver Residential"/>
        <s v="Familiy Rapid Rehousing ARRA-HPRP"/>
        <s v="M2 Employment Training and Ed"/>
        <s v="ESP - YOUNG PARENTS PROGRAM"/>
        <s v="Long Term Care Options Counseling"/>
        <s v="GROUP CARE"/>
        <s v="EA Alternative Housing"/>
        <s v="Care Coordination Program: Outreach, Education and Linkages"/>
        <s v="CHILD/ADOLESCENT CONTRACTED INPATIENT"/>
        <s v="REVOCATION"/>
        <s v="Congregate Housing Services Coordination"/>
        <s v="INDIVIDUALIZED SUPPORT, RESIDENTAL SCHOOLS"/>
        <s v="Citizenship for New Americans Program (CNAP)"/>
        <s v="Adult Foster Care"/>
        <s v="Food Insecurity Nutrition Incentive Grant Program"/>
        <s v="2014 Vision Project Year 1"/>
        <s v="ELDER PEER SUPPORT"/>
        <s v="BATTERER INTERVENTION PROGRAM"/>
        <s v="TB Program Management"/>
        <s v="EEC-Race to the Top."/>
        <s v="Domestic Violence Substance Misuse and Trauma"/>
        <s v="Screening, Brief Intervention, Referral &amp; Treatment"/>
        <s v="NEW CHARDON SHELTER STAFF AND EXPENSES"/>
        <s v="VISUALLY IMPAIRED SERVICE"/>
        <s v="Supp &amp; Stab"/>
        <s v="SDV Equity Model"/>
        <s v="Refugee Case Management (RCM)"/>
        <s v="Community Service Programs"/>
        <s v="HIV/AIDS Corrections to Community Reintergration Program"/>
        <s v="Home Care/Respite Care Case Mgmt &amp; Adm"/>
        <s v="Hardware Secure Treatment"/>
        <s v="Money Follows People Quality of Life Survey Adminstration"/>
        <s v="TBI Community Based Day Supports"/>
        <s v="Pediatric SANE"/>
        <s v="Resource Centers Full Time"/>
        <s v="Resource Centers"/>
        <s v="SPEC`L RESIDENT SERVICES WOMEN"/>
        <s v="COMM HEALTH CENTER ENHANCEMENT"/>
        <s v="ADOPTMGMT"/>
        <s v="Planned Facility-Based Respite Programs for Children"/>
        <s v="Title III-D Health Promotion Services"/>
        <s v="Purchase of Services Contracting"/>
        <s v="Rolland Non - Residential"/>
        <s v="TB Outbreak Control"/>
        <s v="STABLIZATION, ASSESSMENT AND RAPID INTERGRATION"/>
        <s v="Gambling Prevention Contracts"/>
        <s v="CHILD CARE TEEN PARENT"/>
        <s v="ISA Actv for DOT Child"/>
        <s v="Enhanced Community Options Program Case Management"/>
        <s v="SHINE Benefits Counseling"/>
        <s v="Miscellaneous"/>
        <s v="Rolland Residential"/>
        <s v="Injury Prev &amp; Control Project Mgt Staff"/>
        <s v="ELECTROCARDIOLOGY SERVICE"/>
        <s v="MOBILITY - MEDICAID"/>
        <s v="COMM BASED CASE MGMT SERV"/>
        <s v="Adult Autism Coaching  - Individuals"/>
        <s v="Office of Medicaid"/>
        <s v="Service Incentive Grants"/>
        <s v="COSMETOLOGY"/>
        <s v="SECURE TREATMENT"/>
        <s v="Housing Stabilization"/>
        <s v="Choices for Successful Transitions"/>
        <s v="LONG TERM GROUP CARE"/>
        <s v="Facility/Center Based Work Services"/>
        <s v="TBI Waiver NON - Residential"/>
        <s v="ADULT CONTRACTED INPATIENT SERVICES"/>
        <s v="CONT FOS CARE"/>
        <s v="Individual Eviction Prevention ARRA-HPRP"/>
        <s v="S.I.D.S."/>
        <s v="Office of Oral Health"/>
        <s v="ESP Services"/>
        <s v="ADOL DAY PROG"/>
        <s v="ABI Waiver Residential"/>
        <s v="COOPERATIVE FUNDING"/>
        <s v="CLINICALLY INTNSVE RESID TREATMENT"/>
        <s v="Geriatic Mental Health Program"/>
        <s v="BLANKET WORK SERVICES"/>
        <s v="Caring Homes Pilot"/>
        <s v="SUPPORTIVE CASE MGT"/>
        <s v="DV Statewide"/>
        <s v="TRANSFER PROJECT EXPENSES"/>
        <s v="Recreation/Camp"/>
        <s v="Intimate Partner Abuse Educational Services"/>
        <s v="PROGRAM MANAGEMENT - SITE OFFICE"/>
        <s v="MFP Housing Search"/>
        <s v="Office of Multi-Cultural Health"/>
        <s v="ESSENTIALS FOR CHILDHOOD"/>
        <s v="Children Exposed to Domestic Violence"/>
        <s v="SPECIALIZED FOSTER CARE"/>
        <s v="Low Threshold"/>
        <s v="MEDICAL EVALUATION - MEDICAID"/>
        <s v="Placement Services Tier 2"/>
        <s v="M1 Employment Ready"/>
        <s v="Alzheimer Disease Supportive Srv Program"/>
        <s v="HIV/HCV/STI/TB Prevention, Linkage &amp; Retention in Care &amp; Tx"/>
        <s v="CHILD CARE RESOURC/REFERRAL CN"/>
        <s v="FAMILY SUPPORT"/>
        <s v="Toll-Free HIV/STD/V. Hepatitis Hotline &amp; Treatment Ed Librar"/>
        <s v="MFP Residential"/>
        <s v="Physical Therapy"/>
        <s v="Familiy Diversion ARRA-HPRP"/>
        <s v="ADULT RESIDENTIAL SERVICES - CONTRACTED"/>
        <s v="Emergency Shelter"/>
        <s v="Food Stamp Employment and Training"/>
        <s v="Financial Literacy"/>
        <s v="Immunization Program Management"/>
        <s v="Primary Care/Health Access Project Mgt Staff"/>
        <s v="GENERAL ADMINISTRATION"/>
        <s v="CONTRACTED ADULT OUTPATIENT SERVICES"/>
        <s v="Establish Statewide CCRRs"/>
        <s v="Substance Abuse Prevention Staff"/>
        <s v="ABIAdaptive Housing /Architects"/>
        <s v="Familiy Eviction Prevention ARRA-HPRP"/>
        <s v="Supervised Visitation"/>
        <s v="Training"/>
        <s v="Playspaces Program"/>
      </sharedItems>
    </cacheField>
    <cacheField name="object" numFmtId="0">
      <sharedItems/>
    </cacheField>
    <cacheField name="fund_name" numFmtId="0">
      <sharedItems/>
    </cacheField>
    <cacheField name="SumOfposting_line_amount" numFmtId="0">
      <sharedItems containsSemiMixedTypes="0" containsString="0" containsNumber="1" minValue="-210881.97" maxValue="933987710.86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174">
  <r>
    <x v="0"/>
    <x v="0"/>
    <x v="0"/>
    <x v="0"/>
    <s v="MM3"/>
    <s v="General Fund"/>
    <n v="4348101.12"/>
  </r>
  <r>
    <x v="1"/>
    <x v="1"/>
    <x v="1"/>
    <x v="1"/>
    <s v="M03"/>
    <s v="General Fund"/>
    <n v="258354.73"/>
  </r>
  <r>
    <x v="2"/>
    <x v="2"/>
    <x v="2"/>
    <x v="2"/>
    <s v="M03"/>
    <s v="Federal Grants Fund"/>
    <n v="14958609.32"/>
  </r>
  <r>
    <x v="0"/>
    <x v="3"/>
    <x v="3"/>
    <x v="3"/>
    <s v="M03"/>
    <s v="General Fund"/>
    <n v="9626326.2799999993"/>
  </r>
  <r>
    <x v="3"/>
    <x v="4"/>
    <x v="4"/>
    <x v="4"/>
    <s v="M03"/>
    <s v="General Fund"/>
    <n v="3482218.54"/>
  </r>
  <r>
    <x v="3"/>
    <x v="5"/>
    <x v="5"/>
    <x v="5"/>
    <s v="MM3"/>
    <s v="Expendable Trust Fund - External"/>
    <n v="194625.93"/>
  </r>
  <r>
    <x v="1"/>
    <x v="3"/>
    <x v="3"/>
    <x v="3"/>
    <s v="M03"/>
    <s v="General Fund"/>
    <n v="9558260.7300000004"/>
  </r>
  <r>
    <x v="0"/>
    <x v="2"/>
    <x v="2"/>
    <x v="2"/>
    <s v="M03"/>
    <s v="General Fund"/>
    <n v="6243771.0899999999"/>
  </r>
  <r>
    <x v="1"/>
    <x v="3"/>
    <x v="6"/>
    <x v="6"/>
    <s v="M03"/>
    <s v="General Fund"/>
    <n v="4908611.13"/>
  </r>
  <r>
    <x v="0"/>
    <x v="5"/>
    <x v="5"/>
    <x v="5"/>
    <s v="MM3"/>
    <s v="Federal Grants Fund"/>
    <n v="3900465.92"/>
  </r>
  <r>
    <x v="0"/>
    <x v="3"/>
    <x v="7"/>
    <x v="7"/>
    <s v="M03"/>
    <s v="General Fund"/>
    <n v="68127143.719999999"/>
  </r>
  <r>
    <x v="2"/>
    <x v="6"/>
    <x v="8"/>
    <x v="8"/>
    <s v="M03"/>
    <s v="General Fund"/>
    <n v="9564299"/>
  </r>
  <r>
    <x v="3"/>
    <x v="2"/>
    <x v="9"/>
    <x v="9"/>
    <s v="M03"/>
    <s v="General Fund"/>
    <n v="640317.09"/>
  </r>
  <r>
    <x v="3"/>
    <x v="0"/>
    <x v="10"/>
    <x v="10"/>
    <s v="MM3"/>
    <s v="General Fund"/>
    <n v="3943351.23"/>
  </r>
  <r>
    <x v="2"/>
    <x v="0"/>
    <x v="11"/>
    <x v="11"/>
    <s v="M03"/>
    <s v="Intragovernmental Services Fund"/>
    <n v="503527.92"/>
  </r>
  <r>
    <x v="0"/>
    <x v="5"/>
    <x v="5"/>
    <x v="5"/>
    <s v="MM3"/>
    <s v="General Fund"/>
    <n v="246750210.05000001"/>
  </r>
  <r>
    <x v="0"/>
    <x v="5"/>
    <x v="12"/>
    <x v="12"/>
    <s v="MM3"/>
    <s v="General Fund"/>
    <n v="14204323.25"/>
  </r>
  <r>
    <x v="0"/>
    <x v="0"/>
    <x v="13"/>
    <x v="13"/>
    <s v="M03"/>
    <s v="General Fund"/>
    <n v="100826.32"/>
  </r>
  <r>
    <x v="2"/>
    <x v="1"/>
    <x v="14"/>
    <x v="14"/>
    <s v="MM3"/>
    <s v="General Fund"/>
    <n v="5137.3999999999996"/>
  </r>
  <r>
    <x v="1"/>
    <x v="7"/>
    <x v="15"/>
    <x v="15"/>
    <s v="M03"/>
    <s v="Expendable Trust Fund - External"/>
    <n v="153499.46"/>
  </r>
  <r>
    <x v="3"/>
    <x v="7"/>
    <x v="16"/>
    <x v="16"/>
    <s v="M03"/>
    <s v="General Fund"/>
    <n v="8676.9599999999991"/>
  </r>
  <r>
    <x v="3"/>
    <x v="8"/>
    <x v="17"/>
    <x v="17"/>
    <s v="M03"/>
    <s v="Federal Grants Fund"/>
    <n v="1345067.86"/>
  </r>
  <r>
    <x v="3"/>
    <x v="0"/>
    <x v="18"/>
    <x v="18"/>
    <s v="M03"/>
    <s v="General Fund"/>
    <n v="1078273.03"/>
  </r>
  <r>
    <x v="0"/>
    <x v="6"/>
    <x v="19"/>
    <x v="19"/>
    <s v="M03"/>
    <s v="Federal Grants Fund"/>
    <n v="830386.87"/>
  </r>
  <r>
    <x v="4"/>
    <x v="0"/>
    <x v="20"/>
    <x v="20"/>
    <s v="M04"/>
    <s v="General Fund"/>
    <n v="13018455.75"/>
  </r>
  <r>
    <x v="1"/>
    <x v="6"/>
    <x v="21"/>
    <x v="21"/>
    <s v="MM3"/>
    <s v="General Fund"/>
    <n v="300000"/>
  </r>
  <r>
    <x v="1"/>
    <x v="6"/>
    <x v="22"/>
    <x v="22"/>
    <s v="MM3"/>
    <s v="General Fund"/>
    <n v="674277.6"/>
  </r>
  <r>
    <x v="2"/>
    <x v="7"/>
    <x v="23"/>
    <x v="23"/>
    <s v="M03"/>
    <s v="General Fund"/>
    <n v="4668714.1900000004"/>
  </r>
  <r>
    <x v="1"/>
    <x v="9"/>
    <x v="24"/>
    <x v="24"/>
    <s v="M03"/>
    <s v="General Fund"/>
    <n v="5363440.72"/>
  </r>
  <r>
    <x v="0"/>
    <x v="0"/>
    <x v="25"/>
    <x v="25"/>
    <s v="M03"/>
    <s v="General Fund"/>
    <n v="310799.08"/>
  </r>
  <r>
    <x v="0"/>
    <x v="0"/>
    <x v="26"/>
    <x v="26"/>
    <s v="M03"/>
    <s v="General Fund"/>
    <n v="503006.31"/>
  </r>
  <r>
    <x v="1"/>
    <x v="5"/>
    <x v="12"/>
    <x v="12"/>
    <s v="MM3"/>
    <s v="General Fund"/>
    <n v="15651351.539999999"/>
  </r>
  <r>
    <x v="2"/>
    <x v="3"/>
    <x v="27"/>
    <x v="27"/>
    <s v="M03"/>
    <s v="General Fund"/>
    <n v="8413667.0099999998"/>
  </r>
  <r>
    <x v="1"/>
    <x v="0"/>
    <x v="28"/>
    <x v="28"/>
    <s v="MM3"/>
    <s v="General Fund"/>
    <n v="964870.93"/>
  </r>
  <r>
    <x v="0"/>
    <x v="7"/>
    <x v="23"/>
    <x v="23"/>
    <s v="M03"/>
    <s v="General Fund"/>
    <n v="5863183.5"/>
  </r>
  <r>
    <x v="0"/>
    <x v="3"/>
    <x v="29"/>
    <x v="29"/>
    <s v="M03"/>
    <s v="General Fund"/>
    <n v="10203063.15"/>
  </r>
  <r>
    <x v="1"/>
    <x v="2"/>
    <x v="2"/>
    <x v="2"/>
    <s v="M03"/>
    <s v="General Fund"/>
    <n v="6887330.7400000002"/>
  </r>
  <r>
    <x v="1"/>
    <x v="5"/>
    <x v="30"/>
    <x v="30"/>
    <s v="MM3"/>
    <s v="General Fund"/>
    <n v="0"/>
  </r>
  <r>
    <x v="2"/>
    <x v="0"/>
    <x v="31"/>
    <x v="31"/>
    <s v="M03"/>
    <s v="General Fund"/>
    <n v="2082698.13"/>
  </r>
  <r>
    <x v="0"/>
    <x v="3"/>
    <x v="27"/>
    <x v="27"/>
    <s v="M03"/>
    <s v="Federal Grants Fund"/>
    <n v="1435824.3"/>
  </r>
  <r>
    <x v="1"/>
    <x v="3"/>
    <x v="32"/>
    <x v="32"/>
    <s v="M03"/>
    <s v="General Fund"/>
    <n v="262887.86"/>
  </r>
  <r>
    <x v="1"/>
    <x v="1"/>
    <x v="33"/>
    <x v="33"/>
    <s v="M03"/>
    <s v="General Fund"/>
    <n v="450000"/>
  </r>
  <r>
    <x v="0"/>
    <x v="7"/>
    <x v="34"/>
    <x v="34"/>
    <s v="M03"/>
    <s v="Federal Grants Fund"/>
    <n v="416026.98"/>
  </r>
  <r>
    <x v="0"/>
    <x v="6"/>
    <x v="35"/>
    <x v="35"/>
    <s v="MM3"/>
    <s v="Federal Grants Fund"/>
    <n v="370000"/>
  </r>
  <r>
    <x v="0"/>
    <x v="0"/>
    <x v="20"/>
    <x v="20"/>
    <s v="MM3"/>
    <s v="General Fund"/>
    <n v="2250561.2599999998"/>
  </r>
  <r>
    <x v="0"/>
    <x v="9"/>
    <x v="36"/>
    <x v="36"/>
    <s v="M03"/>
    <s v="General Fund"/>
    <n v="1422555.61"/>
  </r>
  <r>
    <x v="4"/>
    <x v="0"/>
    <x v="25"/>
    <x v="25"/>
    <s v="MM3"/>
    <s v="General Fund"/>
    <n v="3535390.26"/>
  </r>
  <r>
    <x v="2"/>
    <x v="6"/>
    <x v="37"/>
    <x v="37"/>
    <s v="MM3"/>
    <s v="Federal Grants Fund"/>
    <n v="1075132.6399999999"/>
  </r>
  <r>
    <x v="2"/>
    <x v="0"/>
    <x v="28"/>
    <x v="28"/>
    <s v="M03"/>
    <s v="General Fund"/>
    <n v="880904.14"/>
  </r>
  <r>
    <x v="1"/>
    <x v="6"/>
    <x v="38"/>
    <x v="38"/>
    <s v="MM3"/>
    <s v="General Fund"/>
    <n v="5659652.5599999996"/>
  </r>
  <r>
    <x v="2"/>
    <x v="6"/>
    <x v="39"/>
    <x v="39"/>
    <s v="M04"/>
    <s v="Federal Grants Fund"/>
    <n v="326501.74"/>
  </r>
  <r>
    <x v="1"/>
    <x v="7"/>
    <x v="40"/>
    <x v="40"/>
    <s v="M03"/>
    <s v="General Fund"/>
    <n v="66525.990000000005"/>
  </r>
  <r>
    <x v="2"/>
    <x v="0"/>
    <x v="26"/>
    <x v="26"/>
    <s v="MM3"/>
    <s v="General Fund"/>
    <n v="116601.34"/>
  </r>
  <r>
    <x v="1"/>
    <x v="0"/>
    <x v="41"/>
    <x v="41"/>
    <s v="MM3"/>
    <s v="General Fund"/>
    <n v="833798.69"/>
  </r>
  <r>
    <x v="0"/>
    <x v="7"/>
    <x v="42"/>
    <x v="42"/>
    <s v="M03"/>
    <s v="General Fund"/>
    <n v="65360"/>
  </r>
  <r>
    <x v="1"/>
    <x v="7"/>
    <x v="43"/>
    <x v="43"/>
    <s v="M03"/>
    <s v="Federal Grants Fund"/>
    <n v="54405.25"/>
  </r>
  <r>
    <x v="2"/>
    <x v="0"/>
    <x v="44"/>
    <x v="44"/>
    <s v="M03"/>
    <s v="General Fund"/>
    <n v="3364.35"/>
  </r>
  <r>
    <x v="0"/>
    <x v="8"/>
    <x v="45"/>
    <x v="45"/>
    <s v="M03"/>
    <s v="Federal Grants Fund"/>
    <n v="635904.76"/>
  </r>
  <r>
    <x v="1"/>
    <x v="9"/>
    <x v="46"/>
    <x v="46"/>
    <s v="M03"/>
    <s v="General Fund"/>
    <n v="796467.51"/>
  </r>
  <r>
    <x v="3"/>
    <x v="7"/>
    <x v="47"/>
    <x v="47"/>
    <s v="M03"/>
    <s v="Trust Fund For the Head Injury Treatment Service Fund"/>
    <n v="2782283.27"/>
  </r>
  <r>
    <x v="1"/>
    <x v="0"/>
    <x v="48"/>
    <x v="48"/>
    <s v="MM3"/>
    <s v="General Fund"/>
    <n v="278802.01"/>
  </r>
  <r>
    <x v="2"/>
    <x v="0"/>
    <x v="49"/>
    <x v="49"/>
    <s v="M03"/>
    <s v="General Fund"/>
    <n v="162170.23000000001"/>
  </r>
  <r>
    <x v="1"/>
    <x v="0"/>
    <x v="26"/>
    <x v="26"/>
    <s v="M03"/>
    <s v="General Fund"/>
    <n v="419321.58"/>
  </r>
  <r>
    <x v="3"/>
    <x v="6"/>
    <x v="50"/>
    <x v="50"/>
    <s v="M04"/>
    <s v="General Fund"/>
    <n v="1216588.6599999999"/>
  </r>
  <r>
    <x v="2"/>
    <x v="7"/>
    <x v="51"/>
    <x v="51"/>
    <s v="M03"/>
    <s v="Federal Grants Fund"/>
    <n v="277926.07"/>
  </r>
  <r>
    <x v="4"/>
    <x v="0"/>
    <x v="52"/>
    <x v="52"/>
    <s v="MM3"/>
    <s v="General Fund"/>
    <n v="3743740.52"/>
  </r>
  <r>
    <x v="0"/>
    <x v="0"/>
    <x v="53"/>
    <x v="53"/>
    <s v="MM3"/>
    <s v="General Fund"/>
    <n v="44714.52"/>
  </r>
  <r>
    <x v="4"/>
    <x v="1"/>
    <x v="54"/>
    <x v="54"/>
    <s v="M03"/>
    <s v="General Fund"/>
    <n v="797842.82"/>
  </r>
  <r>
    <x v="0"/>
    <x v="7"/>
    <x v="55"/>
    <x v="55"/>
    <s v="M03"/>
    <s v="Trust Fund For the Head Injury Treatment Service Fund"/>
    <n v="35055"/>
  </r>
  <r>
    <x v="1"/>
    <x v="5"/>
    <x v="5"/>
    <x v="5"/>
    <s v="MM3"/>
    <s v="Federal Grants Fund"/>
    <n v="666136.80000000005"/>
  </r>
  <r>
    <x v="1"/>
    <x v="6"/>
    <x v="56"/>
    <x v="56"/>
    <s v="MM3"/>
    <s v="General Fund"/>
    <n v="1896537.74"/>
  </r>
  <r>
    <x v="2"/>
    <x v="0"/>
    <x v="57"/>
    <x v="57"/>
    <s v="MM3"/>
    <s v="General Fund"/>
    <n v="11924.31"/>
  </r>
  <r>
    <x v="4"/>
    <x v="0"/>
    <x v="58"/>
    <x v="58"/>
    <s v="MM3"/>
    <s v="General Fund"/>
    <n v="67117.02"/>
  </r>
  <r>
    <x v="3"/>
    <x v="5"/>
    <x v="59"/>
    <x v="59"/>
    <s v="M04"/>
    <s v="General Fund"/>
    <n v="71736"/>
  </r>
  <r>
    <x v="0"/>
    <x v="5"/>
    <x v="60"/>
    <x v="60"/>
    <s v="M04"/>
    <s v="Federal Grants Fund"/>
    <n v="210635"/>
  </r>
  <r>
    <x v="4"/>
    <x v="6"/>
    <x v="61"/>
    <x v="61"/>
    <s v="M04"/>
    <s v="General Fund"/>
    <n v="563484.63"/>
  </r>
  <r>
    <x v="0"/>
    <x v="6"/>
    <x v="62"/>
    <x v="62"/>
    <s v="MM3"/>
    <s v="Substance Abuse Services Fund"/>
    <n v="1007140.59"/>
  </r>
  <r>
    <x v="1"/>
    <x v="6"/>
    <x v="63"/>
    <x v="63"/>
    <s v="M04"/>
    <s v="Substance Abuse Services Fund"/>
    <n v="734163.16"/>
  </r>
  <r>
    <x v="2"/>
    <x v="3"/>
    <x v="64"/>
    <x v="64"/>
    <s v="M04"/>
    <s v="Federal Grants Fund"/>
    <n v="285000"/>
  </r>
  <r>
    <x v="1"/>
    <x v="0"/>
    <x v="65"/>
    <x v="65"/>
    <s v="M03"/>
    <s v="General Fund"/>
    <n v="5535"/>
  </r>
  <r>
    <x v="4"/>
    <x v="0"/>
    <x v="66"/>
    <x v="66"/>
    <s v="MM3"/>
    <s v="Intragovernmental Services Fund"/>
    <n v="0"/>
  </r>
  <r>
    <x v="5"/>
    <x v="5"/>
    <x v="67"/>
    <x v="67"/>
    <s v="M03"/>
    <s v="General Fund"/>
    <n v="955308.72"/>
  </r>
  <r>
    <x v="5"/>
    <x v="10"/>
    <x v="68"/>
    <x v="68"/>
    <s v="M03"/>
    <s v="General Fund"/>
    <n v="17905300.699999999"/>
  </r>
  <r>
    <x v="5"/>
    <x v="2"/>
    <x v="69"/>
    <x v="69"/>
    <s v="M03"/>
    <s v="General Fund"/>
    <n v="6310300.5800000001"/>
  </r>
  <r>
    <x v="5"/>
    <x v="2"/>
    <x v="70"/>
    <x v="70"/>
    <s v="M03"/>
    <s v="General Fund"/>
    <n v="11111051.560000001"/>
  </r>
  <r>
    <x v="5"/>
    <x v="6"/>
    <x v="71"/>
    <x v="71"/>
    <s v="M04"/>
    <s v="Federal Grants Fund"/>
    <n v="68093.23"/>
  </r>
  <r>
    <x v="5"/>
    <x v="9"/>
    <x v="72"/>
    <x v="72"/>
    <s v="M03"/>
    <s v="General Fund"/>
    <n v="22358790.170000002"/>
  </r>
  <r>
    <x v="2"/>
    <x v="0"/>
    <x v="10"/>
    <x v="10"/>
    <s v="MM3"/>
    <s v="Expendable Trust Fund - External"/>
    <n v="75332.759999999995"/>
  </r>
  <r>
    <x v="2"/>
    <x v="0"/>
    <x v="73"/>
    <x v="73"/>
    <s v="MM3"/>
    <s v="General Fund"/>
    <n v="16405.63"/>
  </r>
  <r>
    <x v="4"/>
    <x v="5"/>
    <x v="74"/>
    <x v="74"/>
    <s v="MM3"/>
    <s v="General Fund"/>
    <n v="118098.56"/>
  </r>
  <r>
    <x v="1"/>
    <x v="5"/>
    <x v="75"/>
    <x v="75"/>
    <s v="M04"/>
    <s v="Expendable Trust Fund - External"/>
    <n v="113660"/>
  </r>
  <r>
    <x v="1"/>
    <x v="5"/>
    <x v="75"/>
    <x v="75"/>
    <s v="M03"/>
    <s v="General Fund"/>
    <n v="1017158"/>
  </r>
  <r>
    <x v="0"/>
    <x v="5"/>
    <x v="76"/>
    <x v="76"/>
    <s v="M04"/>
    <s v="Federal Grants Fund"/>
    <n v="16000"/>
  </r>
  <r>
    <x v="4"/>
    <x v="6"/>
    <x v="77"/>
    <x v="77"/>
    <s v="MM3"/>
    <s v="Federal Grants Fund"/>
    <n v="294174.90000000002"/>
  </r>
  <r>
    <x v="5"/>
    <x v="6"/>
    <x v="78"/>
    <x v="78"/>
    <s v="M04"/>
    <s v="Federal Grants Fund"/>
    <n v="387831.94"/>
  </r>
  <r>
    <x v="5"/>
    <x v="6"/>
    <x v="78"/>
    <x v="78"/>
    <s v="M04"/>
    <s v="General Fund"/>
    <n v="732726.37"/>
  </r>
  <r>
    <x v="5"/>
    <x v="5"/>
    <x v="30"/>
    <x v="30"/>
    <s v="M04"/>
    <s v="General Fund"/>
    <n v="3103516.33"/>
  </r>
  <r>
    <x v="5"/>
    <x v="0"/>
    <x v="79"/>
    <x v="79"/>
    <s v="MM3"/>
    <s v="General Fund"/>
    <n v="359118.97"/>
  </r>
  <r>
    <x v="3"/>
    <x v="0"/>
    <x v="80"/>
    <x v="80"/>
    <s v="M03"/>
    <s v="General Fund"/>
    <n v="111376.93"/>
  </r>
  <r>
    <x v="2"/>
    <x v="6"/>
    <x v="81"/>
    <x v="81"/>
    <s v="MM3"/>
    <s v="General Fund"/>
    <n v="424657.46"/>
  </r>
  <r>
    <x v="0"/>
    <x v="6"/>
    <x v="82"/>
    <x v="82"/>
    <s v="MM3"/>
    <s v="Federal Grants Fund"/>
    <n v="130822.87"/>
  </r>
  <r>
    <x v="4"/>
    <x v="6"/>
    <x v="83"/>
    <x v="83"/>
    <s v="MM3"/>
    <s v="Substance Abuse Services Fund"/>
    <n v="530837.42000000004"/>
  </r>
  <r>
    <x v="2"/>
    <x v="0"/>
    <x v="84"/>
    <x v="84"/>
    <s v="M04"/>
    <s v="General Fund"/>
    <n v="1241669"/>
  </r>
  <r>
    <x v="0"/>
    <x v="6"/>
    <x v="85"/>
    <x v="85"/>
    <s v="MM3"/>
    <s v="General Fund"/>
    <n v="299000"/>
  </r>
  <r>
    <x v="4"/>
    <x v="6"/>
    <x v="35"/>
    <x v="35"/>
    <s v="M03"/>
    <s v="General Fund"/>
    <n v="125000"/>
  </r>
  <r>
    <x v="4"/>
    <x v="0"/>
    <x v="84"/>
    <x v="84"/>
    <s v="M04"/>
    <s v="Expendable Trust Fund - External"/>
    <n v="0"/>
  </r>
  <r>
    <x v="5"/>
    <x v="6"/>
    <x v="86"/>
    <x v="86"/>
    <s v="M04"/>
    <s v="Distressed Hospital Trust Fund"/>
    <n v="104547.87"/>
  </r>
  <r>
    <x v="4"/>
    <x v="6"/>
    <x v="87"/>
    <x v="87"/>
    <s v="M04"/>
    <s v="Prevention and Wellness Trust Fund"/>
    <n v="186277.65"/>
  </r>
  <r>
    <x v="4"/>
    <x v="7"/>
    <x v="55"/>
    <x v="55"/>
    <s v="M03"/>
    <s v="Trust Fund For the Head Injury Treatment Service Fund"/>
    <n v="-24049.48"/>
  </r>
  <r>
    <x v="5"/>
    <x v="0"/>
    <x v="88"/>
    <x v="88"/>
    <s v="M04"/>
    <s v="Intragovernmental Services Fund"/>
    <n v="232864.52"/>
  </r>
  <r>
    <x v="5"/>
    <x v="3"/>
    <x v="89"/>
    <x v="89"/>
    <s v="M03"/>
    <s v="General Fund"/>
    <n v="570897.61"/>
  </r>
  <r>
    <x v="5"/>
    <x v="1"/>
    <x v="90"/>
    <x v="90"/>
    <s v="M03"/>
    <s v="General Fund"/>
    <n v="266229.62"/>
  </r>
  <r>
    <x v="0"/>
    <x v="6"/>
    <x v="91"/>
    <x v="91"/>
    <s v="M04"/>
    <s v="General Fund"/>
    <n v="906450"/>
  </r>
  <r>
    <x v="3"/>
    <x v="5"/>
    <x v="92"/>
    <x v="92"/>
    <s v="MM3"/>
    <s v="General Fund"/>
    <n v="357269.54"/>
  </r>
  <r>
    <x v="3"/>
    <x v="0"/>
    <x v="93"/>
    <x v="93"/>
    <s v="M04"/>
    <s v="General Fund"/>
    <n v="76438"/>
  </r>
  <r>
    <x v="2"/>
    <x v="5"/>
    <x v="94"/>
    <x v="94"/>
    <s v="M03"/>
    <s v="Federal Grants Fund"/>
    <n v="15305.8"/>
  </r>
  <r>
    <x v="5"/>
    <x v="6"/>
    <x v="95"/>
    <x v="95"/>
    <s v="M04"/>
    <s v="General Fund"/>
    <n v="85882"/>
  </r>
  <r>
    <x v="3"/>
    <x v="11"/>
    <x v="96"/>
    <x v="96"/>
    <s v="M04"/>
    <s v="Expendable Trust Fund - External"/>
    <n v="66667"/>
  </r>
  <r>
    <x v="4"/>
    <x v="0"/>
    <x v="52"/>
    <x v="52"/>
    <s v="M03"/>
    <s v="Expendable Trust Fund - External"/>
    <n v="0"/>
  </r>
  <r>
    <x v="4"/>
    <x v="0"/>
    <x v="97"/>
    <x v="97"/>
    <s v="MM3"/>
    <s v="Expendable Trust Fund - External"/>
    <n v="0"/>
  </r>
  <r>
    <x v="4"/>
    <x v="12"/>
    <x v="98"/>
    <x v="98"/>
    <s v="M03"/>
    <s v="General Fund"/>
    <n v="78401.17"/>
  </r>
  <r>
    <x v="5"/>
    <x v="6"/>
    <x v="99"/>
    <x v="99"/>
    <s v="M04"/>
    <s v="General Fund"/>
    <n v="200000"/>
  </r>
  <r>
    <x v="0"/>
    <x v="7"/>
    <x v="100"/>
    <x v="100"/>
    <s v="M03"/>
    <s v="General Fund"/>
    <n v="127891.37"/>
  </r>
  <r>
    <x v="2"/>
    <x v="4"/>
    <x v="4"/>
    <x v="4"/>
    <s v="M03"/>
    <s v="Expendable Trust Fund - External"/>
    <n v="0"/>
  </r>
  <r>
    <x v="1"/>
    <x v="1"/>
    <x v="101"/>
    <x v="101"/>
    <s v="M03"/>
    <s v="General Fund"/>
    <n v="11741.11"/>
  </r>
  <r>
    <x v="5"/>
    <x v="0"/>
    <x v="102"/>
    <x v="102"/>
    <s v="M03"/>
    <s v="Expendable Trust Fund - External"/>
    <n v="0"/>
  </r>
  <r>
    <x v="5"/>
    <x v="0"/>
    <x v="0"/>
    <x v="0"/>
    <s v="M03"/>
    <s v="Expendable Trust Fund - External"/>
    <n v="0"/>
  </r>
  <r>
    <x v="3"/>
    <x v="0"/>
    <x v="20"/>
    <x v="20"/>
    <s v="M04"/>
    <s v="Expendable Trust Fund - External"/>
    <n v="0"/>
  </r>
  <r>
    <x v="4"/>
    <x v="0"/>
    <x v="48"/>
    <x v="48"/>
    <s v="M03"/>
    <s v="Expendable Trust Fund - External"/>
    <n v="0"/>
  </r>
  <r>
    <x v="2"/>
    <x v="6"/>
    <x v="77"/>
    <x v="77"/>
    <s v="M04"/>
    <s v="General Fund"/>
    <n v="21000"/>
  </r>
  <r>
    <x v="4"/>
    <x v="5"/>
    <x v="59"/>
    <x v="59"/>
    <s v="M04"/>
    <s v="General Fund"/>
    <n v="9042"/>
  </r>
  <r>
    <x v="5"/>
    <x v="0"/>
    <x v="103"/>
    <x v="103"/>
    <s v="M03"/>
    <s v="General Fund"/>
    <n v="67842.039999999994"/>
  </r>
  <r>
    <x v="3"/>
    <x v="0"/>
    <x v="97"/>
    <x v="97"/>
    <s v="MM3"/>
    <s v="Expendable Trust Fund - External"/>
    <n v="0"/>
  </r>
  <r>
    <x v="3"/>
    <x v="0"/>
    <x v="104"/>
    <x v="104"/>
    <s v="M04"/>
    <s v="Expendable Trust Fund - External"/>
    <n v="0"/>
  </r>
  <r>
    <x v="4"/>
    <x v="0"/>
    <x v="105"/>
    <x v="105"/>
    <s v="M03"/>
    <s v="General Fund"/>
    <n v="296329.90999999997"/>
  </r>
  <r>
    <x v="5"/>
    <x v="0"/>
    <x v="106"/>
    <x v="106"/>
    <s v="MM3"/>
    <s v="General Fund"/>
    <n v="0"/>
  </r>
  <r>
    <x v="5"/>
    <x v="1"/>
    <x v="107"/>
    <x v="107"/>
    <s v="M03"/>
    <s v="Federal Grants Fund"/>
    <n v="0"/>
  </r>
  <r>
    <x v="3"/>
    <x v="2"/>
    <x v="108"/>
    <x v="108"/>
    <s v="M03"/>
    <s v="General Fund"/>
    <n v="184139.98"/>
  </r>
  <r>
    <x v="5"/>
    <x v="6"/>
    <x v="109"/>
    <x v="109"/>
    <s v="M03"/>
    <s v="Federal Grants Fund"/>
    <n v="2829.62"/>
  </r>
  <r>
    <x v="0"/>
    <x v="0"/>
    <x v="0"/>
    <x v="0"/>
    <s v="M03"/>
    <s v="Expendable Trust Fund - External"/>
    <n v="37619.67"/>
  </r>
  <r>
    <x v="5"/>
    <x v="0"/>
    <x v="110"/>
    <x v="110"/>
    <s v="M04"/>
    <s v="General Fund"/>
    <n v="0"/>
  </r>
  <r>
    <x v="1"/>
    <x v="6"/>
    <x v="111"/>
    <x v="111"/>
    <s v="M04"/>
    <s v="Federal Highway Construction Program Capital Projects Fund"/>
    <n v="-2696"/>
  </r>
  <r>
    <x v="4"/>
    <x v="3"/>
    <x v="112"/>
    <x v="112"/>
    <s v="M03"/>
    <s v="Federal Grants Fund"/>
    <n v="0"/>
  </r>
  <r>
    <x v="2"/>
    <x v="3"/>
    <x v="113"/>
    <x v="113"/>
    <s v="M04"/>
    <s v="Expendable Trust Fund - External"/>
    <n v="1386"/>
  </r>
  <r>
    <x v="4"/>
    <x v="0"/>
    <x v="11"/>
    <x v="11"/>
    <s v="M03"/>
    <s v="Expendable Trust Fund - External"/>
    <n v="0"/>
  </r>
  <r>
    <x v="1"/>
    <x v="0"/>
    <x v="84"/>
    <x v="84"/>
    <s v="M04"/>
    <s v="General Fund"/>
    <n v="99905.68"/>
  </r>
  <r>
    <x v="2"/>
    <x v="0"/>
    <x v="104"/>
    <x v="104"/>
    <s v="M03"/>
    <s v="Expendable Trust Fund - External"/>
    <n v="-1807.96"/>
  </r>
  <r>
    <x v="1"/>
    <x v="2"/>
    <x v="114"/>
    <x v="114"/>
    <s v="M03"/>
    <s v="General Fund"/>
    <n v="0"/>
  </r>
  <r>
    <x v="2"/>
    <x v="0"/>
    <x v="115"/>
    <x v="115"/>
    <s v="M03"/>
    <s v="Expendable Trust Fund - External"/>
    <n v="4984"/>
  </r>
  <r>
    <x v="2"/>
    <x v="0"/>
    <x v="116"/>
    <x v="116"/>
    <s v="M03"/>
    <s v="Expendable Trust Fund - External"/>
    <n v="13805.68"/>
  </r>
  <r>
    <x v="4"/>
    <x v="3"/>
    <x v="117"/>
    <x v="117"/>
    <s v="M03"/>
    <s v="General Fund"/>
    <n v="0"/>
  </r>
  <r>
    <x v="3"/>
    <x v="6"/>
    <x v="87"/>
    <x v="87"/>
    <s v="M04"/>
    <s v="Suspense Fund"/>
    <n v="1154.0999999999999"/>
  </r>
  <r>
    <x v="3"/>
    <x v="6"/>
    <x v="118"/>
    <x v="118"/>
    <s v="M04"/>
    <s v="General Fund"/>
    <n v="0"/>
  </r>
  <r>
    <x v="4"/>
    <x v="1"/>
    <x v="119"/>
    <x v="119"/>
    <s v="M04"/>
    <s v="Federal Grants Fund"/>
    <n v="0"/>
  </r>
  <r>
    <x v="5"/>
    <x v="0"/>
    <x v="48"/>
    <x v="48"/>
    <s v="M03"/>
    <s v="Expendable Trust Fund - External"/>
    <n v="0"/>
  </r>
  <r>
    <x v="4"/>
    <x v="7"/>
    <x v="120"/>
    <x v="120"/>
    <s v="M03"/>
    <s v="General Fund"/>
    <n v="507.75"/>
  </r>
  <r>
    <x v="0"/>
    <x v="0"/>
    <x v="121"/>
    <x v="121"/>
    <s v="MM3"/>
    <s v="General Fund"/>
    <n v="21142452.969999999"/>
  </r>
  <r>
    <x v="1"/>
    <x v="0"/>
    <x v="104"/>
    <x v="104"/>
    <s v="M04"/>
    <s v="General Fund"/>
    <n v="28357879.010000002"/>
  </r>
  <r>
    <x v="1"/>
    <x v="0"/>
    <x v="122"/>
    <x v="122"/>
    <s v="M04"/>
    <s v="General Fund"/>
    <n v="3302488.67"/>
  </r>
  <r>
    <x v="1"/>
    <x v="6"/>
    <x v="123"/>
    <x v="123"/>
    <s v="M04"/>
    <s v="General Fund"/>
    <n v="1458836.12"/>
  </r>
  <r>
    <x v="3"/>
    <x v="12"/>
    <x v="124"/>
    <x v="124"/>
    <s v="M03"/>
    <s v="Federal Grants Fund"/>
    <n v="6655291.3700000001"/>
  </r>
  <r>
    <x v="3"/>
    <x v="7"/>
    <x v="125"/>
    <x v="125"/>
    <s v="M04"/>
    <s v="Federal Grants Fund"/>
    <n v="434932.52"/>
  </r>
  <r>
    <x v="3"/>
    <x v="0"/>
    <x v="126"/>
    <x v="126"/>
    <s v="M03"/>
    <s v="General Fund"/>
    <n v="1086401.76"/>
  </r>
  <r>
    <x v="3"/>
    <x v="7"/>
    <x v="127"/>
    <x v="127"/>
    <s v="M03"/>
    <s v="Trust Fund For the Head Injury Treatment Service Fund"/>
    <n v="18879.97"/>
  </r>
  <r>
    <x v="3"/>
    <x v="13"/>
    <x v="128"/>
    <x v="128"/>
    <s v="M03"/>
    <s v="General Fund"/>
    <n v="9785044.1199999992"/>
  </r>
  <r>
    <x v="3"/>
    <x v="12"/>
    <x v="129"/>
    <x v="129"/>
    <s v="M03"/>
    <s v="General Fund"/>
    <n v="3510943"/>
  </r>
  <r>
    <x v="2"/>
    <x v="5"/>
    <x v="130"/>
    <x v="130"/>
    <s v="MM3"/>
    <s v="Federal Grants Fund"/>
    <n v="1321313.8"/>
  </r>
  <r>
    <x v="0"/>
    <x v="5"/>
    <x v="131"/>
    <x v="131"/>
    <s v="MM3"/>
    <s v="General Fund"/>
    <n v="6581405.6799999997"/>
  </r>
  <r>
    <x v="0"/>
    <x v="13"/>
    <x v="132"/>
    <x v="132"/>
    <s v="M03"/>
    <s v="General Fund"/>
    <n v="63602613.109999999"/>
  </r>
  <r>
    <x v="3"/>
    <x v="5"/>
    <x v="133"/>
    <x v="133"/>
    <s v="M03"/>
    <s v="General Fund"/>
    <n v="21882301.039999999"/>
  </r>
  <r>
    <x v="3"/>
    <x v="5"/>
    <x v="134"/>
    <x v="134"/>
    <s v="MM3"/>
    <s v="General Fund"/>
    <n v="8655624.9700000007"/>
  </r>
  <r>
    <x v="1"/>
    <x v="5"/>
    <x v="30"/>
    <x v="30"/>
    <s v="M04"/>
    <s v="General Fund"/>
    <n v="3507464.89"/>
  </r>
  <r>
    <x v="3"/>
    <x v="7"/>
    <x v="135"/>
    <x v="135"/>
    <s v="M03"/>
    <s v="Trust Fund For the Head Injury Treatment Service Fund"/>
    <n v="38568.35"/>
  </r>
  <r>
    <x v="3"/>
    <x v="0"/>
    <x v="73"/>
    <x v="73"/>
    <s v="MM3"/>
    <s v="General Fund"/>
    <n v="39406.92"/>
  </r>
  <r>
    <x v="3"/>
    <x v="6"/>
    <x v="87"/>
    <x v="87"/>
    <s v="M04"/>
    <s v="Mass Gaming Control Fund"/>
    <n v="371117.53"/>
  </r>
  <r>
    <x v="1"/>
    <x v="1"/>
    <x v="136"/>
    <x v="121"/>
    <s v="M03"/>
    <s v="General Fund"/>
    <n v="780128.35"/>
  </r>
  <r>
    <x v="0"/>
    <x v="6"/>
    <x v="137"/>
    <x v="136"/>
    <s v="MM3"/>
    <s v="Federal Grants Fund"/>
    <n v="3877961.43"/>
  </r>
  <r>
    <x v="4"/>
    <x v="5"/>
    <x v="138"/>
    <x v="137"/>
    <s v="MM3"/>
    <s v="General Fund"/>
    <n v="2194842.11"/>
  </r>
  <r>
    <x v="2"/>
    <x v="6"/>
    <x v="139"/>
    <x v="138"/>
    <s v="MM3"/>
    <s v="General Fund"/>
    <n v="1565000"/>
  </r>
  <r>
    <x v="2"/>
    <x v="5"/>
    <x v="75"/>
    <x v="75"/>
    <s v="M03"/>
    <s v="General Fund"/>
    <n v="1060700.97"/>
  </r>
  <r>
    <x v="1"/>
    <x v="7"/>
    <x v="140"/>
    <x v="139"/>
    <s v="M03"/>
    <s v="Expendable Trust Fund - External"/>
    <n v="520500"/>
  </r>
  <r>
    <x v="2"/>
    <x v="0"/>
    <x v="141"/>
    <x v="140"/>
    <s v="MM3"/>
    <s v="General Fund"/>
    <n v="234224.53"/>
  </r>
  <r>
    <x v="1"/>
    <x v="6"/>
    <x v="142"/>
    <x v="141"/>
    <s v="M04"/>
    <s v="Federal Grants Fund"/>
    <n v="1596305.21"/>
  </r>
  <r>
    <x v="1"/>
    <x v="0"/>
    <x v="143"/>
    <x v="142"/>
    <s v="M03"/>
    <s v="General Fund"/>
    <n v="0"/>
  </r>
  <r>
    <x v="2"/>
    <x v="6"/>
    <x v="144"/>
    <x v="143"/>
    <s v="M03"/>
    <s v="Federal Grants Fund"/>
    <n v="481532.24"/>
  </r>
  <r>
    <x v="2"/>
    <x v="0"/>
    <x v="53"/>
    <x v="53"/>
    <s v="MM3"/>
    <s v="General Fund"/>
    <n v="49728.54"/>
  </r>
  <r>
    <x v="1"/>
    <x v="7"/>
    <x v="145"/>
    <x v="144"/>
    <s v="M03"/>
    <s v="Federal Grants Fund"/>
    <n v="55271.15"/>
  </r>
  <r>
    <x v="0"/>
    <x v="6"/>
    <x v="146"/>
    <x v="145"/>
    <s v="M04"/>
    <s v="Federal Grants Fund"/>
    <n v="264565.40999999997"/>
  </r>
  <r>
    <x v="2"/>
    <x v="7"/>
    <x v="145"/>
    <x v="144"/>
    <s v="M03"/>
    <s v="Federal Grants Fund"/>
    <n v="43499.9"/>
  </r>
  <r>
    <x v="2"/>
    <x v="6"/>
    <x v="63"/>
    <x v="63"/>
    <s v="M03"/>
    <s v="General Fund"/>
    <n v="1617697"/>
  </r>
  <r>
    <x v="2"/>
    <x v="9"/>
    <x v="24"/>
    <x v="24"/>
    <s v="M03"/>
    <s v="General Fund"/>
    <n v="5318435.4800000004"/>
  </r>
  <r>
    <x v="0"/>
    <x v="0"/>
    <x v="147"/>
    <x v="146"/>
    <s v="MM3"/>
    <s v="General Fund"/>
    <n v="518425.32"/>
  </r>
  <r>
    <x v="2"/>
    <x v="3"/>
    <x v="148"/>
    <x v="147"/>
    <s v="M03"/>
    <s v="Federal Grants Fund"/>
    <n v="2606198.06"/>
  </r>
  <r>
    <x v="2"/>
    <x v="6"/>
    <x v="149"/>
    <x v="148"/>
    <s v="MM3"/>
    <s v="Federal Grants Fund"/>
    <n v="1470594.42"/>
  </r>
  <r>
    <x v="1"/>
    <x v="0"/>
    <x v="150"/>
    <x v="149"/>
    <s v="MM3"/>
    <s v="General Fund"/>
    <n v="39907.74"/>
  </r>
  <r>
    <x v="0"/>
    <x v="4"/>
    <x v="4"/>
    <x v="4"/>
    <s v="M03"/>
    <s v="Federal Grants Fund"/>
    <n v="681718.46"/>
  </r>
  <r>
    <x v="1"/>
    <x v="7"/>
    <x v="151"/>
    <x v="150"/>
    <s v="M03"/>
    <s v="General Fund"/>
    <n v="5685.4"/>
  </r>
  <r>
    <x v="0"/>
    <x v="6"/>
    <x v="152"/>
    <x v="151"/>
    <s v="MM3"/>
    <s v="Federal Grants Fund"/>
    <n v="230664.13"/>
  </r>
  <r>
    <x v="2"/>
    <x v="0"/>
    <x v="103"/>
    <x v="103"/>
    <s v="MM3"/>
    <s v="General Fund"/>
    <n v="51455.79"/>
  </r>
  <r>
    <x v="0"/>
    <x v="2"/>
    <x v="69"/>
    <x v="69"/>
    <s v="M03"/>
    <s v="General Fund"/>
    <n v="4526706"/>
  </r>
  <r>
    <x v="1"/>
    <x v="6"/>
    <x v="153"/>
    <x v="152"/>
    <s v="MM3"/>
    <s v="Federal Grants Fund"/>
    <n v="1238869.9099999999"/>
  </r>
  <r>
    <x v="1"/>
    <x v="0"/>
    <x v="66"/>
    <x v="66"/>
    <s v="MM3"/>
    <s v="Intragovernmental Services Fund"/>
    <n v="419302.77"/>
  </r>
  <r>
    <x v="1"/>
    <x v="3"/>
    <x v="89"/>
    <x v="89"/>
    <s v="M04"/>
    <s v="General Fund"/>
    <n v="162833.70000000001"/>
  </r>
  <r>
    <x v="4"/>
    <x v="0"/>
    <x v="154"/>
    <x v="153"/>
    <s v="MM3"/>
    <s v="General Fund"/>
    <n v="21495325.239999998"/>
  </r>
  <r>
    <x v="4"/>
    <x v="0"/>
    <x v="20"/>
    <x v="20"/>
    <s v="MM3"/>
    <s v="General Fund"/>
    <n v="146628.07999999999"/>
  </r>
  <r>
    <x v="4"/>
    <x v="3"/>
    <x v="6"/>
    <x v="6"/>
    <s v="M03"/>
    <s v="Agency Fund"/>
    <n v="0"/>
  </r>
  <r>
    <x v="3"/>
    <x v="0"/>
    <x v="0"/>
    <x v="0"/>
    <s v="MM3"/>
    <s v="Expendable Trust Fund - External"/>
    <n v="0"/>
  </r>
  <r>
    <x v="3"/>
    <x v="9"/>
    <x v="155"/>
    <x v="154"/>
    <s v="M03"/>
    <s v="General Fund"/>
    <n v="23691.84"/>
  </r>
  <r>
    <x v="1"/>
    <x v="6"/>
    <x v="99"/>
    <x v="99"/>
    <s v="MM3"/>
    <s v="General Fund"/>
    <n v="100000"/>
  </r>
  <r>
    <x v="1"/>
    <x v="14"/>
    <x v="156"/>
    <x v="155"/>
    <s v="M04"/>
    <s v="General Fund"/>
    <n v="1996.55"/>
  </r>
  <r>
    <x v="0"/>
    <x v="6"/>
    <x v="87"/>
    <x v="87"/>
    <s v="M04"/>
    <s v="Federal Grants Fund"/>
    <n v="3871240.69"/>
  </r>
  <r>
    <x v="4"/>
    <x v="1"/>
    <x v="157"/>
    <x v="156"/>
    <s v="M03"/>
    <s v="General Fund"/>
    <n v="12400"/>
  </r>
  <r>
    <x v="2"/>
    <x v="5"/>
    <x v="158"/>
    <x v="157"/>
    <s v="M04"/>
    <s v="General Fund"/>
    <n v="175903.78"/>
  </r>
  <r>
    <x v="1"/>
    <x v="0"/>
    <x v="122"/>
    <x v="122"/>
    <s v="M03"/>
    <s v="Expendable Trust Fund - External"/>
    <n v="0"/>
  </r>
  <r>
    <x v="0"/>
    <x v="0"/>
    <x v="159"/>
    <x v="62"/>
    <s v="M03"/>
    <s v="General Fund"/>
    <n v="4561.3999999999996"/>
  </r>
  <r>
    <x v="4"/>
    <x v="0"/>
    <x v="150"/>
    <x v="149"/>
    <s v="M03"/>
    <s v="General Fund"/>
    <n v="5031.92"/>
  </r>
  <r>
    <x v="3"/>
    <x v="6"/>
    <x v="91"/>
    <x v="91"/>
    <s v="M04"/>
    <s v="General Fund"/>
    <n v="546599.94999999995"/>
  </r>
  <r>
    <x v="1"/>
    <x v="6"/>
    <x v="77"/>
    <x v="77"/>
    <s v="M04"/>
    <s v="Federal Grants Fund"/>
    <n v="210753.58"/>
  </r>
  <r>
    <x v="3"/>
    <x v="5"/>
    <x v="160"/>
    <x v="158"/>
    <s v="M04"/>
    <s v="General Fund"/>
    <n v="138925.57999999999"/>
  </r>
  <r>
    <x v="0"/>
    <x v="0"/>
    <x v="161"/>
    <x v="159"/>
    <s v="MM3"/>
    <s v="General Fund"/>
    <n v="297658.27"/>
  </r>
  <r>
    <x v="4"/>
    <x v="12"/>
    <x v="129"/>
    <x v="129"/>
    <s v="M03"/>
    <s v="General Fund"/>
    <n v="4826440"/>
  </r>
  <r>
    <x v="4"/>
    <x v="6"/>
    <x v="62"/>
    <x v="62"/>
    <s v="MM3"/>
    <s v="General Fund"/>
    <n v="12391220.039999999"/>
  </r>
  <r>
    <x v="5"/>
    <x v="0"/>
    <x v="20"/>
    <x v="20"/>
    <s v="M04"/>
    <s v="General Fund"/>
    <n v="13746546.539999999"/>
  </r>
  <r>
    <x v="5"/>
    <x v="10"/>
    <x v="162"/>
    <x v="160"/>
    <s v="M03"/>
    <s v="General Fund"/>
    <n v="149199874.5"/>
  </r>
  <r>
    <x v="5"/>
    <x v="0"/>
    <x v="97"/>
    <x v="97"/>
    <s v="M03"/>
    <s v="General Fund"/>
    <n v="14734904.65"/>
  </r>
  <r>
    <x v="5"/>
    <x v="6"/>
    <x v="37"/>
    <x v="37"/>
    <s v="MM3"/>
    <s v="General Fund"/>
    <n v="1190404.52"/>
  </r>
  <r>
    <x v="5"/>
    <x v="9"/>
    <x v="163"/>
    <x v="161"/>
    <s v="M03"/>
    <s v="General Fund"/>
    <n v="2195150.65"/>
  </r>
  <r>
    <x v="5"/>
    <x v="5"/>
    <x v="134"/>
    <x v="134"/>
    <s v="MM3"/>
    <s v="General Fund"/>
    <n v="8199998.5300000003"/>
  </r>
  <r>
    <x v="5"/>
    <x v="0"/>
    <x v="11"/>
    <x v="11"/>
    <s v="M03"/>
    <s v="Intragovernmental Services Fund"/>
    <n v="587462.42000000004"/>
  </r>
  <r>
    <x v="4"/>
    <x v="0"/>
    <x v="11"/>
    <x v="11"/>
    <s v="M03"/>
    <s v="General Fund"/>
    <n v="617162.43999999994"/>
  </r>
  <r>
    <x v="2"/>
    <x v="2"/>
    <x v="164"/>
    <x v="162"/>
    <s v="M03"/>
    <s v="Federal Grants Fund"/>
    <n v="254000"/>
  </r>
  <r>
    <x v="4"/>
    <x v="7"/>
    <x v="23"/>
    <x v="23"/>
    <s v="M03"/>
    <s v="General Fund"/>
    <n v="6391532.6500000004"/>
  </r>
  <r>
    <x v="0"/>
    <x v="2"/>
    <x v="164"/>
    <x v="162"/>
    <s v="M03"/>
    <s v="Federal Grants Fund"/>
    <n v="184900"/>
  </r>
  <r>
    <x v="0"/>
    <x v="0"/>
    <x v="104"/>
    <x v="104"/>
    <s v="M03"/>
    <s v="General Fund"/>
    <n v="2013.9"/>
  </r>
  <r>
    <x v="4"/>
    <x v="6"/>
    <x v="152"/>
    <x v="151"/>
    <s v="MM3"/>
    <s v="General Fund"/>
    <n v="1403503.35"/>
  </r>
  <r>
    <x v="2"/>
    <x v="7"/>
    <x v="40"/>
    <x v="40"/>
    <s v="M03"/>
    <s v="Trust Fund For the Head Injury Treatment Service Fund"/>
    <n v="99481.66"/>
  </r>
  <r>
    <x v="2"/>
    <x v="6"/>
    <x v="165"/>
    <x v="163"/>
    <s v="MM3"/>
    <s v="Federal Grants Fund"/>
    <n v="206260.95"/>
  </r>
  <r>
    <x v="1"/>
    <x v="6"/>
    <x v="166"/>
    <x v="164"/>
    <s v="MM3"/>
    <s v="General Fund"/>
    <n v="1109500"/>
  </r>
  <r>
    <x v="4"/>
    <x v="0"/>
    <x v="103"/>
    <x v="103"/>
    <s v="MM3"/>
    <s v="General Fund"/>
    <n v="82784.460000000006"/>
  </r>
  <r>
    <x v="4"/>
    <x v="0"/>
    <x v="167"/>
    <x v="165"/>
    <s v="M03"/>
    <s v="General Fund"/>
    <n v="488851.66"/>
  </r>
  <r>
    <x v="4"/>
    <x v="6"/>
    <x v="166"/>
    <x v="164"/>
    <s v="MM3"/>
    <s v="General Fund"/>
    <n v="1318785.8"/>
  </r>
  <r>
    <x v="4"/>
    <x v="0"/>
    <x v="168"/>
    <x v="166"/>
    <s v="M03"/>
    <s v="General Fund"/>
    <n v="194399.75"/>
  </r>
  <r>
    <x v="4"/>
    <x v="0"/>
    <x v="169"/>
    <x v="167"/>
    <s v="M03"/>
    <s v="General Fund"/>
    <n v="54203.3"/>
  </r>
  <r>
    <x v="4"/>
    <x v="6"/>
    <x v="170"/>
    <x v="168"/>
    <s v="MM3"/>
    <s v="Federal Grants Fund"/>
    <n v="934105.25"/>
  </r>
  <r>
    <x v="5"/>
    <x v="6"/>
    <x v="171"/>
    <x v="169"/>
    <s v="M03"/>
    <s v="General Fund"/>
    <n v="21000"/>
  </r>
  <r>
    <x v="5"/>
    <x v="6"/>
    <x v="19"/>
    <x v="19"/>
    <s v="M03"/>
    <s v="General Fund"/>
    <n v="4253889.1100000003"/>
  </r>
  <r>
    <x v="5"/>
    <x v="0"/>
    <x v="154"/>
    <x v="153"/>
    <s v="M03"/>
    <s v="Expendable Trust Fund - External"/>
    <n v="5589.85"/>
  </r>
  <r>
    <x v="5"/>
    <x v="5"/>
    <x v="76"/>
    <x v="76"/>
    <s v="M04"/>
    <s v="Federal Grants Fund"/>
    <n v="751661.01"/>
  </r>
  <r>
    <x v="4"/>
    <x v="1"/>
    <x v="172"/>
    <x v="170"/>
    <s v="M03"/>
    <s v="General Fund"/>
    <n v="844318.55"/>
  </r>
  <r>
    <x v="4"/>
    <x v="7"/>
    <x v="173"/>
    <x v="104"/>
    <s v="M04"/>
    <s v="General Fund"/>
    <n v="514219.84"/>
  </r>
  <r>
    <x v="3"/>
    <x v="6"/>
    <x v="174"/>
    <x v="171"/>
    <s v="M04"/>
    <s v="Prevention and Wellness Trust Fund"/>
    <n v="0"/>
  </r>
  <r>
    <x v="5"/>
    <x v="0"/>
    <x v="25"/>
    <x v="25"/>
    <s v="MM3"/>
    <s v="General Fund"/>
    <n v="3298595.05"/>
  </r>
  <r>
    <x v="3"/>
    <x v="5"/>
    <x v="134"/>
    <x v="134"/>
    <s v="MM3"/>
    <s v="Expendable Trust Fund - External"/>
    <n v="3712.99"/>
  </r>
  <r>
    <x v="2"/>
    <x v="6"/>
    <x v="175"/>
    <x v="172"/>
    <s v="M03"/>
    <s v="Federal Grants Fund"/>
    <n v="37200.79"/>
  </r>
  <r>
    <x v="1"/>
    <x v="6"/>
    <x v="176"/>
    <x v="173"/>
    <s v="M04"/>
    <s v="General Fund"/>
    <n v="0"/>
  </r>
  <r>
    <x v="4"/>
    <x v="6"/>
    <x v="38"/>
    <x v="38"/>
    <s v="MM3"/>
    <s v="General Fund"/>
    <n v="2494319.56"/>
  </r>
  <r>
    <x v="4"/>
    <x v="6"/>
    <x v="170"/>
    <x v="168"/>
    <s v="M04"/>
    <s v="Federal Grants Fund"/>
    <n v="155915.42000000001"/>
  </r>
  <r>
    <x v="4"/>
    <x v="0"/>
    <x v="177"/>
    <x v="174"/>
    <s v="M03"/>
    <s v="Expendable Trust Fund - External"/>
    <n v="0"/>
  </r>
  <r>
    <x v="4"/>
    <x v="6"/>
    <x v="71"/>
    <x v="71"/>
    <s v="M04"/>
    <s v="Federal Grants Fund"/>
    <n v="29840.79"/>
  </r>
  <r>
    <x v="5"/>
    <x v="7"/>
    <x v="120"/>
    <x v="120"/>
    <s v="M04"/>
    <s v="General Fund"/>
    <n v="102620.72"/>
  </r>
  <r>
    <x v="5"/>
    <x v="0"/>
    <x v="178"/>
    <x v="175"/>
    <s v="MM3"/>
    <s v="General Fund"/>
    <n v="169000.02"/>
  </r>
  <r>
    <x v="5"/>
    <x v="6"/>
    <x v="87"/>
    <x v="87"/>
    <s v="M04"/>
    <s v="General Fund"/>
    <n v="7204635.1900000004"/>
  </r>
  <r>
    <x v="5"/>
    <x v="5"/>
    <x v="138"/>
    <x v="137"/>
    <s v="MM3"/>
    <s v="General Fund"/>
    <n v="733572"/>
  </r>
  <r>
    <x v="4"/>
    <x v="0"/>
    <x v="179"/>
    <x v="176"/>
    <s v="MM3"/>
    <s v="Expendable Trust Fund - External"/>
    <n v="0"/>
  </r>
  <r>
    <x v="5"/>
    <x v="6"/>
    <x v="180"/>
    <x v="177"/>
    <s v="M04"/>
    <s v="Federal Grants Fund"/>
    <n v="49255.92"/>
  </r>
  <r>
    <x v="4"/>
    <x v="1"/>
    <x v="33"/>
    <x v="33"/>
    <s v="M03"/>
    <s v="General Fund"/>
    <n v="468746"/>
  </r>
  <r>
    <x v="3"/>
    <x v="0"/>
    <x v="53"/>
    <x v="53"/>
    <s v="MM3"/>
    <s v="General Fund"/>
    <n v="271428.3"/>
  </r>
  <r>
    <x v="2"/>
    <x v="7"/>
    <x v="42"/>
    <x v="42"/>
    <s v="M03"/>
    <s v="General Fund"/>
    <n v="70080"/>
  </r>
  <r>
    <x v="5"/>
    <x v="6"/>
    <x v="181"/>
    <x v="178"/>
    <s v="M04"/>
    <s v="Federal Grants Fund"/>
    <n v="7083774.96"/>
  </r>
  <r>
    <x v="5"/>
    <x v="6"/>
    <x v="87"/>
    <x v="87"/>
    <s v="M04"/>
    <s v="Logan airport Health Study Trust Fund"/>
    <n v="21725.9"/>
  </r>
  <r>
    <x v="4"/>
    <x v="6"/>
    <x v="182"/>
    <x v="179"/>
    <s v="M04"/>
    <s v="Federal Grants Fund"/>
    <n v="250000.97"/>
  </r>
  <r>
    <x v="2"/>
    <x v="6"/>
    <x v="183"/>
    <x v="180"/>
    <s v="M04"/>
    <s v="Federal Grants Fund"/>
    <n v="1649901.7"/>
  </r>
  <r>
    <x v="4"/>
    <x v="3"/>
    <x v="184"/>
    <x v="181"/>
    <s v="M03"/>
    <s v="General Fund"/>
    <n v="0"/>
  </r>
  <r>
    <x v="3"/>
    <x v="6"/>
    <x v="185"/>
    <x v="182"/>
    <s v="MM3"/>
    <s v="Federal Grants Fund"/>
    <n v="0"/>
  </r>
  <r>
    <x v="5"/>
    <x v="0"/>
    <x v="186"/>
    <x v="183"/>
    <s v="MM3"/>
    <s v="General Fund"/>
    <n v="10438"/>
  </r>
  <r>
    <x v="5"/>
    <x v="0"/>
    <x v="187"/>
    <x v="184"/>
    <s v="M03"/>
    <s v="General Fund"/>
    <n v="3000"/>
  </r>
  <r>
    <x v="0"/>
    <x v="5"/>
    <x v="188"/>
    <x v="185"/>
    <s v="MM3"/>
    <s v="Federal Grants Fund"/>
    <n v="350028"/>
  </r>
  <r>
    <x v="0"/>
    <x v="7"/>
    <x v="16"/>
    <x v="16"/>
    <s v="M03"/>
    <s v="Federal Grants Fund"/>
    <n v="1241.04"/>
  </r>
  <r>
    <x v="1"/>
    <x v="6"/>
    <x v="139"/>
    <x v="138"/>
    <s v="MM3"/>
    <s v="Substance Abuse Services Fund"/>
    <n v="249075.88"/>
  </r>
  <r>
    <x v="4"/>
    <x v="6"/>
    <x v="183"/>
    <x v="180"/>
    <s v="M04"/>
    <s v="General Fund"/>
    <n v="0"/>
  </r>
  <r>
    <x v="1"/>
    <x v="3"/>
    <x v="64"/>
    <x v="64"/>
    <s v="M04"/>
    <s v="General Fund"/>
    <n v="25000"/>
  </r>
  <r>
    <x v="3"/>
    <x v="0"/>
    <x v="189"/>
    <x v="186"/>
    <s v="M03"/>
    <s v="General Fund"/>
    <n v="0"/>
  </r>
  <r>
    <x v="3"/>
    <x v="6"/>
    <x v="190"/>
    <x v="187"/>
    <s v="M03"/>
    <s v="Federal Grants Fund"/>
    <n v="0"/>
  </r>
  <r>
    <x v="4"/>
    <x v="0"/>
    <x v="57"/>
    <x v="57"/>
    <s v="MM3"/>
    <s v="Expendable Trust Fund - External"/>
    <n v="0"/>
  </r>
  <r>
    <x v="5"/>
    <x v="5"/>
    <x v="94"/>
    <x v="94"/>
    <s v="M03"/>
    <s v="General Fund"/>
    <n v="63317.74"/>
  </r>
  <r>
    <x v="2"/>
    <x v="6"/>
    <x v="191"/>
    <x v="188"/>
    <s v="MM3"/>
    <s v="Substance Abuse Services Fund"/>
    <n v="68157.37"/>
  </r>
  <r>
    <x v="3"/>
    <x v="6"/>
    <x v="192"/>
    <x v="189"/>
    <s v="MM3"/>
    <s v="Federal Grants Fund"/>
    <n v="0"/>
  </r>
  <r>
    <x v="5"/>
    <x v="6"/>
    <x v="87"/>
    <x v="87"/>
    <s v="M04"/>
    <s v="Mass Gaming Control Fund"/>
    <n v="133207.32"/>
  </r>
  <r>
    <x v="0"/>
    <x v="3"/>
    <x v="64"/>
    <x v="64"/>
    <s v="M04"/>
    <s v="General Fund"/>
    <n v="25000"/>
  </r>
  <r>
    <x v="5"/>
    <x v="1"/>
    <x v="14"/>
    <x v="14"/>
    <s v="MM3"/>
    <s v="General Fund"/>
    <n v="134.08000000000001"/>
  </r>
  <r>
    <x v="0"/>
    <x v="0"/>
    <x v="193"/>
    <x v="190"/>
    <s v="MM3"/>
    <s v="Expendable Trust Fund - External"/>
    <n v="0"/>
  </r>
  <r>
    <x v="4"/>
    <x v="0"/>
    <x v="79"/>
    <x v="79"/>
    <s v="M03"/>
    <s v="Expendable Trust Fund - External"/>
    <n v="0"/>
  </r>
  <r>
    <x v="0"/>
    <x v="6"/>
    <x v="194"/>
    <x v="191"/>
    <s v="MM3"/>
    <s v="Federal Grants Fund"/>
    <n v="4084"/>
  </r>
  <r>
    <x v="1"/>
    <x v="5"/>
    <x v="195"/>
    <x v="192"/>
    <s v="MM3"/>
    <s v="General Fund"/>
    <n v="0"/>
  </r>
  <r>
    <x v="1"/>
    <x v="6"/>
    <x v="191"/>
    <x v="188"/>
    <s v="MM3"/>
    <s v="Federal Grants Fund"/>
    <n v="1"/>
  </r>
  <r>
    <x v="2"/>
    <x v="6"/>
    <x v="196"/>
    <x v="193"/>
    <s v="MM3"/>
    <s v="Federal Grants Fund"/>
    <n v="117324.15"/>
  </r>
  <r>
    <x v="5"/>
    <x v="2"/>
    <x v="197"/>
    <x v="194"/>
    <s v="M03"/>
    <s v="Federal Grants Fund"/>
    <n v="38194.61"/>
  </r>
  <r>
    <x v="0"/>
    <x v="7"/>
    <x v="198"/>
    <x v="195"/>
    <s v="M03"/>
    <s v="General Fund"/>
    <n v="0"/>
  </r>
  <r>
    <x v="0"/>
    <x v="0"/>
    <x v="84"/>
    <x v="84"/>
    <s v="M03"/>
    <s v="Expendable Trust Fund - External"/>
    <n v="0"/>
  </r>
  <r>
    <x v="0"/>
    <x v="0"/>
    <x v="97"/>
    <x v="97"/>
    <s v="M03"/>
    <s v="Expendable Trust Fund - External"/>
    <n v="0"/>
  </r>
  <r>
    <x v="5"/>
    <x v="6"/>
    <x v="190"/>
    <x v="187"/>
    <s v="M03"/>
    <s v="Federal Grants Fund"/>
    <n v="29189.48"/>
  </r>
  <r>
    <x v="4"/>
    <x v="0"/>
    <x v="199"/>
    <x v="196"/>
    <s v="M04"/>
    <s v="General Fund"/>
    <n v="5479.42"/>
  </r>
  <r>
    <x v="0"/>
    <x v="3"/>
    <x v="89"/>
    <x v="89"/>
    <s v="M04"/>
    <s v="Federal Grants Fund"/>
    <n v="69272"/>
  </r>
  <r>
    <x v="4"/>
    <x v="9"/>
    <x v="200"/>
    <x v="197"/>
    <s v="M03"/>
    <s v="Expendable Trust Fund - External"/>
    <n v="0"/>
  </r>
  <r>
    <x v="5"/>
    <x v="6"/>
    <x v="201"/>
    <x v="198"/>
    <s v="M03"/>
    <s v="Federal Grants Fund"/>
    <n v="0"/>
  </r>
  <r>
    <x v="4"/>
    <x v="0"/>
    <x v="202"/>
    <x v="199"/>
    <s v="MM3"/>
    <s v="General Fund"/>
    <n v="0"/>
  </r>
  <r>
    <x v="1"/>
    <x v="0"/>
    <x v="179"/>
    <x v="176"/>
    <s v="M03"/>
    <s v="General Fund"/>
    <n v="74712.44"/>
  </r>
  <r>
    <x v="1"/>
    <x v="3"/>
    <x v="203"/>
    <x v="200"/>
    <s v="M03"/>
    <s v="General Fund"/>
    <n v="0"/>
  </r>
  <r>
    <x v="1"/>
    <x v="6"/>
    <x v="204"/>
    <x v="201"/>
    <s v="M04"/>
    <s v="Catastrophic Illness in Children Relief Fund"/>
    <n v="1"/>
  </r>
  <r>
    <x v="3"/>
    <x v="0"/>
    <x v="48"/>
    <x v="48"/>
    <s v="MM3"/>
    <s v="Expendable Trust Fund - External"/>
    <n v="0"/>
  </r>
  <r>
    <x v="3"/>
    <x v="0"/>
    <x v="205"/>
    <x v="202"/>
    <s v="M03"/>
    <s v="General Fund"/>
    <n v="28861.26"/>
  </r>
  <r>
    <x v="0"/>
    <x v="5"/>
    <x v="188"/>
    <x v="185"/>
    <s v="MM3"/>
    <s v="General Fund"/>
    <n v="12557218.34"/>
  </r>
  <r>
    <x v="2"/>
    <x v="6"/>
    <x v="87"/>
    <x v="87"/>
    <s v="M04"/>
    <s v="Federal Grants Fund"/>
    <n v="3995185.99"/>
  </r>
  <r>
    <x v="1"/>
    <x v="3"/>
    <x v="27"/>
    <x v="27"/>
    <s v="M03"/>
    <s v="Federal Grants Fund"/>
    <n v="1566395.28"/>
  </r>
  <r>
    <x v="2"/>
    <x v="0"/>
    <x v="97"/>
    <x v="97"/>
    <s v="M03"/>
    <s v="General Fund"/>
    <n v="10799655.59"/>
  </r>
  <r>
    <x v="2"/>
    <x v="1"/>
    <x v="206"/>
    <x v="203"/>
    <s v="M03"/>
    <s v="General Fund"/>
    <n v="199034.6"/>
  </r>
  <r>
    <x v="2"/>
    <x v="2"/>
    <x v="207"/>
    <x v="204"/>
    <s v="M03"/>
    <s v="Federal Grants Fund"/>
    <n v="2595568.83"/>
  </r>
  <r>
    <x v="0"/>
    <x v="6"/>
    <x v="63"/>
    <x v="63"/>
    <s v="M03"/>
    <s v="General Fund"/>
    <n v="1879663.14"/>
  </r>
  <r>
    <x v="3"/>
    <x v="3"/>
    <x v="113"/>
    <x v="113"/>
    <s v="M04"/>
    <s v="Federal Grants Fund"/>
    <n v="304895.23"/>
  </r>
  <r>
    <x v="3"/>
    <x v="7"/>
    <x v="208"/>
    <x v="205"/>
    <s v="M03"/>
    <s v="General Fund"/>
    <n v="903891.12"/>
  </r>
  <r>
    <x v="3"/>
    <x v="6"/>
    <x v="152"/>
    <x v="151"/>
    <s v="M03"/>
    <s v="General Fund"/>
    <n v="2767487"/>
  </r>
  <r>
    <x v="3"/>
    <x v="0"/>
    <x v="177"/>
    <x v="174"/>
    <s v="M03"/>
    <s v="General Fund"/>
    <n v="23497005.649999999"/>
  </r>
  <r>
    <x v="3"/>
    <x v="5"/>
    <x v="209"/>
    <x v="206"/>
    <s v="MM3"/>
    <s v="General Fund"/>
    <n v="15498669.539999999"/>
  </r>
  <r>
    <x v="3"/>
    <x v="0"/>
    <x v="210"/>
    <x v="207"/>
    <s v="M03"/>
    <s v="General Fund"/>
    <n v="290364.63"/>
  </r>
  <r>
    <x v="3"/>
    <x v="7"/>
    <x v="47"/>
    <x v="47"/>
    <s v="M03"/>
    <s v="General Fund"/>
    <n v="17210585.82"/>
  </r>
  <r>
    <x v="3"/>
    <x v="6"/>
    <x v="211"/>
    <x v="208"/>
    <s v="M03"/>
    <s v="General Fund"/>
    <n v="10276195.380000001"/>
  </r>
  <r>
    <x v="1"/>
    <x v="13"/>
    <x v="212"/>
    <x v="209"/>
    <s v="M03"/>
    <s v="General Fund"/>
    <n v="91938880.280000001"/>
  </r>
  <r>
    <x v="2"/>
    <x v="1"/>
    <x v="213"/>
    <x v="210"/>
    <s v="M03"/>
    <s v="General Fund"/>
    <n v="7322801.9900000002"/>
  </r>
  <r>
    <x v="0"/>
    <x v="7"/>
    <x v="127"/>
    <x v="127"/>
    <s v="M03"/>
    <s v="General Fund"/>
    <n v="3160261.51"/>
  </r>
  <r>
    <x v="2"/>
    <x v="0"/>
    <x v="88"/>
    <x v="88"/>
    <s v="MM3"/>
    <s v="General Fund"/>
    <n v="13859959.689999999"/>
  </r>
  <r>
    <x v="0"/>
    <x v="0"/>
    <x v="104"/>
    <x v="104"/>
    <s v="M04"/>
    <s v="General Fund"/>
    <n v="25803228.300000001"/>
  </r>
  <r>
    <x v="1"/>
    <x v="5"/>
    <x v="133"/>
    <x v="133"/>
    <s v="M03"/>
    <s v="General Fund"/>
    <n v="17437031.02"/>
  </r>
  <r>
    <x v="1"/>
    <x v="6"/>
    <x v="146"/>
    <x v="145"/>
    <s v="M04"/>
    <s v="General Fund"/>
    <n v="123715.37"/>
  </r>
  <r>
    <x v="3"/>
    <x v="0"/>
    <x v="11"/>
    <x v="11"/>
    <s v="M03"/>
    <s v="Intragovernmental Services Fund"/>
    <n v="636077.80000000005"/>
  </r>
  <r>
    <x v="3"/>
    <x v="5"/>
    <x v="92"/>
    <x v="92"/>
    <s v="M03"/>
    <s v="General Fund"/>
    <n v="300421.71999999997"/>
  </r>
  <r>
    <x v="3"/>
    <x v="5"/>
    <x v="131"/>
    <x v="131"/>
    <s v="MM3"/>
    <s v="Federal Grants Fund"/>
    <n v="3075026"/>
  </r>
  <r>
    <x v="3"/>
    <x v="2"/>
    <x v="70"/>
    <x v="70"/>
    <s v="M03"/>
    <s v="General Fund"/>
    <n v="9938789.0099999998"/>
  </r>
  <r>
    <x v="3"/>
    <x v="2"/>
    <x v="69"/>
    <x v="69"/>
    <s v="M03"/>
    <s v="General Fund"/>
    <n v="5789610"/>
  </r>
  <r>
    <x v="0"/>
    <x v="5"/>
    <x v="214"/>
    <x v="211"/>
    <s v="MM3"/>
    <s v="General Fund"/>
    <n v="12435023.210000001"/>
  </r>
  <r>
    <x v="3"/>
    <x v="5"/>
    <x v="76"/>
    <x v="76"/>
    <s v="M04"/>
    <s v="Federal Grants Fund"/>
    <n v="780922.83"/>
  </r>
  <r>
    <x v="0"/>
    <x v="0"/>
    <x v="177"/>
    <x v="174"/>
    <s v="MM3"/>
    <s v="General Fund"/>
    <n v="5926526.79"/>
  </r>
  <r>
    <x v="3"/>
    <x v="0"/>
    <x v="215"/>
    <x v="212"/>
    <s v="MM3"/>
    <s v="Expendable Trust Fund - External"/>
    <n v="0"/>
  </r>
  <r>
    <x v="3"/>
    <x v="6"/>
    <x v="139"/>
    <x v="138"/>
    <s v="MM3"/>
    <s v="General Fund"/>
    <n v="3097455.12"/>
  </r>
  <r>
    <x v="3"/>
    <x v="6"/>
    <x v="123"/>
    <x v="123"/>
    <s v="M04"/>
    <s v="Federal Grants Fund"/>
    <n v="458105.67"/>
  </r>
  <r>
    <x v="1"/>
    <x v="0"/>
    <x v="48"/>
    <x v="48"/>
    <s v="M03"/>
    <s v="General Fund"/>
    <n v="889187.89"/>
  </r>
  <r>
    <x v="2"/>
    <x v="6"/>
    <x v="216"/>
    <x v="213"/>
    <s v="MM3"/>
    <s v="General Fund"/>
    <n v="2824998.58"/>
  </r>
  <r>
    <x v="1"/>
    <x v="7"/>
    <x v="208"/>
    <x v="214"/>
    <s v="M03"/>
    <s v="General Fund"/>
    <n v="1673341.36"/>
  </r>
  <r>
    <x v="4"/>
    <x v="5"/>
    <x v="138"/>
    <x v="137"/>
    <s v="MM3"/>
    <s v="Federal Grants Fund"/>
    <n v="69940.639999999999"/>
  </r>
  <r>
    <x v="2"/>
    <x v="0"/>
    <x v="217"/>
    <x v="215"/>
    <s v="M03"/>
    <s v="General Fund"/>
    <n v="1030436.94"/>
  </r>
  <r>
    <x v="0"/>
    <x v="0"/>
    <x v="11"/>
    <x v="11"/>
    <s v="M03"/>
    <s v="General Fund"/>
    <n v="369605.04"/>
  </r>
  <r>
    <x v="2"/>
    <x v="6"/>
    <x v="218"/>
    <x v="216"/>
    <s v="MM3"/>
    <s v="General Fund"/>
    <n v="12367672.51"/>
  </r>
  <r>
    <x v="2"/>
    <x v="9"/>
    <x v="219"/>
    <x v="217"/>
    <s v="M03"/>
    <s v="General Fund"/>
    <n v="11558833.390000001"/>
  </r>
  <r>
    <x v="4"/>
    <x v="10"/>
    <x v="68"/>
    <x v="68"/>
    <s v="M03"/>
    <s v="General Fund"/>
    <n v="15020672.130000001"/>
  </r>
  <r>
    <x v="0"/>
    <x v="6"/>
    <x v="78"/>
    <x v="78"/>
    <s v="M04"/>
    <s v="Federal Grants Fund"/>
    <n v="970001.6"/>
  </r>
  <r>
    <x v="2"/>
    <x v="6"/>
    <x v="139"/>
    <x v="138"/>
    <s v="MM3"/>
    <s v="Federal Grants Fund"/>
    <n v="432493.67"/>
  </r>
  <r>
    <x v="4"/>
    <x v="0"/>
    <x v="220"/>
    <x v="218"/>
    <s v="M03"/>
    <s v="General Fund"/>
    <n v="25743689.739999998"/>
  </r>
  <r>
    <x v="1"/>
    <x v="0"/>
    <x v="221"/>
    <x v="219"/>
    <s v="M03"/>
    <s v="General Fund"/>
    <n v="21373951.940000001"/>
  </r>
  <r>
    <x v="0"/>
    <x v="0"/>
    <x v="79"/>
    <x v="79"/>
    <s v="MM3"/>
    <s v="General Fund"/>
    <n v="767922.79"/>
  </r>
  <r>
    <x v="4"/>
    <x v="7"/>
    <x v="120"/>
    <x v="120"/>
    <s v="M03"/>
    <s v="Expendable Trust Fund - External"/>
    <n v="0"/>
  </r>
  <r>
    <x v="4"/>
    <x v="6"/>
    <x v="21"/>
    <x v="21"/>
    <s v="MM3"/>
    <s v="General Fund"/>
    <n v="340000"/>
  </r>
  <r>
    <x v="4"/>
    <x v="9"/>
    <x v="222"/>
    <x v="220"/>
    <s v="M03"/>
    <s v="General Fund"/>
    <n v="7398846.6399999997"/>
  </r>
  <r>
    <x v="2"/>
    <x v="2"/>
    <x v="197"/>
    <x v="194"/>
    <s v="M03"/>
    <s v="General Fund"/>
    <n v="856590.58"/>
  </r>
  <r>
    <x v="4"/>
    <x v="0"/>
    <x v="223"/>
    <x v="221"/>
    <s v="M03"/>
    <s v="General Fund"/>
    <n v="6454529.1799999997"/>
  </r>
  <r>
    <x v="2"/>
    <x v="2"/>
    <x v="224"/>
    <x v="222"/>
    <s v="M03"/>
    <s v="Federal Grants Fund"/>
    <n v="1754151.34"/>
  </r>
  <r>
    <x v="0"/>
    <x v="3"/>
    <x v="225"/>
    <x v="223"/>
    <s v="M03"/>
    <s v="General Fund"/>
    <n v="209489.6"/>
  </r>
  <r>
    <x v="1"/>
    <x v="6"/>
    <x v="226"/>
    <x v="224"/>
    <s v="MM3"/>
    <s v="Expendable Trust Fund - External"/>
    <n v="365475.25"/>
  </r>
  <r>
    <x v="0"/>
    <x v="9"/>
    <x v="24"/>
    <x v="24"/>
    <s v="M03"/>
    <s v="General Fund"/>
    <n v="5549675.8300000001"/>
  </r>
  <r>
    <x v="1"/>
    <x v="9"/>
    <x v="163"/>
    <x v="161"/>
    <s v="M03"/>
    <s v="General Fund"/>
    <n v="1750730.39"/>
  </r>
  <r>
    <x v="4"/>
    <x v="6"/>
    <x v="137"/>
    <x v="136"/>
    <s v="MM3"/>
    <s v="Federal Grants Fund"/>
    <n v="4996426.2300000004"/>
  </r>
  <r>
    <x v="4"/>
    <x v="0"/>
    <x v="93"/>
    <x v="93"/>
    <s v="M03"/>
    <s v="General Fund"/>
    <n v="2930015.3"/>
  </r>
  <r>
    <x v="1"/>
    <x v="3"/>
    <x v="89"/>
    <x v="89"/>
    <s v="M03"/>
    <s v="General Fund"/>
    <n v="460306.92"/>
  </r>
  <r>
    <x v="2"/>
    <x v="3"/>
    <x v="29"/>
    <x v="29"/>
    <s v="M03"/>
    <s v="Federal Grants Fund"/>
    <n v="0"/>
  </r>
  <r>
    <x v="0"/>
    <x v="3"/>
    <x v="148"/>
    <x v="147"/>
    <s v="M03"/>
    <s v="Federal Grants Fund"/>
    <n v="1756910.37"/>
  </r>
  <r>
    <x v="4"/>
    <x v="3"/>
    <x v="227"/>
    <x v="225"/>
    <s v="M03"/>
    <s v="General Fund"/>
    <n v="0"/>
  </r>
  <r>
    <x v="0"/>
    <x v="2"/>
    <x v="224"/>
    <x v="222"/>
    <s v="M03"/>
    <s v="Federal Grants Fund"/>
    <n v="1719568.62"/>
  </r>
  <r>
    <x v="3"/>
    <x v="0"/>
    <x v="25"/>
    <x v="25"/>
    <s v="M03"/>
    <s v="General Fund"/>
    <n v="937271.85"/>
  </r>
  <r>
    <x v="3"/>
    <x v="6"/>
    <x v="38"/>
    <x v="38"/>
    <s v="M03"/>
    <s v="General Fund"/>
    <n v="1541786.36"/>
  </r>
  <r>
    <x v="2"/>
    <x v="0"/>
    <x v="169"/>
    <x v="167"/>
    <s v="MM3"/>
    <s v="General Fund"/>
    <n v="19288.88"/>
  </r>
  <r>
    <x v="2"/>
    <x v="5"/>
    <x v="133"/>
    <x v="133"/>
    <s v="M03"/>
    <s v="General Fund"/>
    <n v="5309627.3499999996"/>
  </r>
  <r>
    <x v="1"/>
    <x v="4"/>
    <x v="4"/>
    <x v="4"/>
    <s v="M03"/>
    <s v="Federal Grants Fund"/>
    <n v="143478.49"/>
  </r>
  <r>
    <x v="2"/>
    <x v="0"/>
    <x v="97"/>
    <x v="97"/>
    <s v="M03"/>
    <s v="Expendable Trust Fund - External"/>
    <n v="627.29999999999995"/>
  </r>
  <r>
    <x v="3"/>
    <x v="7"/>
    <x v="100"/>
    <x v="100"/>
    <s v="M03"/>
    <s v="Trust Fund For the Head Injury Treatment Service Fund"/>
    <n v="600010.81999999995"/>
  </r>
  <r>
    <x v="3"/>
    <x v="6"/>
    <x v="21"/>
    <x v="21"/>
    <s v="MM3"/>
    <s v="Federal Grants Fund"/>
    <n v="259165.1"/>
  </r>
  <r>
    <x v="0"/>
    <x v="1"/>
    <x v="228"/>
    <x v="226"/>
    <s v="M03"/>
    <s v="General Fund"/>
    <n v="287272"/>
  </r>
  <r>
    <x v="2"/>
    <x v="0"/>
    <x v="229"/>
    <x v="227"/>
    <s v="MM3"/>
    <s v="General Fund"/>
    <n v="32915.699999999997"/>
  </r>
  <r>
    <x v="0"/>
    <x v="7"/>
    <x v="151"/>
    <x v="150"/>
    <s v="M03"/>
    <s v="General Fund"/>
    <n v="132957.89000000001"/>
  </r>
  <r>
    <x v="4"/>
    <x v="2"/>
    <x v="230"/>
    <x v="228"/>
    <s v="M03"/>
    <s v="General Fund"/>
    <n v="1360000"/>
  </r>
  <r>
    <x v="3"/>
    <x v="1"/>
    <x v="231"/>
    <x v="119"/>
    <s v="M04"/>
    <s v="General Fund"/>
    <n v="750"/>
  </r>
  <r>
    <x v="0"/>
    <x v="0"/>
    <x v="116"/>
    <x v="116"/>
    <s v="MM3"/>
    <s v="General Fund"/>
    <n v="1005665.53"/>
  </r>
  <r>
    <x v="4"/>
    <x v="6"/>
    <x v="61"/>
    <x v="61"/>
    <s v="M04"/>
    <s v="Federal Grants Fund"/>
    <n v="830997.84"/>
  </r>
  <r>
    <x v="4"/>
    <x v="6"/>
    <x v="19"/>
    <x v="19"/>
    <s v="M03"/>
    <s v="Federal Grants Fund"/>
    <n v="902210.61"/>
  </r>
  <r>
    <x v="4"/>
    <x v="10"/>
    <x v="232"/>
    <x v="229"/>
    <s v="M04"/>
    <s v="General Fund"/>
    <n v="692102.1"/>
  </r>
  <r>
    <x v="4"/>
    <x v="6"/>
    <x v="144"/>
    <x v="143"/>
    <s v="M03"/>
    <s v="Federal Grants Fund"/>
    <n v="311015.88"/>
  </r>
  <r>
    <x v="5"/>
    <x v="6"/>
    <x v="233"/>
    <x v="230"/>
    <s v="M03"/>
    <s v="Federal Grants Fund"/>
    <n v="3693046.92"/>
  </r>
  <r>
    <x v="5"/>
    <x v="6"/>
    <x v="8"/>
    <x v="8"/>
    <s v="M03"/>
    <s v="Federal Grants Fund"/>
    <n v="16533268.17"/>
  </r>
  <r>
    <x v="5"/>
    <x v="6"/>
    <x v="234"/>
    <x v="231"/>
    <s v="M03"/>
    <s v="General Fund"/>
    <n v="1215591.45"/>
  </r>
  <r>
    <x v="5"/>
    <x v="0"/>
    <x v="58"/>
    <x v="58"/>
    <s v="M03"/>
    <s v="General Fund"/>
    <n v="237742"/>
  </r>
  <r>
    <x v="5"/>
    <x v="6"/>
    <x v="21"/>
    <x v="21"/>
    <s v="MM3"/>
    <s v="General Fund"/>
    <n v="365000"/>
  </r>
  <r>
    <x v="5"/>
    <x v="1"/>
    <x v="235"/>
    <x v="232"/>
    <s v="M03"/>
    <s v="General Fund"/>
    <n v="475328.26"/>
  </r>
  <r>
    <x v="5"/>
    <x v="9"/>
    <x v="219"/>
    <x v="217"/>
    <s v="M03"/>
    <s v="General Fund"/>
    <n v="6078615.1799999997"/>
  </r>
  <r>
    <x v="5"/>
    <x v="1"/>
    <x v="206"/>
    <x v="203"/>
    <s v="M03"/>
    <s v="General Fund"/>
    <n v="105578.07"/>
  </r>
  <r>
    <x v="5"/>
    <x v="5"/>
    <x v="130"/>
    <x v="233"/>
    <s v="MM3"/>
    <s v="Federal Grants Fund"/>
    <n v="3203529.81"/>
  </r>
  <r>
    <x v="1"/>
    <x v="3"/>
    <x v="148"/>
    <x v="147"/>
    <s v="M03"/>
    <s v="Federal Grants Fund"/>
    <n v="1744589.96"/>
  </r>
  <r>
    <x v="0"/>
    <x v="5"/>
    <x v="75"/>
    <x v="75"/>
    <s v="M04"/>
    <s v="General Fund"/>
    <n v="111078"/>
  </r>
  <r>
    <x v="2"/>
    <x v="6"/>
    <x v="236"/>
    <x v="234"/>
    <s v="M04"/>
    <s v="General Fund"/>
    <n v="400000"/>
  </r>
  <r>
    <x v="0"/>
    <x v="5"/>
    <x v="75"/>
    <x v="75"/>
    <s v="M04"/>
    <s v="Federal Grants Fund"/>
    <n v="20000"/>
  </r>
  <r>
    <x v="0"/>
    <x v="6"/>
    <x v="237"/>
    <x v="235"/>
    <s v="MM3"/>
    <s v="Federal Grants Fund"/>
    <n v="1181.1400000000001"/>
  </r>
  <r>
    <x v="1"/>
    <x v="6"/>
    <x v="191"/>
    <x v="188"/>
    <s v="MM3"/>
    <s v="General Fund"/>
    <n v="1612593.15"/>
  </r>
  <r>
    <x v="0"/>
    <x v="6"/>
    <x v="146"/>
    <x v="145"/>
    <s v="M04"/>
    <s v="General Fund"/>
    <n v="123715.37"/>
  </r>
  <r>
    <x v="0"/>
    <x v="0"/>
    <x v="57"/>
    <x v="57"/>
    <s v="MM3"/>
    <s v="General Fund"/>
    <n v="11284.55"/>
  </r>
  <r>
    <x v="4"/>
    <x v="0"/>
    <x v="26"/>
    <x v="26"/>
    <s v="M04"/>
    <s v="General Fund"/>
    <n v="817297.06"/>
  </r>
  <r>
    <x v="4"/>
    <x v="7"/>
    <x v="238"/>
    <x v="236"/>
    <s v="M03"/>
    <s v="Federal Grants Fund"/>
    <n v="1553.5"/>
  </r>
  <r>
    <x v="4"/>
    <x v="0"/>
    <x v="143"/>
    <x v="142"/>
    <s v="MM3"/>
    <s v="General Fund"/>
    <n v="45383.28"/>
  </r>
  <r>
    <x v="5"/>
    <x v="5"/>
    <x v="239"/>
    <x v="237"/>
    <s v="MM3"/>
    <s v="General Fund"/>
    <n v="300108"/>
  </r>
  <r>
    <x v="5"/>
    <x v="6"/>
    <x v="240"/>
    <x v="238"/>
    <s v="M04"/>
    <s v="General Fund"/>
    <n v="11450"/>
  </r>
  <r>
    <x v="4"/>
    <x v="9"/>
    <x v="241"/>
    <x v="239"/>
    <s v="M03"/>
    <s v="General Fund"/>
    <n v="2026257"/>
  </r>
  <r>
    <x v="5"/>
    <x v="7"/>
    <x v="208"/>
    <x v="205"/>
    <s v="M04"/>
    <s v="General Fund"/>
    <n v="40951.65"/>
  </r>
  <r>
    <x v="5"/>
    <x v="5"/>
    <x v="242"/>
    <x v="240"/>
    <s v="MM3"/>
    <s v="Federal Grants Fund"/>
    <n v="161773.92000000001"/>
  </r>
  <r>
    <x v="3"/>
    <x v="6"/>
    <x v="170"/>
    <x v="168"/>
    <s v="MM3"/>
    <s v="Substance Abuse Services Fund"/>
    <n v="0"/>
  </r>
  <r>
    <x v="3"/>
    <x v="6"/>
    <x v="165"/>
    <x v="163"/>
    <s v="MM3"/>
    <s v="Federal Grants Fund"/>
    <n v="216977.45"/>
  </r>
  <r>
    <x v="4"/>
    <x v="14"/>
    <x v="156"/>
    <x v="155"/>
    <s v="M04"/>
    <s v="General Fund"/>
    <n v="7150.5"/>
  </r>
  <r>
    <x v="4"/>
    <x v="0"/>
    <x v="88"/>
    <x v="88"/>
    <s v="M04"/>
    <s v="General Fund"/>
    <n v="4976715.18"/>
  </r>
  <r>
    <x v="2"/>
    <x v="0"/>
    <x v="178"/>
    <x v="175"/>
    <s v="MM3"/>
    <s v="General Fund"/>
    <n v="13800"/>
  </r>
  <r>
    <x v="2"/>
    <x v="0"/>
    <x v="193"/>
    <x v="190"/>
    <s v="MM3"/>
    <s v="Expendable Trust Fund - External"/>
    <n v="2867.06"/>
  </r>
  <r>
    <x v="4"/>
    <x v="7"/>
    <x v="100"/>
    <x v="100"/>
    <s v="M03"/>
    <s v="General Fund"/>
    <n v="677468.5"/>
  </r>
  <r>
    <x v="4"/>
    <x v="6"/>
    <x v="146"/>
    <x v="145"/>
    <s v="M04"/>
    <s v="Federal Grants Fund"/>
    <n v="253907"/>
  </r>
  <r>
    <x v="5"/>
    <x v="6"/>
    <x v="181"/>
    <x v="178"/>
    <s v="M04"/>
    <s v="Massachusetts Aids Fund"/>
    <n v="57884.58"/>
  </r>
  <r>
    <x v="4"/>
    <x v="6"/>
    <x v="19"/>
    <x v="19"/>
    <s v="M04"/>
    <s v="Federal Grants Fund"/>
    <n v="30000"/>
  </r>
  <r>
    <x v="5"/>
    <x v="14"/>
    <x v="156"/>
    <x v="155"/>
    <s v="M04"/>
    <s v="General Fund"/>
    <n v="9477.8799999999992"/>
  </r>
  <r>
    <x v="5"/>
    <x v="8"/>
    <x v="243"/>
    <x v="241"/>
    <s v="M03"/>
    <s v="Federal Grants Fund"/>
    <n v="276256.27"/>
  </r>
  <r>
    <x v="5"/>
    <x v="0"/>
    <x v="169"/>
    <x v="167"/>
    <s v="MM3"/>
    <s v="General Fund"/>
    <n v="11515"/>
  </r>
  <r>
    <x v="5"/>
    <x v="6"/>
    <x v="62"/>
    <x v="62"/>
    <s v="MM3"/>
    <s v="Federal Grants Fund"/>
    <n v="578875.15"/>
  </r>
  <r>
    <x v="5"/>
    <x v="11"/>
    <x v="244"/>
    <x v="242"/>
    <s v="M04"/>
    <s v="General Fund"/>
    <n v="297749.7"/>
  </r>
  <r>
    <x v="5"/>
    <x v="6"/>
    <x v="245"/>
    <x v="243"/>
    <s v="MM3"/>
    <s v="Federal Grants Fund"/>
    <n v="1200024.3799999999"/>
  </r>
  <r>
    <x v="3"/>
    <x v="6"/>
    <x v="19"/>
    <x v="19"/>
    <s v="M04"/>
    <s v="General Fund"/>
    <n v="113941.22"/>
  </r>
  <r>
    <x v="1"/>
    <x v="6"/>
    <x v="50"/>
    <x v="50"/>
    <s v="MM3"/>
    <s v="General Fund"/>
    <n v="20000"/>
  </r>
  <r>
    <x v="0"/>
    <x v="0"/>
    <x v="147"/>
    <x v="146"/>
    <s v="M03"/>
    <s v="General Fund"/>
    <n v="780899.4"/>
  </r>
  <r>
    <x v="1"/>
    <x v="0"/>
    <x v="246"/>
    <x v="244"/>
    <s v="MM3"/>
    <s v="General Fund"/>
    <n v="163967.76"/>
  </r>
  <r>
    <x v="2"/>
    <x v="5"/>
    <x v="247"/>
    <x v="245"/>
    <s v="M03"/>
    <s v="General Fund"/>
    <n v="202411.84"/>
  </r>
  <r>
    <x v="3"/>
    <x v="14"/>
    <x v="156"/>
    <x v="155"/>
    <s v="M04"/>
    <s v="General Fund"/>
    <n v="6516.27"/>
  </r>
  <r>
    <x v="3"/>
    <x v="9"/>
    <x v="248"/>
    <x v="246"/>
    <s v="M03"/>
    <s v="General Fund"/>
    <n v="230528.61"/>
  </r>
  <r>
    <x v="1"/>
    <x v="7"/>
    <x v="15"/>
    <x v="15"/>
    <s v="M03"/>
    <s v="Federal Grants Fund"/>
    <n v="59325"/>
  </r>
  <r>
    <x v="3"/>
    <x v="6"/>
    <x v="249"/>
    <x v="247"/>
    <s v="M03"/>
    <s v="Federal Grants Fund"/>
    <n v="100000"/>
  </r>
  <r>
    <x v="3"/>
    <x v="0"/>
    <x v="221"/>
    <x v="219"/>
    <s v="M04"/>
    <s v="General Fund"/>
    <n v="161998.78"/>
  </r>
  <r>
    <x v="1"/>
    <x v="1"/>
    <x v="250"/>
    <x v="248"/>
    <s v="MM3"/>
    <s v="Expendable Trust Fund - External"/>
    <n v="3966.06"/>
  </r>
  <r>
    <x v="1"/>
    <x v="6"/>
    <x v="35"/>
    <x v="35"/>
    <s v="MM3"/>
    <s v="Federal Grants Fund"/>
    <n v="184578.87"/>
  </r>
  <r>
    <x v="2"/>
    <x v="2"/>
    <x v="230"/>
    <x v="228"/>
    <s v="M03"/>
    <s v="Federal Grants Fund"/>
    <n v="10000"/>
  </r>
  <r>
    <x v="4"/>
    <x v="0"/>
    <x v="102"/>
    <x v="102"/>
    <s v="M03"/>
    <s v="Expendable Trust Fund - External"/>
    <n v="-352.9"/>
  </r>
  <r>
    <x v="4"/>
    <x v="7"/>
    <x v="251"/>
    <x v="249"/>
    <s v="M04"/>
    <s v="Trust Fund For the Head Injury Treatment Service Fund"/>
    <n v="2131.98"/>
  </r>
  <r>
    <x v="5"/>
    <x v="6"/>
    <x v="252"/>
    <x v="250"/>
    <s v="MM3"/>
    <s v="General Fund"/>
    <n v="864181.77"/>
  </r>
  <r>
    <x v="5"/>
    <x v="6"/>
    <x v="253"/>
    <x v="251"/>
    <s v="MM3"/>
    <s v="General Fund"/>
    <n v="1222013.6100000001"/>
  </r>
  <r>
    <x v="5"/>
    <x v="4"/>
    <x v="254"/>
    <x v="252"/>
    <s v="M03"/>
    <s v="Federal Grants Fund"/>
    <n v="10095"/>
  </r>
  <r>
    <x v="3"/>
    <x v="6"/>
    <x v="252"/>
    <x v="253"/>
    <s v="M03"/>
    <s v="Federal Grants Fund"/>
    <n v="235972"/>
  </r>
  <r>
    <x v="3"/>
    <x v="6"/>
    <x v="255"/>
    <x v="254"/>
    <s v="M03"/>
    <s v="General Fund"/>
    <n v="183586"/>
  </r>
  <r>
    <x v="3"/>
    <x v="6"/>
    <x v="166"/>
    <x v="164"/>
    <s v="M04"/>
    <s v="General Fund"/>
    <n v="470551.47"/>
  </r>
  <r>
    <x v="3"/>
    <x v="6"/>
    <x v="182"/>
    <x v="179"/>
    <s v="M04"/>
    <s v="Federal Grants Fund"/>
    <n v="218808.32000000001"/>
  </r>
  <r>
    <x v="0"/>
    <x v="6"/>
    <x v="256"/>
    <x v="255"/>
    <s v="MM3"/>
    <s v="General Fund"/>
    <n v="140848.91"/>
  </r>
  <r>
    <x v="0"/>
    <x v="0"/>
    <x v="147"/>
    <x v="256"/>
    <s v="M03"/>
    <s v="General Fund"/>
    <n v="236041.08"/>
  </r>
  <r>
    <x v="5"/>
    <x v="5"/>
    <x v="257"/>
    <x v="257"/>
    <s v="M03"/>
    <s v="Federal Grants Fund"/>
    <n v="516857"/>
  </r>
  <r>
    <x v="1"/>
    <x v="2"/>
    <x v="258"/>
    <x v="258"/>
    <s v="M03"/>
    <s v="Federal Grants Fund"/>
    <n v="0"/>
  </r>
  <r>
    <x v="0"/>
    <x v="3"/>
    <x v="112"/>
    <x v="112"/>
    <s v="M03"/>
    <s v="General Fund"/>
    <n v="193888"/>
  </r>
  <r>
    <x v="4"/>
    <x v="6"/>
    <x v="91"/>
    <x v="91"/>
    <s v="M04"/>
    <s v="General Fund"/>
    <n v="707384"/>
  </r>
  <r>
    <x v="5"/>
    <x v="1"/>
    <x v="259"/>
    <x v="259"/>
    <s v="M04"/>
    <s v="General Fund"/>
    <n v="0"/>
  </r>
  <r>
    <x v="2"/>
    <x v="6"/>
    <x v="77"/>
    <x v="77"/>
    <s v="M04"/>
    <s v="Federal Grants Fund"/>
    <n v="96689.55"/>
  </r>
  <r>
    <x v="1"/>
    <x v="3"/>
    <x v="117"/>
    <x v="117"/>
    <s v="M03"/>
    <s v="General Fund"/>
    <n v="43251.54"/>
  </r>
  <r>
    <x v="2"/>
    <x v="0"/>
    <x v="260"/>
    <x v="260"/>
    <s v="MM3"/>
    <s v="General Fund"/>
    <n v="26493.74"/>
  </r>
  <r>
    <x v="4"/>
    <x v="0"/>
    <x v="261"/>
    <x v="261"/>
    <s v="M03"/>
    <s v="General Fund"/>
    <n v="21088.46"/>
  </r>
  <r>
    <x v="0"/>
    <x v="6"/>
    <x v="61"/>
    <x v="61"/>
    <s v="M04"/>
    <s v="Federal Highway Construction Program Capital Projects Fund"/>
    <n v="9218"/>
  </r>
  <r>
    <x v="0"/>
    <x v="3"/>
    <x v="262"/>
    <x v="262"/>
    <s v="M03"/>
    <s v="Federal Grants Fund"/>
    <n v="4401.5200000000004"/>
  </r>
  <r>
    <x v="1"/>
    <x v="6"/>
    <x v="263"/>
    <x v="263"/>
    <s v="M04"/>
    <s v="Federal Grants Fund"/>
    <n v="75487.95"/>
  </r>
  <r>
    <x v="4"/>
    <x v="6"/>
    <x v="87"/>
    <x v="87"/>
    <s v="M04"/>
    <s v="Logan airport Health Study Trust Fund"/>
    <n v="9498.7099999999991"/>
  </r>
  <r>
    <x v="0"/>
    <x v="6"/>
    <x v="264"/>
    <x v="264"/>
    <s v="MM3"/>
    <s v="Federal Grants Fund"/>
    <n v="96620.29"/>
  </r>
  <r>
    <x v="4"/>
    <x v="6"/>
    <x v="85"/>
    <x v="85"/>
    <s v="M04"/>
    <s v="Federal Grants Fund"/>
    <n v="8991.77"/>
  </r>
  <r>
    <x v="4"/>
    <x v="3"/>
    <x v="265"/>
    <x v="265"/>
    <s v="M03"/>
    <s v="General Fund"/>
    <n v="0"/>
  </r>
  <r>
    <x v="5"/>
    <x v="6"/>
    <x v="87"/>
    <x v="87"/>
    <s v="M04"/>
    <s v="Suspense Fund"/>
    <n v="155.13999999999999"/>
  </r>
  <r>
    <x v="2"/>
    <x v="14"/>
    <x v="266"/>
    <x v="266"/>
    <s v="M04"/>
    <s v="General Fund"/>
    <n v="0"/>
  </r>
  <r>
    <x v="0"/>
    <x v="6"/>
    <x v="191"/>
    <x v="188"/>
    <s v="MM3"/>
    <s v="Federal Grants Fund"/>
    <n v="64025.279999999999"/>
  </r>
  <r>
    <x v="4"/>
    <x v="5"/>
    <x v="267"/>
    <x v="267"/>
    <s v="MM3"/>
    <s v="General Fund"/>
    <n v="2026.88"/>
  </r>
  <r>
    <x v="2"/>
    <x v="7"/>
    <x v="127"/>
    <x v="127"/>
    <s v="M03"/>
    <s v="Expendable Trust Fund - External"/>
    <n v="12712"/>
  </r>
  <r>
    <x v="1"/>
    <x v="7"/>
    <x v="268"/>
    <x v="268"/>
    <s v="M03"/>
    <s v="General Fund"/>
    <n v="0"/>
  </r>
  <r>
    <x v="3"/>
    <x v="0"/>
    <x v="154"/>
    <x v="153"/>
    <s v="MM3"/>
    <s v="Expendable Trust Fund - External"/>
    <n v="0"/>
  </r>
  <r>
    <x v="3"/>
    <x v="0"/>
    <x v="79"/>
    <x v="79"/>
    <s v="MM3"/>
    <s v="Expendable Trust Fund - External"/>
    <n v="0"/>
  </r>
  <r>
    <x v="1"/>
    <x v="6"/>
    <x v="196"/>
    <x v="193"/>
    <s v="MM3"/>
    <s v="Federal Grants Fund"/>
    <n v="0"/>
  </r>
  <r>
    <x v="1"/>
    <x v="6"/>
    <x v="87"/>
    <x v="87"/>
    <s v="M04"/>
    <s v="Mass Gaming Control Fund"/>
    <n v="21858"/>
  </r>
  <r>
    <x v="5"/>
    <x v="0"/>
    <x v="104"/>
    <x v="104"/>
    <s v="MM3"/>
    <s v="General Fund"/>
    <n v="30089.48"/>
  </r>
  <r>
    <x v="1"/>
    <x v="5"/>
    <x v="76"/>
    <x v="76"/>
    <s v="M03"/>
    <s v="General Fund"/>
    <n v="0"/>
  </r>
  <r>
    <x v="1"/>
    <x v="2"/>
    <x v="269"/>
    <x v="269"/>
    <s v="M03"/>
    <s v="General Fund"/>
    <n v="25000"/>
  </r>
  <r>
    <x v="0"/>
    <x v="0"/>
    <x v="223"/>
    <x v="221"/>
    <s v="M03"/>
    <s v="Expendable Trust Fund - External"/>
    <n v="0"/>
  </r>
  <r>
    <x v="2"/>
    <x v="7"/>
    <x v="47"/>
    <x v="47"/>
    <s v="M03"/>
    <s v="Expendable Trust Fund - External"/>
    <n v="6051.24"/>
  </r>
  <r>
    <x v="3"/>
    <x v="5"/>
    <x v="270"/>
    <x v="270"/>
    <s v="M04"/>
    <s v="General Fund"/>
    <n v="7648.13"/>
  </r>
  <r>
    <x v="4"/>
    <x v="3"/>
    <x v="112"/>
    <x v="112"/>
    <s v="M03"/>
    <s v="General Fund"/>
    <n v="0"/>
  </r>
  <r>
    <x v="0"/>
    <x v="0"/>
    <x v="97"/>
    <x v="97"/>
    <s v="MM3"/>
    <s v="General Fund"/>
    <n v="10218040.939999999"/>
  </r>
  <r>
    <x v="1"/>
    <x v="0"/>
    <x v="121"/>
    <x v="121"/>
    <s v="M03"/>
    <s v="General Fund"/>
    <n v="34750986.640000001"/>
  </r>
  <r>
    <x v="1"/>
    <x v="0"/>
    <x v="177"/>
    <x v="174"/>
    <s v="M03"/>
    <s v="General Fund"/>
    <n v="22509216.219999999"/>
  </r>
  <r>
    <x v="3"/>
    <x v="7"/>
    <x v="271"/>
    <x v="271"/>
    <s v="M03"/>
    <s v="General Fund"/>
    <n v="1214833.68"/>
  </r>
  <r>
    <x v="3"/>
    <x v="0"/>
    <x v="223"/>
    <x v="221"/>
    <s v="M03"/>
    <s v="General Fund"/>
    <n v="7382639.7000000002"/>
  </r>
  <r>
    <x v="3"/>
    <x v="2"/>
    <x v="272"/>
    <x v="272"/>
    <s v="M03"/>
    <s v="Federal Grants Fund"/>
    <n v="6338798.8600000003"/>
  </r>
  <r>
    <x v="3"/>
    <x v="0"/>
    <x v="217"/>
    <x v="215"/>
    <s v="M03"/>
    <s v="General Fund"/>
    <n v="1319266.46"/>
  </r>
  <r>
    <x v="3"/>
    <x v="0"/>
    <x v="122"/>
    <x v="122"/>
    <s v="M04"/>
    <s v="General Fund"/>
    <n v="8899384.0199999996"/>
  </r>
  <r>
    <x v="3"/>
    <x v="6"/>
    <x v="142"/>
    <x v="141"/>
    <s v="M04"/>
    <s v="Federal Grants Fund"/>
    <n v="1847332.92"/>
  </r>
  <r>
    <x v="1"/>
    <x v="7"/>
    <x v="16"/>
    <x v="16"/>
    <s v="M03"/>
    <s v="General Fund"/>
    <n v="959863.02"/>
  </r>
  <r>
    <x v="0"/>
    <x v="0"/>
    <x v="126"/>
    <x v="126"/>
    <s v="M03"/>
    <s v="General Fund"/>
    <n v="540834"/>
  </r>
  <r>
    <x v="0"/>
    <x v="5"/>
    <x v="133"/>
    <x v="133"/>
    <s v="M03"/>
    <s v="General Fund"/>
    <n v="18761608.91"/>
  </r>
  <r>
    <x v="0"/>
    <x v="1"/>
    <x v="213"/>
    <x v="273"/>
    <s v="M03"/>
    <s v="General Fund"/>
    <n v="6383846.2599999998"/>
  </r>
  <r>
    <x v="0"/>
    <x v="3"/>
    <x v="64"/>
    <x v="64"/>
    <s v="M03"/>
    <s v="General Fund"/>
    <n v="5090978.74"/>
  </r>
  <r>
    <x v="2"/>
    <x v="0"/>
    <x v="273"/>
    <x v="274"/>
    <s v="MM3"/>
    <s v="General Fund"/>
    <n v="14499503.640000001"/>
  </r>
  <r>
    <x v="3"/>
    <x v="7"/>
    <x v="251"/>
    <x v="249"/>
    <s v="M03"/>
    <s v="General Fund"/>
    <n v="1148186.29"/>
  </r>
  <r>
    <x v="3"/>
    <x v="5"/>
    <x v="131"/>
    <x v="131"/>
    <s v="MM3"/>
    <s v="General Fund"/>
    <n v="5597746.4400000004"/>
  </r>
  <r>
    <x v="3"/>
    <x v="0"/>
    <x v="169"/>
    <x v="167"/>
    <s v="M03"/>
    <s v="General Fund"/>
    <n v="192539.31"/>
  </r>
  <r>
    <x v="2"/>
    <x v="6"/>
    <x v="274"/>
    <x v="275"/>
    <s v="MM3"/>
    <s v="General Fund"/>
    <n v="718665.88"/>
  </r>
  <r>
    <x v="1"/>
    <x v="0"/>
    <x v="52"/>
    <x v="52"/>
    <s v="MM3"/>
    <s v="General Fund"/>
    <n v="3481608.24"/>
  </r>
  <r>
    <x v="0"/>
    <x v="15"/>
    <x v="275"/>
    <x v="276"/>
    <s v="M03"/>
    <s v="General Fund"/>
    <n v="1446539"/>
  </r>
  <r>
    <x v="3"/>
    <x v="0"/>
    <x v="102"/>
    <x v="102"/>
    <s v="MM3"/>
    <s v="General Fund"/>
    <n v="299434.65999999997"/>
  </r>
  <r>
    <x v="0"/>
    <x v="9"/>
    <x v="222"/>
    <x v="277"/>
    <s v="M03"/>
    <s v="General Fund"/>
    <n v="11170176.43"/>
  </r>
  <r>
    <x v="2"/>
    <x v="6"/>
    <x v="142"/>
    <x v="141"/>
    <s v="MM3"/>
    <s v="Federal Grants Fund"/>
    <n v="1607308.61"/>
  </r>
  <r>
    <x v="3"/>
    <x v="6"/>
    <x v="276"/>
    <x v="278"/>
    <s v="M04"/>
    <s v="Federal Grants Fund"/>
    <n v="47426.23"/>
  </r>
  <r>
    <x v="3"/>
    <x v="6"/>
    <x v="277"/>
    <x v="279"/>
    <s v="M03"/>
    <s v="General Fund"/>
    <n v="1470009.73"/>
  </r>
  <r>
    <x v="0"/>
    <x v="0"/>
    <x v="52"/>
    <x v="52"/>
    <s v="M03"/>
    <s v="General Fund"/>
    <n v="11661983.82"/>
  </r>
  <r>
    <x v="1"/>
    <x v="3"/>
    <x v="6"/>
    <x v="6"/>
    <s v="M03"/>
    <s v="Agency Fund"/>
    <n v="522901.36"/>
  </r>
  <r>
    <x v="2"/>
    <x v="0"/>
    <x v="278"/>
    <x v="280"/>
    <s v="M03"/>
    <s v="General Fund"/>
    <n v="7243515.96"/>
  </r>
  <r>
    <x v="2"/>
    <x v="0"/>
    <x v="221"/>
    <x v="219"/>
    <s v="MM3"/>
    <s v="Expendable Trust Fund - External"/>
    <n v="1935538.15"/>
  </r>
  <r>
    <x v="0"/>
    <x v="3"/>
    <x v="279"/>
    <x v="281"/>
    <s v="M03"/>
    <s v="General Fund"/>
    <n v="3463330.39"/>
  </r>
  <r>
    <x v="1"/>
    <x v="7"/>
    <x v="100"/>
    <x v="100"/>
    <s v="M03"/>
    <s v="General Fund"/>
    <n v="712967.86"/>
  </r>
  <r>
    <x v="1"/>
    <x v="2"/>
    <x v="70"/>
    <x v="70"/>
    <s v="M03"/>
    <s v="General Fund"/>
    <n v="8698204"/>
  </r>
  <r>
    <x v="4"/>
    <x v="3"/>
    <x v="64"/>
    <x v="64"/>
    <s v="M03"/>
    <s v="General Fund"/>
    <n v="0"/>
  </r>
  <r>
    <x v="0"/>
    <x v="0"/>
    <x v="66"/>
    <x v="66"/>
    <s v="M03"/>
    <s v="Intragovernmental Services Fund"/>
    <n v="3745753.25"/>
  </r>
  <r>
    <x v="4"/>
    <x v="1"/>
    <x v="1"/>
    <x v="1"/>
    <s v="M03"/>
    <s v="General Fund"/>
    <n v="280578.49"/>
  </r>
  <r>
    <x v="4"/>
    <x v="6"/>
    <x v="22"/>
    <x v="22"/>
    <s v="MM3"/>
    <s v="Federal Grants Fund"/>
    <n v="370805.37"/>
  </r>
  <r>
    <x v="0"/>
    <x v="0"/>
    <x v="28"/>
    <x v="28"/>
    <s v="M03"/>
    <s v="General Fund"/>
    <n v="982047.1"/>
  </r>
  <r>
    <x v="2"/>
    <x v="2"/>
    <x v="280"/>
    <x v="282"/>
    <s v="MM3"/>
    <s v="Federal Grants Fund"/>
    <n v="268898.61"/>
  </r>
  <r>
    <x v="0"/>
    <x v="0"/>
    <x v="141"/>
    <x v="140"/>
    <s v="M03"/>
    <s v="General Fund"/>
    <n v="29377.77"/>
  </r>
  <r>
    <x v="0"/>
    <x v="0"/>
    <x v="186"/>
    <x v="183"/>
    <s v="MM3"/>
    <s v="General Fund"/>
    <n v="52442.34"/>
  </r>
  <r>
    <x v="2"/>
    <x v="8"/>
    <x v="17"/>
    <x v="17"/>
    <s v="M03"/>
    <s v="General Fund"/>
    <n v="117000"/>
  </r>
  <r>
    <x v="0"/>
    <x v="6"/>
    <x v="281"/>
    <x v="283"/>
    <s v="MM3"/>
    <s v="General Fund"/>
    <n v="3508207.11"/>
  </r>
  <r>
    <x v="1"/>
    <x v="6"/>
    <x v="175"/>
    <x v="172"/>
    <s v="M03"/>
    <s v="Federal Grants Fund"/>
    <n v="0"/>
  </r>
  <r>
    <x v="0"/>
    <x v="2"/>
    <x v="230"/>
    <x v="228"/>
    <s v="M03"/>
    <s v="General Fund"/>
    <n v="1234826.95"/>
  </r>
  <r>
    <x v="4"/>
    <x v="6"/>
    <x v="78"/>
    <x v="78"/>
    <s v="M04"/>
    <s v="Federal Grants Fund"/>
    <n v="511785.91"/>
  </r>
  <r>
    <x v="0"/>
    <x v="2"/>
    <x v="70"/>
    <x v="70"/>
    <s v="M03"/>
    <s v="General Fund"/>
    <n v="8675872"/>
  </r>
  <r>
    <x v="4"/>
    <x v="2"/>
    <x v="282"/>
    <x v="284"/>
    <s v="M03"/>
    <s v="Federal Grants Fund"/>
    <n v="417969.24"/>
  </r>
  <r>
    <x v="1"/>
    <x v="6"/>
    <x v="61"/>
    <x v="61"/>
    <s v="M04"/>
    <s v="Federal Grants Fund"/>
    <n v="991918.16"/>
  </r>
  <r>
    <x v="1"/>
    <x v="6"/>
    <x v="165"/>
    <x v="163"/>
    <s v="MM3"/>
    <s v="Federal Grants Fund"/>
    <n v="101769.94"/>
  </r>
  <r>
    <x v="0"/>
    <x v="6"/>
    <x v="236"/>
    <x v="234"/>
    <s v="M04"/>
    <s v="Federal Grants Fund"/>
    <n v="3148114.26"/>
  </r>
  <r>
    <x v="2"/>
    <x v="2"/>
    <x v="283"/>
    <x v="285"/>
    <s v="M03"/>
    <s v="General Fund"/>
    <n v="14481742"/>
  </r>
  <r>
    <x v="3"/>
    <x v="7"/>
    <x v="284"/>
    <x v="215"/>
    <s v="M03"/>
    <s v="Trust Fund For the Head Injury Treatment Service Fund"/>
    <n v="96033.35"/>
  </r>
  <r>
    <x v="3"/>
    <x v="6"/>
    <x v="253"/>
    <x v="251"/>
    <s v="M03"/>
    <s v="General Fund"/>
    <n v="6683181.3499999996"/>
  </r>
  <r>
    <x v="1"/>
    <x v="5"/>
    <x v="214"/>
    <x v="286"/>
    <s v="MM3"/>
    <s v="General Fund"/>
    <n v="922424.77"/>
  </r>
  <r>
    <x v="2"/>
    <x v="0"/>
    <x v="126"/>
    <x v="126"/>
    <s v="MM3"/>
    <s v="General Fund"/>
    <n v="57192"/>
  </r>
  <r>
    <x v="3"/>
    <x v="6"/>
    <x v="99"/>
    <x v="99"/>
    <s v="M04"/>
    <s v="General Fund"/>
    <n v="627499.96"/>
  </r>
  <r>
    <x v="3"/>
    <x v="6"/>
    <x v="240"/>
    <x v="238"/>
    <s v="MM3"/>
    <s v="General Fund"/>
    <n v="140719.74"/>
  </r>
  <r>
    <x v="4"/>
    <x v="6"/>
    <x v="285"/>
    <x v="287"/>
    <s v="M04"/>
    <s v="General Fund"/>
    <n v="573531.36"/>
  </r>
  <r>
    <x v="1"/>
    <x v="1"/>
    <x v="286"/>
    <x v="288"/>
    <s v="M03"/>
    <s v="General Fund"/>
    <n v="376175.43"/>
  </r>
  <r>
    <x v="2"/>
    <x v="5"/>
    <x v="30"/>
    <x v="30"/>
    <s v="M03"/>
    <s v="Federal Grants Fund"/>
    <n v="183285"/>
  </r>
  <r>
    <x v="0"/>
    <x v="6"/>
    <x v="287"/>
    <x v="289"/>
    <s v="M04"/>
    <s v="Federal Grants Fund"/>
    <n v="400044.74"/>
  </r>
  <r>
    <x v="1"/>
    <x v="6"/>
    <x v="288"/>
    <x v="290"/>
    <s v="M04"/>
    <s v="Federal Grants Fund"/>
    <n v="100000"/>
  </r>
  <r>
    <x v="3"/>
    <x v="0"/>
    <x v="103"/>
    <x v="103"/>
    <s v="M03"/>
    <s v="General Fund"/>
    <n v="1039.0999999999999"/>
  </r>
  <r>
    <x v="3"/>
    <x v="0"/>
    <x v="73"/>
    <x v="73"/>
    <s v="M03"/>
    <s v="General Fund"/>
    <n v="41011.78"/>
  </r>
  <r>
    <x v="3"/>
    <x v="6"/>
    <x v="174"/>
    <x v="171"/>
    <s v="M04"/>
    <s v="General Fund"/>
    <n v="377920.35"/>
  </r>
  <r>
    <x v="3"/>
    <x v="7"/>
    <x v="284"/>
    <x v="215"/>
    <s v="M03"/>
    <s v="General Fund"/>
    <n v="191150.8"/>
  </r>
  <r>
    <x v="2"/>
    <x v="6"/>
    <x v="171"/>
    <x v="169"/>
    <s v="M03"/>
    <s v="Federal Grants Fund"/>
    <n v="680985.63"/>
  </r>
  <r>
    <x v="4"/>
    <x v="6"/>
    <x v="37"/>
    <x v="37"/>
    <s v="MM3"/>
    <s v="General Fund"/>
    <n v="1197095"/>
  </r>
  <r>
    <x v="0"/>
    <x v="6"/>
    <x v="289"/>
    <x v="291"/>
    <s v="M04"/>
    <s v="General Fund"/>
    <n v="407500"/>
  </r>
  <r>
    <x v="5"/>
    <x v="0"/>
    <x v="11"/>
    <x v="11"/>
    <s v="M03"/>
    <s v="General Fund"/>
    <n v="1057069.46"/>
  </r>
  <r>
    <x v="5"/>
    <x v="0"/>
    <x v="121"/>
    <x v="121"/>
    <s v="MM3"/>
    <s v="Expendable Trust Fund - External"/>
    <n v="-16186.38"/>
  </r>
  <r>
    <x v="5"/>
    <x v="5"/>
    <x v="290"/>
    <x v="292"/>
    <s v="M03"/>
    <s v="General Fund"/>
    <n v="747827.51"/>
  </r>
  <r>
    <x v="5"/>
    <x v="6"/>
    <x v="56"/>
    <x v="56"/>
    <s v="MM3"/>
    <s v="General Fund"/>
    <n v="1870625.98"/>
  </r>
  <r>
    <x v="5"/>
    <x v="6"/>
    <x v="152"/>
    <x v="151"/>
    <s v="M03"/>
    <s v="Federal Grants Fund"/>
    <n v="30000"/>
  </r>
  <r>
    <x v="5"/>
    <x v="6"/>
    <x v="35"/>
    <x v="35"/>
    <s v="M03"/>
    <s v="General Fund"/>
    <n v="190000"/>
  </r>
  <r>
    <x v="1"/>
    <x v="1"/>
    <x v="259"/>
    <x v="259"/>
    <s v="M04"/>
    <s v="General Fund"/>
    <n v="52851"/>
  </r>
  <r>
    <x v="2"/>
    <x v="6"/>
    <x v="56"/>
    <x v="56"/>
    <s v="M03"/>
    <s v="General Fund"/>
    <n v="131326.43"/>
  </r>
  <r>
    <x v="1"/>
    <x v="1"/>
    <x v="291"/>
    <x v="293"/>
    <s v="M03"/>
    <s v="General Fund"/>
    <n v="93390"/>
  </r>
  <r>
    <x v="4"/>
    <x v="6"/>
    <x v="153"/>
    <x v="152"/>
    <s v="MM3"/>
    <s v="Federal Grants Fund"/>
    <n v="1208043.51"/>
  </r>
  <r>
    <x v="4"/>
    <x v="2"/>
    <x v="292"/>
    <x v="294"/>
    <s v="M03"/>
    <s v="Federal Grants Fund"/>
    <n v="1624269.04"/>
  </r>
  <r>
    <x v="4"/>
    <x v="6"/>
    <x v="240"/>
    <x v="238"/>
    <s v="M04"/>
    <s v="General Fund"/>
    <n v="20963.939999999999"/>
  </r>
  <r>
    <x v="4"/>
    <x v="6"/>
    <x v="152"/>
    <x v="151"/>
    <s v="M03"/>
    <s v="Substance Abuse Services Fund"/>
    <n v="428830.88"/>
  </r>
  <r>
    <x v="4"/>
    <x v="6"/>
    <x v="237"/>
    <x v="235"/>
    <s v="MM3"/>
    <s v="Federal Grants Fund"/>
    <n v="412619.19"/>
  </r>
  <r>
    <x v="4"/>
    <x v="0"/>
    <x v="121"/>
    <x v="121"/>
    <s v="M03"/>
    <s v="Expendable Trust Fund - External"/>
    <n v="29.32"/>
  </r>
  <r>
    <x v="5"/>
    <x v="0"/>
    <x v="103"/>
    <x v="103"/>
    <s v="M04"/>
    <s v="Expendable Trust Fund - External"/>
    <n v="373.5"/>
  </r>
  <r>
    <x v="5"/>
    <x v="9"/>
    <x v="293"/>
    <x v="295"/>
    <s v="M03"/>
    <s v="General Fund"/>
    <n v="593628.47"/>
  </r>
  <r>
    <x v="5"/>
    <x v="0"/>
    <x v="18"/>
    <x v="18"/>
    <s v="MM3"/>
    <s v="General Fund"/>
    <n v="684862.18"/>
  </r>
  <r>
    <x v="4"/>
    <x v="5"/>
    <x v="242"/>
    <x v="240"/>
    <s v="M04"/>
    <s v="General Fund"/>
    <n v="829586"/>
  </r>
  <r>
    <x v="4"/>
    <x v="7"/>
    <x v="294"/>
    <x v="296"/>
    <s v="M03"/>
    <s v="Federal Grants Fund"/>
    <n v="683.09"/>
  </r>
  <r>
    <x v="2"/>
    <x v="5"/>
    <x v="138"/>
    <x v="137"/>
    <s v="M03"/>
    <s v="Federal Grants Fund"/>
    <n v="2079238.41"/>
  </r>
  <r>
    <x v="1"/>
    <x v="0"/>
    <x v="0"/>
    <x v="0"/>
    <s v="M03"/>
    <s v="Expendable Trust Fund - External"/>
    <n v="0"/>
  </r>
  <r>
    <x v="3"/>
    <x v="5"/>
    <x v="30"/>
    <x v="30"/>
    <s v="M04"/>
    <s v="General Fund"/>
    <n v="760764"/>
  </r>
  <r>
    <x v="3"/>
    <x v="5"/>
    <x v="295"/>
    <x v="297"/>
    <s v="M03"/>
    <s v="Housing Preservation and Stabilizaion Fund"/>
    <n v="0"/>
  </r>
  <r>
    <x v="3"/>
    <x v="0"/>
    <x v="57"/>
    <x v="57"/>
    <s v="MM3"/>
    <s v="Expendable Trust Fund - External"/>
    <n v="0"/>
  </r>
  <r>
    <x v="3"/>
    <x v="7"/>
    <x v="135"/>
    <x v="135"/>
    <s v="M03"/>
    <s v="General Fund"/>
    <n v="89974.39"/>
  </r>
  <r>
    <x v="1"/>
    <x v="7"/>
    <x v="296"/>
    <x v="298"/>
    <s v="M03"/>
    <s v="General Fund"/>
    <n v="34907.81"/>
  </r>
  <r>
    <x v="1"/>
    <x v="6"/>
    <x v="35"/>
    <x v="35"/>
    <s v="MM3"/>
    <s v="General Fund"/>
    <n v="1289464.93"/>
  </r>
  <r>
    <x v="1"/>
    <x v="5"/>
    <x v="297"/>
    <x v="299"/>
    <s v="M04"/>
    <s v="General Fund"/>
    <n v="4375"/>
  </r>
  <r>
    <x v="4"/>
    <x v="1"/>
    <x v="291"/>
    <x v="293"/>
    <s v="M03"/>
    <s v="General Fund"/>
    <n v="159197.5"/>
  </r>
  <r>
    <x v="4"/>
    <x v="5"/>
    <x v="270"/>
    <x v="270"/>
    <s v="MM3"/>
    <s v="General Fund"/>
    <n v="1917424.7"/>
  </r>
  <r>
    <x v="4"/>
    <x v="5"/>
    <x v="290"/>
    <x v="292"/>
    <s v="M03"/>
    <s v="Federal Grants Fund"/>
    <n v="215790.74"/>
  </r>
  <r>
    <x v="4"/>
    <x v="12"/>
    <x v="124"/>
    <x v="124"/>
    <s v="M03"/>
    <s v="Federal Grants Fund"/>
    <n v="4524143.57"/>
  </r>
  <r>
    <x v="4"/>
    <x v="1"/>
    <x v="266"/>
    <x v="300"/>
    <s v="M04"/>
    <s v="General Fund"/>
    <n v="444327.37"/>
  </r>
  <r>
    <x v="4"/>
    <x v="2"/>
    <x v="298"/>
    <x v="301"/>
    <s v="M03"/>
    <s v="Veterans Independence Plus Initiative Fund"/>
    <n v="1112941.3700000001"/>
  </r>
  <r>
    <x v="4"/>
    <x v="0"/>
    <x v="110"/>
    <x v="110"/>
    <s v="M04"/>
    <s v="General Fund"/>
    <n v="12000"/>
  </r>
  <r>
    <x v="5"/>
    <x v="0"/>
    <x v="299"/>
    <x v="302"/>
    <s v="MM3"/>
    <s v="General Fund"/>
    <n v="7811.24"/>
  </r>
  <r>
    <x v="5"/>
    <x v="0"/>
    <x v="93"/>
    <x v="93"/>
    <s v="MM3"/>
    <s v="General Fund"/>
    <n v="41455.18"/>
  </r>
  <r>
    <x v="4"/>
    <x v="6"/>
    <x v="249"/>
    <x v="247"/>
    <s v="MM3"/>
    <s v="Federal Grants Fund"/>
    <n v="49146.83"/>
  </r>
  <r>
    <x v="5"/>
    <x v="0"/>
    <x v="20"/>
    <x v="20"/>
    <s v="MM3"/>
    <s v="General Fund"/>
    <n v="0"/>
  </r>
  <r>
    <x v="5"/>
    <x v="6"/>
    <x v="300"/>
    <x v="303"/>
    <s v="M04"/>
    <s v="Federal Grants Fund"/>
    <n v="22207.08"/>
  </r>
  <r>
    <x v="5"/>
    <x v="6"/>
    <x v="301"/>
    <x v="304"/>
    <s v="M04"/>
    <s v="General Fund"/>
    <n v="655000"/>
  </r>
  <r>
    <x v="5"/>
    <x v="0"/>
    <x v="103"/>
    <x v="103"/>
    <s v="MM3"/>
    <s v="Expendable Trust Fund - External"/>
    <n v="0"/>
  </r>
  <r>
    <x v="5"/>
    <x v="6"/>
    <x v="180"/>
    <x v="177"/>
    <s v="M03"/>
    <s v="Suspense Fund"/>
    <n v="412407.12"/>
  </r>
  <r>
    <x v="0"/>
    <x v="0"/>
    <x v="177"/>
    <x v="174"/>
    <s v="M03"/>
    <s v="Expendable Trust Fund - External"/>
    <n v="0"/>
  </r>
  <r>
    <x v="2"/>
    <x v="11"/>
    <x v="244"/>
    <x v="242"/>
    <s v="M04"/>
    <s v="Federal Grants Fund"/>
    <n v="2052153.13"/>
  </r>
  <r>
    <x v="0"/>
    <x v="10"/>
    <x v="232"/>
    <x v="229"/>
    <s v="M04"/>
    <s v="General Fund"/>
    <n v="701008.97"/>
  </r>
  <r>
    <x v="4"/>
    <x v="6"/>
    <x v="38"/>
    <x v="38"/>
    <s v="MM3"/>
    <s v="Federal Grants Fund"/>
    <n v="336082.19"/>
  </r>
  <r>
    <x v="1"/>
    <x v="0"/>
    <x v="79"/>
    <x v="79"/>
    <s v="M03"/>
    <s v="Expendable Trust Fund - External"/>
    <n v="0"/>
  </r>
  <r>
    <x v="3"/>
    <x v="3"/>
    <x v="302"/>
    <x v="305"/>
    <s v="MM3"/>
    <s v="General Fund"/>
    <n v="159634.54999999999"/>
  </r>
  <r>
    <x v="4"/>
    <x v="3"/>
    <x v="27"/>
    <x v="27"/>
    <s v="M03"/>
    <s v="Federal Grants Fund"/>
    <n v="0"/>
  </r>
  <r>
    <x v="1"/>
    <x v="6"/>
    <x v="216"/>
    <x v="213"/>
    <s v="MM3"/>
    <s v="Federal Grants Fund"/>
    <n v="34996.550000000003"/>
  </r>
  <r>
    <x v="3"/>
    <x v="0"/>
    <x v="97"/>
    <x v="97"/>
    <s v="M03"/>
    <s v="Expendable Trust Fund - External"/>
    <n v="0"/>
  </r>
  <r>
    <x v="5"/>
    <x v="6"/>
    <x v="77"/>
    <x v="77"/>
    <s v="M04"/>
    <s v="Federal Grants Fund"/>
    <n v="163533.64000000001"/>
  </r>
  <r>
    <x v="3"/>
    <x v="2"/>
    <x v="197"/>
    <x v="194"/>
    <s v="M03"/>
    <s v="Federal Grants Fund"/>
    <n v="4534.6000000000004"/>
  </r>
  <r>
    <x v="0"/>
    <x v="2"/>
    <x v="108"/>
    <x v="108"/>
    <s v="M03"/>
    <s v="General Fund"/>
    <n v="186000"/>
  </r>
  <r>
    <x v="2"/>
    <x v="9"/>
    <x v="303"/>
    <x v="306"/>
    <s v="M03"/>
    <s v="General Fund"/>
    <n v="779888.02"/>
  </r>
  <r>
    <x v="4"/>
    <x v="6"/>
    <x v="301"/>
    <x v="304"/>
    <s v="M04"/>
    <s v="General Fund"/>
    <n v="505000"/>
  </r>
  <r>
    <x v="2"/>
    <x v="6"/>
    <x v="304"/>
    <x v="307"/>
    <s v="MM3"/>
    <s v="General Fund"/>
    <n v="0"/>
  </r>
  <r>
    <x v="1"/>
    <x v="6"/>
    <x v="305"/>
    <x v="308"/>
    <s v="M04"/>
    <s v="General Fund"/>
    <n v="7570542.0300000003"/>
  </r>
  <r>
    <x v="3"/>
    <x v="6"/>
    <x v="306"/>
    <x v="309"/>
    <s v="M04"/>
    <s v="Federal Grants Fund"/>
    <n v="110500"/>
  </r>
  <r>
    <x v="3"/>
    <x v="3"/>
    <x v="307"/>
    <x v="310"/>
    <s v="M04"/>
    <s v="General Fund"/>
    <n v="2308544"/>
  </r>
  <r>
    <x v="3"/>
    <x v="6"/>
    <x v="109"/>
    <x v="109"/>
    <s v="M03"/>
    <s v="Federal Grants Fund"/>
    <n v="50000"/>
  </r>
  <r>
    <x v="1"/>
    <x v="6"/>
    <x v="56"/>
    <x v="56"/>
    <s v="M03"/>
    <s v="General Fund"/>
    <n v="126285.99"/>
  </r>
  <r>
    <x v="5"/>
    <x v="0"/>
    <x v="80"/>
    <x v="80"/>
    <s v="M03"/>
    <s v="General Fund"/>
    <n v="25378.22"/>
  </r>
  <r>
    <x v="1"/>
    <x v="6"/>
    <x v="308"/>
    <x v="311"/>
    <s v="MM3"/>
    <s v="General Fund"/>
    <n v="2036840.37"/>
  </r>
  <r>
    <x v="2"/>
    <x v="0"/>
    <x v="193"/>
    <x v="190"/>
    <s v="M03"/>
    <s v="Expendable Trust Fund - External"/>
    <n v="63250.66"/>
  </r>
  <r>
    <x v="3"/>
    <x v="6"/>
    <x v="152"/>
    <x v="151"/>
    <s v="MM3"/>
    <s v="General Fund"/>
    <n v="0"/>
  </r>
  <r>
    <x v="3"/>
    <x v="11"/>
    <x v="309"/>
    <x v="312"/>
    <s v="M04"/>
    <s v="General Fund"/>
    <n v="0"/>
  </r>
  <r>
    <x v="0"/>
    <x v="5"/>
    <x v="158"/>
    <x v="157"/>
    <s v="MM3"/>
    <s v="General Fund"/>
    <n v="28898.400000000001"/>
  </r>
  <r>
    <x v="5"/>
    <x v="16"/>
    <x v="310"/>
    <x v="313"/>
    <s v="M04"/>
    <s v="Highway Capital Projects Fund"/>
    <n v="0"/>
  </r>
  <r>
    <x v="2"/>
    <x v="0"/>
    <x v="44"/>
    <x v="44"/>
    <s v="MM3"/>
    <s v="General Fund"/>
    <n v="3364.35"/>
  </r>
  <r>
    <x v="1"/>
    <x v="7"/>
    <x v="55"/>
    <x v="55"/>
    <s v="M03"/>
    <s v="Trust Fund For the Head Injury Treatment Service Fund"/>
    <n v="1215"/>
  </r>
  <r>
    <x v="3"/>
    <x v="2"/>
    <x v="311"/>
    <x v="314"/>
    <s v="M03"/>
    <s v="General Fund"/>
    <n v="12300"/>
  </r>
  <r>
    <x v="3"/>
    <x v="7"/>
    <x v="312"/>
    <x v="315"/>
    <s v="M04"/>
    <s v="General Fund"/>
    <n v="347147.37"/>
  </r>
  <r>
    <x v="4"/>
    <x v="0"/>
    <x v="260"/>
    <x v="260"/>
    <s v="MM3"/>
    <s v="General Fund"/>
    <n v="8177.92"/>
  </r>
  <r>
    <x v="0"/>
    <x v="0"/>
    <x v="84"/>
    <x v="84"/>
    <s v="M04"/>
    <s v="Expendable Trust Fund - External"/>
    <n v="0"/>
  </r>
  <r>
    <x v="4"/>
    <x v="5"/>
    <x v="160"/>
    <x v="158"/>
    <s v="M04"/>
    <s v="Federal Grants Fund"/>
    <n v="72277.31"/>
  </r>
  <r>
    <x v="4"/>
    <x v="0"/>
    <x v="229"/>
    <x v="227"/>
    <s v="M03"/>
    <s v="Expendable Trust Fund - External"/>
    <n v="0"/>
  </r>
  <r>
    <x v="1"/>
    <x v="1"/>
    <x v="157"/>
    <x v="156"/>
    <s v="M03"/>
    <s v="General Fund"/>
    <n v="7200"/>
  </r>
  <r>
    <x v="3"/>
    <x v="6"/>
    <x v="204"/>
    <x v="201"/>
    <s v="M04"/>
    <s v="Catastrophic Illness in Children Relief Fund"/>
    <n v="10"/>
  </r>
  <r>
    <x v="2"/>
    <x v="3"/>
    <x v="313"/>
    <x v="316"/>
    <s v="M03"/>
    <s v="General Fund"/>
    <n v="74993.8"/>
  </r>
  <r>
    <x v="1"/>
    <x v="0"/>
    <x v="104"/>
    <x v="104"/>
    <s v="M04"/>
    <s v="Expendable Trust Fund - External"/>
    <n v="0"/>
  </r>
  <r>
    <x v="0"/>
    <x v="0"/>
    <x v="79"/>
    <x v="79"/>
    <s v="M04"/>
    <s v="Expendable Trust Fund - External"/>
    <n v="0"/>
  </r>
  <r>
    <x v="2"/>
    <x v="0"/>
    <x v="314"/>
    <x v="317"/>
    <s v="M03"/>
    <s v="Expendable Trust Fund - External"/>
    <n v="468"/>
  </r>
  <r>
    <x v="5"/>
    <x v="6"/>
    <x v="308"/>
    <x v="311"/>
    <s v="MM3"/>
    <s v="Expendable Trust Fund - External"/>
    <n v="224999.99"/>
  </r>
  <r>
    <x v="5"/>
    <x v="0"/>
    <x v="315"/>
    <x v="318"/>
    <s v="MM3"/>
    <s v="General Fund"/>
    <n v="759.27"/>
  </r>
  <r>
    <x v="4"/>
    <x v="11"/>
    <x v="316"/>
    <x v="319"/>
    <s v="M03"/>
    <s v="General Fund"/>
    <n v="0"/>
  </r>
  <r>
    <x v="3"/>
    <x v="11"/>
    <x v="96"/>
    <x v="96"/>
    <s v="M03"/>
    <s v="General Fund"/>
    <n v="750000"/>
  </r>
  <r>
    <x v="1"/>
    <x v="12"/>
    <x v="317"/>
    <x v="320"/>
    <s v="M03"/>
    <s v="General Fund"/>
    <n v="250000"/>
  </r>
  <r>
    <x v="2"/>
    <x v="6"/>
    <x v="226"/>
    <x v="224"/>
    <s v="MM3"/>
    <s v="General Fund"/>
    <n v="4515.6000000000004"/>
  </r>
  <r>
    <x v="3"/>
    <x v="5"/>
    <x v="318"/>
    <x v="321"/>
    <s v="M03"/>
    <s v="General Fund"/>
    <n v="0"/>
  </r>
  <r>
    <x v="4"/>
    <x v="12"/>
    <x v="319"/>
    <x v="322"/>
    <s v="M03"/>
    <s v="General Fund"/>
    <n v="90000"/>
  </r>
  <r>
    <x v="5"/>
    <x v="7"/>
    <x v="140"/>
    <x v="139"/>
    <s v="M03"/>
    <s v="General Fund"/>
    <n v="7288"/>
  </r>
  <r>
    <x v="5"/>
    <x v="6"/>
    <x v="191"/>
    <x v="188"/>
    <s v="MM3"/>
    <s v="Federal Grants Fund"/>
    <n v="200000"/>
  </r>
  <r>
    <x v="3"/>
    <x v="17"/>
    <x v="320"/>
    <x v="323"/>
    <s v="M04"/>
    <s v="General Fund"/>
    <n v="8630"/>
  </r>
  <r>
    <x v="1"/>
    <x v="0"/>
    <x v="205"/>
    <x v="202"/>
    <s v="M04"/>
    <s v="Federal Grants Fund"/>
    <n v="15000"/>
  </r>
  <r>
    <x v="0"/>
    <x v="6"/>
    <x v="50"/>
    <x v="50"/>
    <s v="MM3"/>
    <s v="General Fund"/>
    <n v="0"/>
  </r>
  <r>
    <x v="1"/>
    <x v="1"/>
    <x v="228"/>
    <x v="226"/>
    <s v="M03"/>
    <s v="General Fund"/>
    <n v="0"/>
  </r>
  <r>
    <x v="3"/>
    <x v="2"/>
    <x v="321"/>
    <x v="324"/>
    <s v="M04"/>
    <s v="Federal Grants Fund"/>
    <n v="67899.990000000005"/>
  </r>
  <r>
    <x v="0"/>
    <x v="0"/>
    <x v="315"/>
    <x v="318"/>
    <s v="M03"/>
    <s v="Expendable Trust Fund - External"/>
    <n v="0"/>
  </r>
  <r>
    <x v="5"/>
    <x v="6"/>
    <x v="256"/>
    <x v="255"/>
    <s v="M04"/>
    <s v="General Fund"/>
    <n v="0"/>
  </r>
  <r>
    <x v="5"/>
    <x v="6"/>
    <x v="174"/>
    <x v="171"/>
    <s v="M04"/>
    <s v="Federal Grants Fund"/>
    <n v="38842"/>
  </r>
  <r>
    <x v="2"/>
    <x v="0"/>
    <x v="187"/>
    <x v="184"/>
    <s v="M04"/>
    <s v="General Fund"/>
    <n v="0"/>
  </r>
  <r>
    <x v="4"/>
    <x v="0"/>
    <x v="178"/>
    <x v="175"/>
    <s v="MM3"/>
    <s v="Expendable Trust Fund - External"/>
    <n v="10600"/>
  </r>
  <r>
    <x v="2"/>
    <x v="7"/>
    <x v="120"/>
    <x v="120"/>
    <s v="M03"/>
    <s v="General Fund"/>
    <n v="2103.0700000000002"/>
  </r>
  <r>
    <x v="2"/>
    <x v="9"/>
    <x v="322"/>
    <x v="325"/>
    <s v="M03"/>
    <s v="General Fund"/>
    <n v="0"/>
  </r>
  <r>
    <x v="5"/>
    <x v="7"/>
    <x v="323"/>
    <x v="326"/>
    <s v="M03"/>
    <s v="Trust Fund For the Head Injury Treatment Service Fund"/>
    <n v="6430"/>
  </r>
  <r>
    <x v="4"/>
    <x v="6"/>
    <x v="216"/>
    <x v="213"/>
    <s v="MM3"/>
    <s v="Federal Grants Fund"/>
    <n v="0"/>
  </r>
  <r>
    <x v="3"/>
    <x v="6"/>
    <x v="245"/>
    <x v="243"/>
    <s v="MM3"/>
    <s v="Federal Grants Fund"/>
    <n v="0"/>
  </r>
  <r>
    <x v="0"/>
    <x v="6"/>
    <x v="191"/>
    <x v="188"/>
    <s v="MM3"/>
    <s v="Substance Abuse Services Fund"/>
    <n v="0"/>
  </r>
  <r>
    <x v="1"/>
    <x v="0"/>
    <x v="103"/>
    <x v="103"/>
    <s v="M03"/>
    <s v="Expendable Trust Fund - External"/>
    <n v="0"/>
  </r>
  <r>
    <x v="2"/>
    <x v="6"/>
    <x v="324"/>
    <x v="327"/>
    <s v="M03"/>
    <s v="Federal Grants Fund"/>
    <n v="6313"/>
  </r>
  <r>
    <x v="3"/>
    <x v="7"/>
    <x v="251"/>
    <x v="249"/>
    <s v="M04"/>
    <s v="Trust Fund For the Head Injury Treatment Service Fund"/>
    <n v="0"/>
  </r>
  <r>
    <x v="1"/>
    <x v="6"/>
    <x v="325"/>
    <x v="328"/>
    <s v="M04"/>
    <s v="Federal Grants Fund"/>
    <n v="492412.32"/>
  </r>
  <r>
    <x v="1"/>
    <x v="5"/>
    <x v="130"/>
    <x v="130"/>
    <s v="MM3"/>
    <s v="General Fund"/>
    <n v="4520446.0199999996"/>
  </r>
  <r>
    <x v="0"/>
    <x v="0"/>
    <x v="220"/>
    <x v="218"/>
    <s v="MM3"/>
    <s v="General Fund"/>
    <n v="35483679.310000002"/>
  </r>
  <r>
    <x v="4"/>
    <x v="7"/>
    <x v="296"/>
    <x v="298"/>
    <s v="M03"/>
    <s v="Federal Grants Fund"/>
    <n v="6700"/>
  </r>
  <r>
    <x v="3"/>
    <x v="6"/>
    <x v="218"/>
    <x v="216"/>
    <s v="MM3"/>
    <s v="Federal Grants Fund"/>
    <n v="1864027.54"/>
  </r>
  <r>
    <x v="3"/>
    <x v="7"/>
    <x v="238"/>
    <x v="236"/>
    <s v="M03"/>
    <s v="General Fund"/>
    <n v="3304493.83"/>
  </r>
  <r>
    <x v="3"/>
    <x v="0"/>
    <x v="25"/>
    <x v="25"/>
    <s v="MM3"/>
    <s v="General Fund"/>
    <n v="4022452.5"/>
  </r>
  <r>
    <x v="3"/>
    <x v="0"/>
    <x v="215"/>
    <x v="212"/>
    <s v="MM3"/>
    <s v="General Fund"/>
    <n v="813300.58"/>
  </r>
  <r>
    <x v="3"/>
    <x v="1"/>
    <x v="119"/>
    <x v="329"/>
    <s v="M03"/>
    <s v="General Fund"/>
    <n v="511809.65"/>
  </r>
  <r>
    <x v="0"/>
    <x v="2"/>
    <x v="2"/>
    <x v="2"/>
    <s v="M03"/>
    <s v="Federal Grants Fund"/>
    <n v="13769785.02"/>
  </r>
  <r>
    <x v="1"/>
    <x v="7"/>
    <x v="326"/>
    <x v="330"/>
    <s v="M03"/>
    <s v="Federal Grants Fund"/>
    <n v="263651.40000000002"/>
  </r>
  <r>
    <x v="1"/>
    <x v="0"/>
    <x v="121"/>
    <x v="121"/>
    <s v="MM3"/>
    <s v="General Fund"/>
    <n v="27733122.440000001"/>
  </r>
  <r>
    <x v="0"/>
    <x v="0"/>
    <x v="314"/>
    <x v="317"/>
    <s v="M03"/>
    <s v="General Fund"/>
    <n v="0"/>
  </r>
  <r>
    <x v="1"/>
    <x v="7"/>
    <x v="327"/>
    <x v="331"/>
    <s v="M03"/>
    <s v="General Fund"/>
    <n v="2062549.67"/>
  </r>
  <r>
    <x v="0"/>
    <x v="2"/>
    <x v="328"/>
    <x v="332"/>
    <s v="M03"/>
    <s v="General Fund"/>
    <n v="101061618.31"/>
  </r>
  <r>
    <x v="1"/>
    <x v="1"/>
    <x v="206"/>
    <x v="203"/>
    <s v="M03"/>
    <s v="General Fund"/>
    <n v="143080.38"/>
  </r>
  <r>
    <x v="0"/>
    <x v="7"/>
    <x v="329"/>
    <x v="333"/>
    <s v="M03"/>
    <s v="General Fund"/>
    <n v="2650692.48"/>
  </r>
  <r>
    <x v="3"/>
    <x v="5"/>
    <x v="239"/>
    <x v="237"/>
    <s v="M03"/>
    <s v="General Fund"/>
    <n v="1810190"/>
  </r>
  <r>
    <x v="3"/>
    <x v="7"/>
    <x v="251"/>
    <x v="249"/>
    <s v="M04"/>
    <s v="General Fund"/>
    <n v="47672.59"/>
  </r>
  <r>
    <x v="3"/>
    <x v="0"/>
    <x v="49"/>
    <x v="49"/>
    <s v="MM3"/>
    <s v="General Fund"/>
    <n v="504380.92"/>
  </r>
  <r>
    <x v="0"/>
    <x v="13"/>
    <x v="212"/>
    <x v="209"/>
    <s v="M03"/>
    <s v="General Fund"/>
    <n v="95381625.340000004"/>
  </r>
  <r>
    <x v="1"/>
    <x v="5"/>
    <x v="214"/>
    <x v="211"/>
    <s v="MM3"/>
    <s v="General Fund"/>
    <n v="3075105.65"/>
  </r>
  <r>
    <x v="1"/>
    <x v="5"/>
    <x v="330"/>
    <x v="334"/>
    <s v="M04"/>
    <s v="General Fund"/>
    <n v="2403634.35"/>
  </r>
  <r>
    <x v="0"/>
    <x v="6"/>
    <x v="153"/>
    <x v="152"/>
    <s v="MM3"/>
    <s v="Federal Grants Fund"/>
    <n v="1587525.93"/>
  </r>
  <r>
    <x v="3"/>
    <x v="0"/>
    <x v="154"/>
    <x v="153"/>
    <s v="M03"/>
    <s v="Expendable Trust Fund - External"/>
    <n v="0"/>
  </r>
  <r>
    <x v="3"/>
    <x v="0"/>
    <x v="315"/>
    <x v="318"/>
    <s v="M03"/>
    <s v="General Fund"/>
    <n v="60505.7"/>
  </r>
  <r>
    <x v="3"/>
    <x v="8"/>
    <x v="331"/>
    <x v="335"/>
    <s v="M03"/>
    <s v="Federal Grants Fund"/>
    <n v="88945.279999999999"/>
  </r>
  <r>
    <x v="0"/>
    <x v="9"/>
    <x v="332"/>
    <x v="336"/>
    <s v="M03"/>
    <s v="General Fund"/>
    <n v="6701477.8099999996"/>
  </r>
  <r>
    <x v="2"/>
    <x v="7"/>
    <x v="127"/>
    <x v="127"/>
    <s v="M03"/>
    <s v="General Fund"/>
    <n v="3367281.69"/>
  </r>
  <r>
    <x v="1"/>
    <x v="12"/>
    <x v="129"/>
    <x v="129"/>
    <s v="M03"/>
    <s v="General Fund"/>
    <n v="3355226"/>
  </r>
  <r>
    <x v="2"/>
    <x v="2"/>
    <x v="328"/>
    <x v="332"/>
    <s v="M03"/>
    <s v="General Fund"/>
    <n v="99302834.319999993"/>
  </r>
  <r>
    <x v="0"/>
    <x v="7"/>
    <x v="268"/>
    <x v="268"/>
    <s v="M03"/>
    <s v="General Fund"/>
    <n v="3953083.13"/>
  </r>
  <r>
    <x v="0"/>
    <x v="0"/>
    <x v="11"/>
    <x v="11"/>
    <s v="M03"/>
    <s v="Intragovernmental Services Fund"/>
    <n v="633346.56000000006"/>
  </r>
  <r>
    <x v="1"/>
    <x v="6"/>
    <x v="78"/>
    <x v="78"/>
    <s v="M04"/>
    <s v="General Fund"/>
    <n v="802011.56"/>
  </r>
  <r>
    <x v="1"/>
    <x v="0"/>
    <x v="116"/>
    <x v="116"/>
    <s v="M03"/>
    <s v="General Fund"/>
    <n v="977332.46"/>
  </r>
  <r>
    <x v="0"/>
    <x v="0"/>
    <x v="102"/>
    <x v="102"/>
    <s v="MM3"/>
    <s v="General Fund"/>
    <n v="416046.49"/>
  </r>
  <r>
    <x v="2"/>
    <x v="5"/>
    <x v="131"/>
    <x v="131"/>
    <s v="M03"/>
    <s v="General Fund"/>
    <n v="264693.24"/>
  </r>
  <r>
    <x v="2"/>
    <x v="2"/>
    <x v="2"/>
    <x v="2"/>
    <s v="M03"/>
    <s v="General Fund"/>
    <n v="6256541.3499999996"/>
  </r>
  <r>
    <x v="2"/>
    <x v="2"/>
    <x v="292"/>
    <x v="294"/>
    <s v="M03"/>
    <s v="Federal Grants Fund"/>
    <n v="1599618.84"/>
  </r>
  <r>
    <x v="0"/>
    <x v="7"/>
    <x v="208"/>
    <x v="214"/>
    <s v="M03"/>
    <s v="Trust Fund For the Head Injury Treatment Service Fund"/>
    <n v="1546769.65"/>
  </r>
  <r>
    <x v="4"/>
    <x v="0"/>
    <x v="79"/>
    <x v="79"/>
    <s v="M03"/>
    <s v="General Fund"/>
    <n v="81201.45"/>
  </r>
  <r>
    <x v="2"/>
    <x v="0"/>
    <x v="10"/>
    <x v="10"/>
    <s v="MM3"/>
    <s v="General Fund"/>
    <n v="3964200.88"/>
  </r>
  <r>
    <x v="2"/>
    <x v="0"/>
    <x v="147"/>
    <x v="146"/>
    <s v="M03"/>
    <s v="General Fund"/>
    <n v="1011440"/>
  </r>
  <r>
    <x v="1"/>
    <x v="0"/>
    <x v="121"/>
    <x v="121"/>
    <s v="M03"/>
    <s v="Expendable Trust Fund - External"/>
    <n v="0"/>
  </r>
  <r>
    <x v="1"/>
    <x v="0"/>
    <x v="13"/>
    <x v="13"/>
    <s v="M03"/>
    <s v="General Fund"/>
    <n v="172000.84"/>
  </r>
  <r>
    <x v="0"/>
    <x v="6"/>
    <x v="99"/>
    <x v="99"/>
    <s v="MM3"/>
    <s v="Federal Grants Fund"/>
    <n v="2906253.99"/>
  </r>
  <r>
    <x v="1"/>
    <x v="9"/>
    <x v="333"/>
    <x v="337"/>
    <s v="M03"/>
    <s v="General Fund"/>
    <n v="4647553.53"/>
  </r>
  <r>
    <x v="0"/>
    <x v="6"/>
    <x v="334"/>
    <x v="338"/>
    <s v="M04"/>
    <s v="Federal Grants Fund"/>
    <n v="111962.43"/>
  </r>
  <r>
    <x v="0"/>
    <x v="10"/>
    <x v="68"/>
    <x v="68"/>
    <s v="M03"/>
    <s v="Housing Preservation and Stabilizaion Fund"/>
    <n v="1397005.57"/>
  </r>
  <r>
    <x v="2"/>
    <x v="5"/>
    <x v="94"/>
    <x v="94"/>
    <s v="M04"/>
    <s v="General Fund"/>
    <n v="704700.59"/>
  </r>
  <r>
    <x v="0"/>
    <x v="8"/>
    <x v="331"/>
    <x v="335"/>
    <s v="M03"/>
    <s v="Federal Grants Fund"/>
    <n v="134141.88"/>
  </r>
  <r>
    <x v="3"/>
    <x v="0"/>
    <x v="229"/>
    <x v="227"/>
    <s v="M03"/>
    <s v="General Fund"/>
    <n v="391728.84"/>
  </r>
  <r>
    <x v="3"/>
    <x v="0"/>
    <x v="116"/>
    <x v="116"/>
    <s v="MM3"/>
    <s v="General Fund"/>
    <n v="919751.29"/>
  </r>
  <r>
    <x v="3"/>
    <x v="6"/>
    <x v="335"/>
    <x v="339"/>
    <s v="M03"/>
    <s v="Substance Abuse Services Fund"/>
    <n v="302358.46999999997"/>
  </r>
  <r>
    <x v="4"/>
    <x v="5"/>
    <x v="270"/>
    <x v="270"/>
    <s v="M04"/>
    <s v="Federal Grants Fund"/>
    <n v="821851.79"/>
  </r>
  <r>
    <x v="0"/>
    <x v="6"/>
    <x v="123"/>
    <x v="123"/>
    <s v="M04"/>
    <s v="General Fund"/>
    <n v="1330825.69"/>
  </r>
  <r>
    <x v="3"/>
    <x v="0"/>
    <x v="13"/>
    <x v="13"/>
    <s v="M03"/>
    <s v="General Fund"/>
    <n v="250238.58"/>
  </r>
  <r>
    <x v="3"/>
    <x v="6"/>
    <x v="71"/>
    <x v="71"/>
    <s v="M04"/>
    <s v="Federal Grants Fund"/>
    <n v="117311.26"/>
  </r>
  <r>
    <x v="3"/>
    <x v="0"/>
    <x v="336"/>
    <x v="340"/>
    <s v="M03"/>
    <s v="General Fund"/>
    <n v="150814.51"/>
  </r>
  <r>
    <x v="0"/>
    <x v="5"/>
    <x v="330"/>
    <x v="334"/>
    <s v="M04"/>
    <s v="General Fund"/>
    <n v="2403634.83"/>
  </r>
  <r>
    <x v="1"/>
    <x v="0"/>
    <x v="229"/>
    <x v="227"/>
    <s v="M03"/>
    <s v="General Fund"/>
    <n v="382065.94"/>
  </r>
  <r>
    <x v="2"/>
    <x v="6"/>
    <x v="334"/>
    <x v="338"/>
    <s v="M04"/>
    <s v="General Fund"/>
    <n v="697365.03"/>
  </r>
  <r>
    <x v="3"/>
    <x v="6"/>
    <x v="78"/>
    <x v="78"/>
    <s v="M04"/>
    <s v="General Fund"/>
    <n v="773970.6"/>
  </r>
  <r>
    <x v="2"/>
    <x v="5"/>
    <x v="75"/>
    <x v="75"/>
    <s v="M03"/>
    <s v="Expendable Trust Fund - External"/>
    <n v="41554.519999999997"/>
  </r>
  <r>
    <x v="2"/>
    <x v="6"/>
    <x v="152"/>
    <x v="151"/>
    <s v="MM3"/>
    <s v="Federal Grants Fund"/>
    <n v="439134.77"/>
  </r>
  <r>
    <x v="1"/>
    <x v="0"/>
    <x v="221"/>
    <x v="219"/>
    <s v="MM3"/>
    <s v="Expendable Trust Fund - External"/>
    <n v="0"/>
  </r>
  <r>
    <x v="0"/>
    <x v="0"/>
    <x v="103"/>
    <x v="103"/>
    <s v="MM3"/>
    <s v="General Fund"/>
    <n v="52659.34"/>
  </r>
  <r>
    <x v="3"/>
    <x v="6"/>
    <x v="337"/>
    <x v="341"/>
    <s v="M04"/>
    <s v="Federal Grants Fund"/>
    <n v="300000"/>
  </r>
  <r>
    <x v="0"/>
    <x v="6"/>
    <x v="252"/>
    <x v="250"/>
    <s v="MM3"/>
    <s v="General Fund"/>
    <n v="796635.49"/>
  </r>
  <r>
    <x v="0"/>
    <x v="6"/>
    <x v="174"/>
    <x v="171"/>
    <s v="M04"/>
    <s v="General Fund"/>
    <n v="754178.26"/>
  </r>
  <r>
    <x v="1"/>
    <x v="0"/>
    <x v="221"/>
    <x v="219"/>
    <s v="M03"/>
    <s v="Expendable Trust Fund - External"/>
    <n v="0"/>
  </r>
  <r>
    <x v="2"/>
    <x v="6"/>
    <x v="38"/>
    <x v="38"/>
    <s v="MM3"/>
    <s v="Federal Grants Fund"/>
    <n v="1436167.66"/>
  </r>
  <r>
    <x v="0"/>
    <x v="5"/>
    <x v="94"/>
    <x v="94"/>
    <s v="M03"/>
    <s v="General Fund"/>
    <n v="2985.85"/>
  </r>
  <r>
    <x v="0"/>
    <x v="6"/>
    <x v="137"/>
    <x v="136"/>
    <s v="M03"/>
    <s v="General Fund"/>
    <n v="366482.6"/>
  </r>
  <r>
    <x v="4"/>
    <x v="0"/>
    <x v="41"/>
    <x v="41"/>
    <s v="MM3"/>
    <s v="General Fund"/>
    <n v="1021826.07"/>
  </r>
  <r>
    <x v="5"/>
    <x v="0"/>
    <x v="116"/>
    <x v="116"/>
    <s v="M03"/>
    <s v="General Fund"/>
    <n v="1315337.5"/>
  </r>
  <r>
    <x v="5"/>
    <x v="0"/>
    <x v="49"/>
    <x v="49"/>
    <s v="MM3"/>
    <s v="General Fund"/>
    <n v="485570.85"/>
  </r>
  <r>
    <x v="5"/>
    <x v="0"/>
    <x v="126"/>
    <x v="126"/>
    <s v="M03"/>
    <s v="General Fund"/>
    <n v="938896.1"/>
  </r>
  <r>
    <x v="5"/>
    <x v="6"/>
    <x v="218"/>
    <x v="216"/>
    <s v="MM3"/>
    <s v="Federal Grants Fund"/>
    <n v="3482160.41"/>
  </r>
  <r>
    <x v="5"/>
    <x v="2"/>
    <x v="338"/>
    <x v="342"/>
    <s v="M03"/>
    <s v="Federal Grants Fund"/>
    <n v="2457758.9900000002"/>
  </r>
  <r>
    <x v="5"/>
    <x v="6"/>
    <x v="99"/>
    <x v="99"/>
    <s v="M04"/>
    <s v="Federal Grants Fund"/>
    <n v="2935898.14"/>
  </r>
  <r>
    <x v="1"/>
    <x v="6"/>
    <x v="170"/>
    <x v="168"/>
    <s v="MM3"/>
    <s v="Substance Abuse Services Fund"/>
    <n v="646671.5"/>
  </r>
  <r>
    <x v="5"/>
    <x v="0"/>
    <x v="339"/>
    <x v="343"/>
    <s v="MM3"/>
    <s v="General Fund"/>
    <n v="916185.96"/>
  </r>
  <r>
    <x v="1"/>
    <x v="0"/>
    <x v="147"/>
    <x v="256"/>
    <s v="M03"/>
    <s v="General Fund"/>
    <n v="1027494.75"/>
  </r>
  <r>
    <x v="0"/>
    <x v="5"/>
    <x v="30"/>
    <x v="30"/>
    <s v="M03"/>
    <s v="Federal Grants Fund"/>
    <n v="258480"/>
  </r>
  <r>
    <x v="2"/>
    <x v="6"/>
    <x v="196"/>
    <x v="193"/>
    <s v="MM3"/>
    <s v="General Fund"/>
    <n v="951972.48"/>
  </r>
  <r>
    <x v="0"/>
    <x v="0"/>
    <x v="221"/>
    <x v="219"/>
    <s v="M03"/>
    <s v="Expendable Trust Fund - External"/>
    <n v="64479.55"/>
  </r>
  <r>
    <x v="1"/>
    <x v="6"/>
    <x v="234"/>
    <x v="231"/>
    <s v="M03"/>
    <s v="Federal Grants Fund"/>
    <n v="217838.81"/>
  </r>
  <r>
    <x v="1"/>
    <x v="7"/>
    <x v="208"/>
    <x v="214"/>
    <s v="M03"/>
    <s v="Expendable Trust Fund - External"/>
    <n v="14773"/>
  </r>
  <r>
    <x v="1"/>
    <x v="6"/>
    <x v="183"/>
    <x v="180"/>
    <s v="M04"/>
    <s v="Federal Grants Fund"/>
    <n v="1303218"/>
  </r>
  <r>
    <x v="4"/>
    <x v="9"/>
    <x v="332"/>
    <x v="336"/>
    <s v="M03"/>
    <s v="General Fund"/>
    <n v="7042384.04"/>
  </r>
  <r>
    <x v="4"/>
    <x v="6"/>
    <x v="264"/>
    <x v="264"/>
    <s v="MM3"/>
    <s v="General Fund"/>
    <n v="498205.65"/>
  </r>
  <r>
    <x v="4"/>
    <x v="2"/>
    <x v="340"/>
    <x v="344"/>
    <s v="M03"/>
    <s v="General Fund"/>
    <n v="54513866.68"/>
  </r>
  <r>
    <x v="4"/>
    <x v="0"/>
    <x v="13"/>
    <x v="13"/>
    <s v="M03"/>
    <s v="General Fund"/>
    <n v="198233.71"/>
  </r>
  <r>
    <x v="5"/>
    <x v="0"/>
    <x v="221"/>
    <x v="219"/>
    <s v="M03"/>
    <s v="Expendable Trust Fund - External"/>
    <n v="-42140.92"/>
  </r>
  <r>
    <x v="5"/>
    <x v="7"/>
    <x v="42"/>
    <x v="42"/>
    <s v="M03"/>
    <s v="Trust Fund For the Head Injury Treatment Service Fund"/>
    <n v="39034.199999999997"/>
  </r>
  <r>
    <x v="1"/>
    <x v="6"/>
    <x v="95"/>
    <x v="95"/>
    <s v="M04"/>
    <s v="Federal Grants Fund"/>
    <n v="99120"/>
  </r>
  <r>
    <x v="3"/>
    <x v="6"/>
    <x v="341"/>
    <x v="345"/>
    <s v="M03"/>
    <s v="Federal Grants Fund"/>
    <n v="105000"/>
  </r>
  <r>
    <x v="1"/>
    <x v="5"/>
    <x v="74"/>
    <x v="74"/>
    <s v="MM3"/>
    <s v="General Fund"/>
    <n v="236233.92"/>
  </r>
  <r>
    <x v="1"/>
    <x v="0"/>
    <x v="110"/>
    <x v="110"/>
    <s v="M04"/>
    <s v="General Fund"/>
    <n v="8000"/>
  </r>
  <r>
    <x v="2"/>
    <x v="3"/>
    <x v="302"/>
    <x v="305"/>
    <s v="MM3"/>
    <s v="General Fund"/>
    <n v="226911"/>
  </r>
  <r>
    <x v="1"/>
    <x v="5"/>
    <x v="76"/>
    <x v="76"/>
    <s v="MM3"/>
    <s v="General Fund"/>
    <n v="157000"/>
  </r>
  <r>
    <x v="0"/>
    <x v="0"/>
    <x v="122"/>
    <x v="346"/>
    <s v="M03"/>
    <s v="Expendable Trust Fund - External"/>
    <n v="0"/>
  </r>
  <r>
    <x v="1"/>
    <x v="7"/>
    <x v="268"/>
    <x v="268"/>
    <s v="M03"/>
    <s v="Trust Fund For the Head Injury Treatment Service Fund"/>
    <n v="0"/>
  </r>
  <r>
    <x v="1"/>
    <x v="6"/>
    <x v="71"/>
    <x v="71"/>
    <s v="M04"/>
    <s v="Federal Grants Fund"/>
    <n v="53315.72"/>
  </r>
  <r>
    <x v="2"/>
    <x v="8"/>
    <x v="342"/>
    <x v="347"/>
    <s v="M03"/>
    <s v="Federal Grants Fund"/>
    <n v="79596.399999999994"/>
  </r>
  <r>
    <x v="2"/>
    <x v="5"/>
    <x v="76"/>
    <x v="76"/>
    <s v="M04"/>
    <s v="Federal Grants Fund"/>
    <n v="16000"/>
  </r>
  <r>
    <x v="2"/>
    <x v="0"/>
    <x v="177"/>
    <x v="174"/>
    <s v="M03"/>
    <s v="Expendable Trust Fund - External"/>
    <n v="0"/>
  </r>
  <r>
    <x v="4"/>
    <x v="6"/>
    <x v="288"/>
    <x v="290"/>
    <s v="M04"/>
    <s v="General Fund"/>
    <n v="84968.83"/>
  </r>
  <r>
    <x v="4"/>
    <x v="7"/>
    <x v="151"/>
    <x v="150"/>
    <s v="M03"/>
    <s v="General Fund"/>
    <n v="18491.87"/>
  </r>
  <r>
    <x v="4"/>
    <x v="7"/>
    <x v="343"/>
    <x v="348"/>
    <s v="M03"/>
    <s v="General Fund"/>
    <n v="5881.7"/>
  </r>
  <r>
    <x v="4"/>
    <x v="0"/>
    <x v="93"/>
    <x v="93"/>
    <s v="MM3"/>
    <s v="General Fund"/>
    <n v="42590.02"/>
  </r>
  <r>
    <x v="4"/>
    <x v="9"/>
    <x v="293"/>
    <x v="295"/>
    <s v="M03"/>
    <s v="General Fund"/>
    <n v="545040.18999999994"/>
  </r>
  <r>
    <x v="5"/>
    <x v="9"/>
    <x v="333"/>
    <x v="337"/>
    <s v="M03"/>
    <s v="General Fund"/>
    <n v="8462436.6300000008"/>
  </r>
  <r>
    <x v="5"/>
    <x v="6"/>
    <x v="152"/>
    <x v="151"/>
    <s v="MM3"/>
    <s v="Substance Abuse Services Fund"/>
    <n v="476772.66"/>
  </r>
  <r>
    <x v="5"/>
    <x v="11"/>
    <x v="309"/>
    <x v="312"/>
    <s v="M04"/>
    <s v="Intragovernmental Services Fund"/>
    <n v="8234313.96"/>
  </r>
  <r>
    <x v="5"/>
    <x v="0"/>
    <x v="186"/>
    <x v="183"/>
    <s v="M04"/>
    <s v="General Fund"/>
    <n v="1014339.58"/>
  </r>
  <r>
    <x v="5"/>
    <x v="7"/>
    <x v="344"/>
    <x v="349"/>
    <s v="M03"/>
    <s v="General Fund"/>
    <n v="75870"/>
  </r>
  <r>
    <x v="5"/>
    <x v="0"/>
    <x v="336"/>
    <x v="340"/>
    <s v="M04"/>
    <s v="General Fund"/>
    <n v="70000"/>
  </r>
  <r>
    <x v="5"/>
    <x v="6"/>
    <x v="345"/>
    <x v="350"/>
    <s v="M03"/>
    <s v="Federal Grants Fund"/>
    <n v="128354.32"/>
  </r>
  <r>
    <x v="5"/>
    <x v="3"/>
    <x v="64"/>
    <x v="64"/>
    <s v="M04"/>
    <s v="General Fund"/>
    <n v="25000"/>
  </r>
  <r>
    <x v="5"/>
    <x v="0"/>
    <x v="105"/>
    <x v="105"/>
    <s v="MM3"/>
    <s v="Money Follows the Person Rebalancing Demonstration Grant Tr"/>
    <n v="1134842.03"/>
  </r>
  <r>
    <x v="0"/>
    <x v="6"/>
    <x v="175"/>
    <x v="172"/>
    <s v="M03"/>
    <s v="Federal Grants Fund"/>
    <n v="67558.740000000005"/>
  </r>
  <r>
    <x v="0"/>
    <x v="5"/>
    <x v="59"/>
    <x v="59"/>
    <s v="M04"/>
    <s v="General Fund"/>
    <n v="47248"/>
  </r>
  <r>
    <x v="3"/>
    <x v="1"/>
    <x v="250"/>
    <x v="248"/>
    <s v="MM3"/>
    <s v="General Fund"/>
    <n v="11079.16"/>
  </r>
  <r>
    <x v="4"/>
    <x v="0"/>
    <x v="278"/>
    <x v="280"/>
    <s v="M03"/>
    <s v="General Fund"/>
    <n v="0"/>
  </r>
  <r>
    <x v="0"/>
    <x v="1"/>
    <x v="291"/>
    <x v="293"/>
    <s v="M03"/>
    <s v="Federal Grants Fund"/>
    <n v="36030"/>
  </r>
  <r>
    <x v="4"/>
    <x v="0"/>
    <x v="44"/>
    <x v="44"/>
    <s v="M03"/>
    <s v="General Fund"/>
    <n v="5429.96"/>
  </r>
  <r>
    <x v="4"/>
    <x v="3"/>
    <x v="313"/>
    <x v="316"/>
    <s v="M03"/>
    <s v="Federal Grants Fund"/>
    <n v="0"/>
  </r>
  <r>
    <x v="1"/>
    <x v="6"/>
    <x v="305"/>
    <x v="308"/>
    <s v="M04"/>
    <s v="Massachusetts Aids Fund"/>
    <n v="95209.49"/>
  </r>
  <r>
    <x v="0"/>
    <x v="9"/>
    <x v="200"/>
    <x v="197"/>
    <s v="M03"/>
    <s v="General Fund"/>
    <n v="91674.85"/>
  </r>
  <r>
    <x v="3"/>
    <x v="9"/>
    <x v="322"/>
    <x v="325"/>
    <s v="M03"/>
    <s v="General Fund"/>
    <n v="21806.26"/>
  </r>
  <r>
    <x v="2"/>
    <x v="10"/>
    <x v="346"/>
    <x v="351"/>
    <s v="M03"/>
    <s v="Federal Grants Fund"/>
    <n v="0"/>
  </r>
  <r>
    <x v="3"/>
    <x v="7"/>
    <x v="344"/>
    <x v="349"/>
    <s v="M03"/>
    <s v="General Fund"/>
    <n v="79924"/>
  </r>
  <r>
    <x v="5"/>
    <x v="6"/>
    <x v="87"/>
    <x v="87"/>
    <s v="M04"/>
    <s v="Prevention and Wellness Trust Fund"/>
    <n v="109236.61"/>
  </r>
  <r>
    <x v="2"/>
    <x v="0"/>
    <x v="315"/>
    <x v="318"/>
    <s v="M03"/>
    <s v="Expendable Trust Fund - External"/>
    <n v="3635.19"/>
  </r>
  <r>
    <x v="2"/>
    <x v="6"/>
    <x v="78"/>
    <x v="78"/>
    <s v="M04"/>
    <s v="General Fund"/>
    <n v="792077.36"/>
  </r>
  <r>
    <x v="2"/>
    <x v="7"/>
    <x v="55"/>
    <x v="55"/>
    <s v="M03"/>
    <s v="Federal Grants Fund"/>
    <n v="9972.92"/>
  </r>
  <r>
    <x v="3"/>
    <x v="2"/>
    <x v="347"/>
    <x v="352"/>
    <s v="M04"/>
    <s v="General Fund"/>
    <n v="1989651.96"/>
  </r>
  <r>
    <x v="1"/>
    <x v="7"/>
    <x v="348"/>
    <x v="353"/>
    <s v="M03"/>
    <s v="General Fund"/>
    <n v="0"/>
  </r>
  <r>
    <x v="2"/>
    <x v="0"/>
    <x v="102"/>
    <x v="102"/>
    <s v="M03"/>
    <s v="Expendable Trust Fund - External"/>
    <n v="50001.58"/>
  </r>
  <r>
    <x v="2"/>
    <x v="6"/>
    <x v="304"/>
    <x v="307"/>
    <s v="MM3"/>
    <s v="Federal Grants Fund"/>
    <n v="0"/>
  </r>
  <r>
    <x v="4"/>
    <x v="0"/>
    <x v="122"/>
    <x v="122"/>
    <s v="M04"/>
    <s v="Expendable Trust Fund - External"/>
    <n v="0"/>
  </r>
  <r>
    <x v="2"/>
    <x v="6"/>
    <x v="201"/>
    <x v="198"/>
    <s v="M03"/>
    <s v="General Fund"/>
    <n v="25000"/>
  </r>
  <r>
    <x v="3"/>
    <x v="5"/>
    <x v="349"/>
    <x v="354"/>
    <s v="MM3"/>
    <s v="General Fund"/>
    <n v="68342.399999999994"/>
  </r>
  <r>
    <x v="0"/>
    <x v="7"/>
    <x v="40"/>
    <x v="40"/>
    <s v="M03"/>
    <s v="Trust Fund For the Head Injury Treatment Service Fund"/>
    <n v="0"/>
  </r>
  <r>
    <x v="3"/>
    <x v="6"/>
    <x v="350"/>
    <x v="355"/>
    <s v="M04"/>
    <s v="General Fund"/>
    <n v="350000"/>
  </r>
  <r>
    <x v="4"/>
    <x v="6"/>
    <x v="183"/>
    <x v="180"/>
    <s v="M04"/>
    <s v="Federal Grants Fund"/>
    <n v="0"/>
  </r>
  <r>
    <x v="4"/>
    <x v="5"/>
    <x v="351"/>
    <x v="356"/>
    <s v="M04"/>
    <s v="General Fund"/>
    <n v="44000"/>
  </r>
  <r>
    <x v="1"/>
    <x v="0"/>
    <x v="97"/>
    <x v="97"/>
    <s v="MM3"/>
    <s v="Expendable Trust Fund - External"/>
    <n v="0"/>
  </r>
  <r>
    <x v="4"/>
    <x v="1"/>
    <x v="157"/>
    <x v="156"/>
    <s v="M03"/>
    <s v="Federal Grants Fund"/>
    <n v="0"/>
  </r>
  <r>
    <x v="2"/>
    <x v="6"/>
    <x v="180"/>
    <x v="177"/>
    <s v="MM3"/>
    <s v="Federal Grants Fund"/>
    <n v="0"/>
  </r>
  <r>
    <x v="5"/>
    <x v="0"/>
    <x v="177"/>
    <x v="174"/>
    <s v="MM3"/>
    <s v="Expendable Trust Fund - External"/>
    <n v="-3720.56"/>
  </r>
  <r>
    <x v="3"/>
    <x v="6"/>
    <x v="81"/>
    <x v="81"/>
    <s v="MM3"/>
    <s v="General Fund"/>
    <n v="0"/>
  </r>
  <r>
    <x v="1"/>
    <x v="0"/>
    <x v="141"/>
    <x v="357"/>
    <s v="M03"/>
    <s v="General Fund"/>
    <n v="0"/>
  </r>
  <r>
    <x v="2"/>
    <x v="6"/>
    <x v="180"/>
    <x v="177"/>
    <s v="M04"/>
    <s v="Federal Grants Fund"/>
    <n v="0"/>
  </r>
  <r>
    <x v="5"/>
    <x v="9"/>
    <x v="248"/>
    <x v="246"/>
    <s v="M03"/>
    <s v="General Fund"/>
    <n v="196231.81"/>
  </r>
  <r>
    <x v="5"/>
    <x v="7"/>
    <x v="344"/>
    <x v="349"/>
    <s v="M03"/>
    <s v="Expendable Trust Fund - External"/>
    <n v="56001"/>
  </r>
  <r>
    <x v="2"/>
    <x v="6"/>
    <x v="289"/>
    <x v="291"/>
    <s v="M04"/>
    <s v="Federal Grants Fund"/>
    <n v="39500"/>
  </r>
  <r>
    <x v="4"/>
    <x v="5"/>
    <x v="330"/>
    <x v="334"/>
    <s v="M04"/>
    <s v="Expendable Trust Fund - External"/>
    <n v="137362"/>
  </r>
  <r>
    <x v="3"/>
    <x v="5"/>
    <x v="158"/>
    <x v="157"/>
    <s v="M04"/>
    <s v="General Fund"/>
    <n v="0"/>
  </r>
  <r>
    <x v="3"/>
    <x v="7"/>
    <x v="120"/>
    <x v="120"/>
    <s v="M03"/>
    <s v="General Fund"/>
    <n v="0"/>
  </r>
  <r>
    <x v="2"/>
    <x v="0"/>
    <x v="84"/>
    <x v="84"/>
    <s v="M03"/>
    <s v="Expendable Trust Fund - External"/>
    <n v="45480"/>
  </r>
  <r>
    <x v="2"/>
    <x v="0"/>
    <x v="103"/>
    <x v="103"/>
    <s v="M03"/>
    <s v="Expendable Trust Fund - External"/>
    <n v="6396"/>
  </r>
  <r>
    <x v="1"/>
    <x v="5"/>
    <x v="330"/>
    <x v="334"/>
    <s v="M04"/>
    <s v="Expendable Trust Fund - External"/>
    <n v="103021.98"/>
  </r>
  <r>
    <x v="1"/>
    <x v="5"/>
    <x v="75"/>
    <x v="75"/>
    <s v="M03"/>
    <s v="Federal Grants Fund"/>
    <n v="0"/>
  </r>
  <r>
    <x v="5"/>
    <x v="8"/>
    <x v="342"/>
    <x v="347"/>
    <s v="M03"/>
    <s v="Office of Refugees and Immigrants Trust"/>
    <n v="123871"/>
  </r>
  <r>
    <x v="3"/>
    <x v="6"/>
    <x v="8"/>
    <x v="8"/>
    <s v="M04"/>
    <s v="General Fund"/>
    <n v="250"/>
  </r>
  <r>
    <x v="0"/>
    <x v="0"/>
    <x v="186"/>
    <x v="183"/>
    <s v="MM3"/>
    <s v="Expendable Trust Fund - External"/>
    <n v="0"/>
  </r>
  <r>
    <x v="5"/>
    <x v="7"/>
    <x v="55"/>
    <x v="55"/>
    <s v="M03"/>
    <s v="General Fund"/>
    <n v="0"/>
  </r>
  <r>
    <x v="5"/>
    <x v="6"/>
    <x v="83"/>
    <x v="83"/>
    <s v="MM3"/>
    <s v="Substance Abuse Services Fund"/>
    <n v="0"/>
  </r>
  <r>
    <x v="0"/>
    <x v="5"/>
    <x v="76"/>
    <x v="76"/>
    <s v="MM3"/>
    <s v="Expendable Trust Fund - External"/>
    <n v="0"/>
  </r>
  <r>
    <x v="3"/>
    <x v="6"/>
    <x v="171"/>
    <x v="169"/>
    <s v="M03"/>
    <s v="General Fund"/>
    <n v="0"/>
  </r>
  <r>
    <x v="3"/>
    <x v="0"/>
    <x v="159"/>
    <x v="62"/>
    <s v="M03"/>
    <s v="General Fund"/>
    <n v="0"/>
  </r>
  <r>
    <x v="3"/>
    <x v="7"/>
    <x v="343"/>
    <x v="348"/>
    <s v="M04"/>
    <s v="General Fund"/>
    <n v="120"/>
  </r>
  <r>
    <x v="4"/>
    <x v="0"/>
    <x v="122"/>
    <x v="122"/>
    <s v="MM3"/>
    <s v="General Fund"/>
    <n v="0"/>
  </r>
  <r>
    <x v="5"/>
    <x v="12"/>
    <x v="98"/>
    <x v="98"/>
    <s v="M03"/>
    <s v="General Fund"/>
    <n v="0"/>
  </r>
  <r>
    <x v="0"/>
    <x v="5"/>
    <x v="5"/>
    <x v="5"/>
    <s v="MM3"/>
    <s v="Expendable Trust Fund - External"/>
    <n v="164743.93"/>
  </r>
  <r>
    <x v="1"/>
    <x v="0"/>
    <x v="217"/>
    <x v="215"/>
    <s v="M03"/>
    <s v="General Fund"/>
    <n v="1337557.26"/>
  </r>
  <r>
    <x v="0"/>
    <x v="3"/>
    <x v="64"/>
    <x v="64"/>
    <s v="M03"/>
    <s v="Federal Grants Fund"/>
    <n v="3819003.77"/>
  </r>
  <r>
    <x v="4"/>
    <x v="0"/>
    <x v="105"/>
    <x v="105"/>
    <s v="MM3"/>
    <s v="General Fund"/>
    <n v="34476607.960000001"/>
  </r>
  <r>
    <x v="1"/>
    <x v="3"/>
    <x v="352"/>
    <x v="358"/>
    <s v="M03"/>
    <s v="General Fund"/>
    <n v="223831890.65000001"/>
  </r>
  <r>
    <x v="2"/>
    <x v="2"/>
    <x v="70"/>
    <x v="70"/>
    <s v="M03"/>
    <s v="General Fund"/>
    <n v="8698204"/>
  </r>
  <r>
    <x v="3"/>
    <x v="3"/>
    <x v="29"/>
    <x v="29"/>
    <s v="M04"/>
    <s v="General Fund"/>
    <n v="11829912.93"/>
  </r>
  <r>
    <x v="3"/>
    <x v="6"/>
    <x v="218"/>
    <x v="216"/>
    <s v="MM3"/>
    <s v="General Fund"/>
    <n v="4014684.25"/>
  </r>
  <r>
    <x v="3"/>
    <x v="0"/>
    <x v="0"/>
    <x v="0"/>
    <s v="M03"/>
    <s v="General Fund"/>
    <n v="20725917.73"/>
  </r>
  <r>
    <x v="3"/>
    <x v="1"/>
    <x v="213"/>
    <x v="273"/>
    <s v="M03"/>
    <s v="General Fund"/>
    <n v="7554553.7000000002"/>
  </r>
  <r>
    <x v="3"/>
    <x v="13"/>
    <x v="132"/>
    <x v="132"/>
    <s v="M03"/>
    <s v="General Fund"/>
    <n v="66862547.18"/>
  </r>
  <r>
    <x v="1"/>
    <x v="5"/>
    <x v="130"/>
    <x v="233"/>
    <s v="MM3"/>
    <s v="General Fund"/>
    <n v="2851121.45"/>
  </r>
  <r>
    <x v="0"/>
    <x v="3"/>
    <x v="89"/>
    <x v="89"/>
    <s v="M04"/>
    <s v="General Fund"/>
    <n v="145254.98000000001"/>
  </r>
  <r>
    <x v="3"/>
    <x v="5"/>
    <x v="295"/>
    <x v="297"/>
    <s v="M03"/>
    <s v="General Fund"/>
    <n v="4688107.47"/>
  </r>
  <r>
    <x v="3"/>
    <x v="0"/>
    <x v="167"/>
    <x v="165"/>
    <s v="M04"/>
    <s v="General Fund"/>
    <n v="498504.55"/>
  </r>
  <r>
    <x v="3"/>
    <x v="5"/>
    <x v="76"/>
    <x v="76"/>
    <s v="MM3"/>
    <s v="General Fund"/>
    <n v="366374.43"/>
  </r>
  <r>
    <x v="3"/>
    <x v="1"/>
    <x v="172"/>
    <x v="170"/>
    <s v="M03"/>
    <s v="General Fund"/>
    <n v="988656.01"/>
  </r>
  <r>
    <x v="3"/>
    <x v="6"/>
    <x v="21"/>
    <x v="21"/>
    <s v="MM3"/>
    <s v="General Fund"/>
    <n v="390000"/>
  </r>
  <r>
    <x v="3"/>
    <x v="6"/>
    <x v="19"/>
    <x v="19"/>
    <s v="M03"/>
    <s v="Federal Grants Fund"/>
    <n v="977190.69"/>
  </r>
  <r>
    <x v="3"/>
    <x v="5"/>
    <x v="353"/>
    <x v="359"/>
    <s v="M04"/>
    <s v="General Fund"/>
    <n v="2166468.62"/>
  </r>
  <r>
    <x v="3"/>
    <x v="3"/>
    <x v="89"/>
    <x v="89"/>
    <s v="M04"/>
    <s v="General Fund"/>
    <n v="169916.76"/>
  </r>
  <r>
    <x v="3"/>
    <x v="7"/>
    <x v="327"/>
    <x v="331"/>
    <s v="M03"/>
    <s v="General Fund"/>
    <n v="2128229.9500000002"/>
  </r>
  <r>
    <x v="3"/>
    <x v="9"/>
    <x v="241"/>
    <x v="239"/>
    <s v="M03"/>
    <s v="General Fund"/>
    <n v="39049.32"/>
  </r>
  <r>
    <x v="2"/>
    <x v="5"/>
    <x v="209"/>
    <x v="206"/>
    <s v="MM3"/>
    <s v="General Fund"/>
    <n v="18984791.449999999"/>
  </r>
  <r>
    <x v="0"/>
    <x v="7"/>
    <x v="327"/>
    <x v="331"/>
    <s v="M03"/>
    <s v="General Fund"/>
    <n v="2808231.79"/>
  </r>
  <r>
    <x v="0"/>
    <x v="6"/>
    <x v="142"/>
    <x v="141"/>
    <s v="M04"/>
    <s v="Federal Grants Fund"/>
    <n v="1233955.83"/>
  </r>
  <r>
    <x v="0"/>
    <x v="7"/>
    <x v="15"/>
    <x v="15"/>
    <s v="M03"/>
    <s v="Federal Grants Fund"/>
    <n v="185647.7"/>
  </r>
  <r>
    <x v="2"/>
    <x v="0"/>
    <x v="223"/>
    <x v="221"/>
    <s v="M03"/>
    <s v="General Fund"/>
    <n v="5192932.6900000004"/>
  </r>
  <r>
    <x v="4"/>
    <x v="10"/>
    <x v="162"/>
    <x v="160"/>
    <s v="M03"/>
    <s v="General Fund"/>
    <n v="141725338.33000001"/>
  </r>
  <r>
    <x v="4"/>
    <x v="0"/>
    <x v="102"/>
    <x v="102"/>
    <s v="M03"/>
    <s v="General Fund"/>
    <n v="4009770.82"/>
  </r>
  <r>
    <x v="0"/>
    <x v="6"/>
    <x v="274"/>
    <x v="275"/>
    <s v="MM3"/>
    <s v="General Fund"/>
    <n v="711201.65"/>
  </r>
  <r>
    <x v="0"/>
    <x v="0"/>
    <x v="179"/>
    <x v="176"/>
    <s v="MM3"/>
    <s v="General Fund"/>
    <n v="7625705.2800000003"/>
  </r>
  <r>
    <x v="0"/>
    <x v="6"/>
    <x v="170"/>
    <x v="168"/>
    <s v="MM3"/>
    <s v="Federal Grants Fund"/>
    <n v="1315941.73"/>
  </r>
  <r>
    <x v="4"/>
    <x v="0"/>
    <x v="220"/>
    <x v="218"/>
    <s v="MM3"/>
    <s v="General Fund"/>
    <n v="35320247.75"/>
  </r>
  <r>
    <x v="2"/>
    <x v="10"/>
    <x v="68"/>
    <x v="68"/>
    <s v="M03"/>
    <s v="General Fund"/>
    <n v="6419766.6299999999"/>
  </r>
  <r>
    <x v="4"/>
    <x v="0"/>
    <x v="58"/>
    <x v="58"/>
    <s v="M03"/>
    <s v="General Fund"/>
    <n v="201939.18"/>
  </r>
  <r>
    <x v="2"/>
    <x v="8"/>
    <x v="243"/>
    <x v="241"/>
    <s v="M03"/>
    <s v="Federal Grants Fund"/>
    <n v="309270.73"/>
  </r>
  <r>
    <x v="1"/>
    <x v="0"/>
    <x v="177"/>
    <x v="174"/>
    <s v="MM3"/>
    <s v="General Fund"/>
    <n v="5788485.0300000003"/>
  </r>
  <r>
    <x v="1"/>
    <x v="6"/>
    <x v="192"/>
    <x v="189"/>
    <s v="M03"/>
    <s v="General Fund"/>
    <n v="2373978.59"/>
  </r>
  <r>
    <x v="4"/>
    <x v="0"/>
    <x v="150"/>
    <x v="149"/>
    <s v="M04"/>
    <s v="General Fund"/>
    <n v="287443.49"/>
  </r>
  <r>
    <x v="0"/>
    <x v="1"/>
    <x v="286"/>
    <x v="288"/>
    <s v="M03"/>
    <s v="General Fund"/>
    <n v="237254.17"/>
  </r>
  <r>
    <x v="0"/>
    <x v="0"/>
    <x v="354"/>
    <x v="360"/>
    <s v="M04"/>
    <s v="General Fund"/>
    <n v="266306.25"/>
  </r>
  <r>
    <x v="4"/>
    <x v="7"/>
    <x v="208"/>
    <x v="205"/>
    <s v="M04"/>
    <s v="General Fund"/>
    <n v="74737.440000000002"/>
  </r>
  <r>
    <x v="2"/>
    <x v="3"/>
    <x v="27"/>
    <x v="27"/>
    <s v="M03"/>
    <s v="Federal Grants Fund"/>
    <n v="1490162.52"/>
  </r>
  <r>
    <x v="1"/>
    <x v="9"/>
    <x v="332"/>
    <x v="336"/>
    <s v="M03"/>
    <s v="General Fund"/>
    <n v="6676974.7000000002"/>
  </r>
  <r>
    <x v="1"/>
    <x v="6"/>
    <x v="355"/>
    <x v="361"/>
    <s v="M03"/>
    <s v="General Fund"/>
    <n v="550000"/>
  </r>
  <r>
    <x v="0"/>
    <x v="0"/>
    <x v="339"/>
    <x v="343"/>
    <s v="MM3"/>
    <s v="General Fund"/>
    <n v="528142"/>
  </r>
  <r>
    <x v="0"/>
    <x v="12"/>
    <x v="124"/>
    <x v="124"/>
    <s v="M03"/>
    <s v="Federal Grants Fund"/>
    <n v="2501117.79"/>
  </r>
  <r>
    <x v="0"/>
    <x v="3"/>
    <x v="89"/>
    <x v="89"/>
    <s v="M03"/>
    <s v="General Fund"/>
    <n v="460906.62"/>
  </r>
  <r>
    <x v="1"/>
    <x v="6"/>
    <x v="356"/>
    <x v="362"/>
    <s v="M04"/>
    <s v="Federal Grants Fund"/>
    <n v="877454.98"/>
  </r>
  <r>
    <x v="2"/>
    <x v="0"/>
    <x v="161"/>
    <x v="159"/>
    <s v="M03"/>
    <s v="General Fund"/>
    <n v="210604.94"/>
  </r>
  <r>
    <x v="1"/>
    <x v="6"/>
    <x v="62"/>
    <x v="62"/>
    <s v="MM3"/>
    <s v="Federal Grants Fund"/>
    <n v="1326499.27"/>
  </r>
  <r>
    <x v="4"/>
    <x v="6"/>
    <x v="357"/>
    <x v="363"/>
    <s v="MM3"/>
    <s v="Federal Grants Fund"/>
    <n v="304826.06"/>
  </r>
  <r>
    <x v="1"/>
    <x v="0"/>
    <x v="161"/>
    <x v="159"/>
    <s v="MM3"/>
    <s v="General Fund"/>
    <n v="501358.13"/>
  </r>
  <r>
    <x v="3"/>
    <x v="5"/>
    <x v="351"/>
    <x v="356"/>
    <s v="M03"/>
    <s v="General Fund"/>
    <n v="1080950"/>
  </r>
  <r>
    <x v="3"/>
    <x v="6"/>
    <x v="358"/>
    <x v="364"/>
    <s v="MM3"/>
    <s v="Federal Grants Fund"/>
    <n v="233683.35"/>
  </r>
  <r>
    <x v="3"/>
    <x v="0"/>
    <x v="11"/>
    <x v="11"/>
    <s v="MM3"/>
    <s v="Intragovernmental Services Fund"/>
    <n v="164733.98000000001"/>
  </r>
  <r>
    <x v="0"/>
    <x v="0"/>
    <x v="299"/>
    <x v="302"/>
    <s v="MM3"/>
    <s v="General Fund"/>
    <n v="10460.43"/>
  </r>
  <r>
    <x v="2"/>
    <x v="3"/>
    <x v="32"/>
    <x v="32"/>
    <s v="M03"/>
    <s v="General Fund"/>
    <n v="253308.81"/>
  </r>
  <r>
    <x v="2"/>
    <x v="5"/>
    <x v="359"/>
    <x v="365"/>
    <s v="MM3"/>
    <s v="General Fund"/>
    <n v="425318.34"/>
  </r>
  <r>
    <x v="0"/>
    <x v="6"/>
    <x v="192"/>
    <x v="189"/>
    <s v="M03"/>
    <s v="Federal Grants Fund"/>
    <n v="487022.14"/>
  </r>
  <r>
    <x v="3"/>
    <x v="6"/>
    <x v="137"/>
    <x v="136"/>
    <s v="MM3"/>
    <s v="General Fund"/>
    <n v="43090.79"/>
  </r>
  <r>
    <x v="3"/>
    <x v="7"/>
    <x v="208"/>
    <x v="205"/>
    <s v="M04"/>
    <s v="General Fund"/>
    <n v="24997.68"/>
  </r>
  <r>
    <x v="3"/>
    <x v="6"/>
    <x v="153"/>
    <x v="152"/>
    <s v="MM3"/>
    <s v="Federal Grants Fund"/>
    <n v="1135573.33"/>
  </r>
  <r>
    <x v="4"/>
    <x v="3"/>
    <x v="360"/>
    <x v="366"/>
    <s v="M03"/>
    <s v="General Fund"/>
    <n v="0"/>
  </r>
  <r>
    <x v="0"/>
    <x v="0"/>
    <x v="161"/>
    <x v="159"/>
    <s v="M03"/>
    <s v="General Fund"/>
    <n v="210604.94"/>
  </r>
  <r>
    <x v="0"/>
    <x v="8"/>
    <x v="243"/>
    <x v="241"/>
    <s v="M03"/>
    <s v="Federal Grants Fund"/>
    <n v="378791.35"/>
  </r>
  <r>
    <x v="2"/>
    <x v="1"/>
    <x v="101"/>
    <x v="101"/>
    <s v="M03"/>
    <s v="Federal Grants Fund"/>
    <n v="370955.3"/>
  </r>
  <r>
    <x v="4"/>
    <x v="7"/>
    <x v="34"/>
    <x v="34"/>
    <s v="M03"/>
    <s v="General Fund"/>
    <n v="1680960.47"/>
  </r>
  <r>
    <x v="1"/>
    <x v="7"/>
    <x v="271"/>
    <x v="271"/>
    <s v="M03"/>
    <s v="General Fund"/>
    <n v="812776.81"/>
  </r>
  <r>
    <x v="3"/>
    <x v="0"/>
    <x v="79"/>
    <x v="79"/>
    <s v="M04"/>
    <s v="General Fund"/>
    <n v="800040.4"/>
  </r>
  <r>
    <x v="4"/>
    <x v="5"/>
    <x v="353"/>
    <x v="359"/>
    <s v="M04"/>
    <s v="General Fund"/>
    <n v="2170441.35"/>
  </r>
  <r>
    <x v="2"/>
    <x v="5"/>
    <x v="94"/>
    <x v="94"/>
    <s v="MM3"/>
    <s v="Federal Grants Fund"/>
    <n v="160409.15"/>
  </r>
  <r>
    <x v="1"/>
    <x v="6"/>
    <x v="82"/>
    <x v="82"/>
    <s v="MM3"/>
    <s v="Federal Grants Fund"/>
    <n v="1010807.91"/>
  </r>
  <r>
    <x v="1"/>
    <x v="6"/>
    <x v="61"/>
    <x v="61"/>
    <s v="M04"/>
    <s v="General Fund"/>
    <n v="669367"/>
  </r>
  <r>
    <x v="2"/>
    <x v="0"/>
    <x v="93"/>
    <x v="93"/>
    <s v="MM3"/>
    <s v="General Fund"/>
    <n v="24267.1"/>
  </r>
  <r>
    <x v="3"/>
    <x v="6"/>
    <x v="281"/>
    <x v="283"/>
    <s v="MM3"/>
    <s v="Federal Grants Fund"/>
    <n v="798027.32"/>
  </r>
  <r>
    <x v="3"/>
    <x v="5"/>
    <x v="257"/>
    <x v="257"/>
    <s v="M03"/>
    <s v="Federal Grants Fund"/>
    <n v="516857"/>
  </r>
  <r>
    <x v="2"/>
    <x v="1"/>
    <x v="228"/>
    <x v="226"/>
    <s v="M03"/>
    <s v="Federal Grants Fund"/>
    <n v="389388"/>
  </r>
  <r>
    <x v="0"/>
    <x v="5"/>
    <x v="361"/>
    <x v="367"/>
    <s v="MM3"/>
    <s v="General Fund"/>
    <n v="260245.43"/>
  </r>
  <r>
    <x v="2"/>
    <x v="5"/>
    <x v="362"/>
    <x v="368"/>
    <s v="MM3"/>
    <s v="Expendable Trust Fund - External"/>
    <n v="297711.13"/>
  </r>
  <r>
    <x v="2"/>
    <x v="6"/>
    <x v="281"/>
    <x v="283"/>
    <s v="MM3"/>
    <s v="Federal Grants Fund"/>
    <n v="448483.82"/>
  </r>
  <r>
    <x v="4"/>
    <x v="0"/>
    <x v="102"/>
    <x v="102"/>
    <s v="MM3"/>
    <s v="General Fund"/>
    <n v="471352.2"/>
  </r>
  <r>
    <x v="4"/>
    <x v="5"/>
    <x v="131"/>
    <x v="131"/>
    <s v="M03"/>
    <s v="General Fund"/>
    <n v="569843.35"/>
  </r>
  <r>
    <x v="4"/>
    <x v="6"/>
    <x v="263"/>
    <x v="263"/>
    <s v="MM3"/>
    <s v="General Fund"/>
    <n v="24269241.219999999"/>
  </r>
  <r>
    <x v="5"/>
    <x v="0"/>
    <x v="102"/>
    <x v="102"/>
    <s v="M03"/>
    <s v="General Fund"/>
    <n v="4592358.68"/>
  </r>
  <r>
    <x v="5"/>
    <x v="12"/>
    <x v="129"/>
    <x v="129"/>
    <s v="M03"/>
    <s v="General Fund"/>
    <n v="3787910"/>
  </r>
  <r>
    <x v="5"/>
    <x v="0"/>
    <x v="66"/>
    <x v="66"/>
    <s v="M04"/>
    <s v="Intragovernmental Services Fund"/>
    <n v="3717664.35"/>
  </r>
  <r>
    <x v="5"/>
    <x v="7"/>
    <x v="363"/>
    <x v="20"/>
    <s v="M03"/>
    <s v="General Fund"/>
    <n v="344060.36"/>
  </r>
  <r>
    <x v="5"/>
    <x v="0"/>
    <x v="105"/>
    <x v="105"/>
    <s v="MM3"/>
    <s v="General Fund"/>
    <n v="59877991.509999998"/>
  </r>
  <r>
    <x v="5"/>
    <x v="2"/>
    <x v="364"/>
    <x v="369"/>
    <s v="M03"/>
    <s v="General Fund"/>
    <n v="198351516.44"/>
  </r>
  <r>
    <x v="5"/>
    <x v="2"/>
    <x v="224"/>
    <x v="222"/>
    <s v="M03"/>
    <s v="Federal Grants Fund"/>
    <n v="1689948.62"/>
  </r>
  <r>
    <x v="5"/>
    <x v="0"/>
    <x v="104"/>
    <x v="104"/>
    <s v="M03"/>
    <s v="General Fund"/>
    <n v="135410.22"/>
  </r>
  <r>
    <x v="1"/>
    <x v="6"/>
    <x v="139"/>
    <x v="138"/>
    <s v="MM3"/>
    <s v="General Fund"/>
    <n v="1983495.07"/>
  </r>
  <r>
    <x v="1"/>
    <x v="7"/>
    <x v="323"/>
    <x v="326"/>
    <s v="M03"/>
    <s v="General Fund"/>
    <n v="35330.199999999997"/>
  </r>
  <r>
    <x v="2"/>
    <x v="7"/>
    <x v="16"/>
    <x v="16"/>
    <s v="M03"/>
    <s v="Federal Grants Fund"/>
    <n v="26772"/>
  </r>
  <r>
    <x v="2"/>
    <x v="0"/>
    <x v="121"/>
    <x v="121"/>
    <s v="M03"/>
    <s v="Expendable Trust Fund - External"/>
    <n v="0"/>
  </r>
  <r>
    <x v="5"/>
    <x v="6"/>
    <x v="263"/>
    <x v="263"/>
    <s v="MM3"/>
    <s v="Federal Grants Fund"/>
    <n v="1559245.06"/>
  </r>
  <r>
    <x v="2"/>
    <x v="5"/>
    <x v="75"/>
    <x v="75"/>
    <s v="MM3"/>
    <s v="General Fund"/>
    <n v="910889.83"/>
  </r>
  <r>
    <x v="4"/>
    <x v="6"/>
    <x v="218"/>
    <x v="216"/>
    <s v="MM3"/>
    <s v="Federal Grants Fund"/>
    <n v="4101769.68"/>
  </r>
  <r>
    <x v="0"/>
    <x v="6"/>
    <x v="355"/>
    <x v="361"/>
    <s v="M03"/>
    <s v="Federal Grants Fund"/>
    <n v="150000"/>
  </r>
  <r>
    <x v="4"/>
    <x v="2"/>
    <x v="207"/>
    <x v="204"/>
    <s v="M03"/>
    <s v="Federal Grants Fund"/>
    <n v="2574103.54"/>
  </r>
  <r>
    <x v="4"/>
    <x v="6"/>
    <x v="137"/>
    <x v="136"/>
    <s v="M03"/>
    <s v="General Fund"/>
    <n v="665688.15"/>
  </r>
  <r>
    <x v="5"/>
    <x v="6"/>
    <x v="144"/>
    <x v="143"/>
    <s v="M04"/>
    <s v="Federal Grants Fund"/>
    <n v="1136731.97"/>
  </r>
  <r>
    <x v="5"/>
    <x v="6"/>
    <x v="236"/>
    <x v="234"/>
    <s v="M04"/>
    <s v="Federal Grants Fund"/>
    <n v="2896464.99"/>
  </r>
  <r>
    <x v="5"/>
    <x v="6"/>
    <x v="365"/>
    <x v="370"/>
    <s v="M03"/>
    <s v="General Fund"/>
    <n v="1687804.69"/>
  </r>
  <r>
    <x v="5"/>
    <x v="0"/>
    <x v="79"/>
    <x v="79"/>
    <s v="M03"/>
    <s v="General Fund"/>
    <n v="528356.21"/>
  </r>
  <r>
    <x v="5"/>
    <x v="7"/>
    <x v="40"/>
    <x v="40"/>
    <s v="M03"/>
    <s v="General Fund"/>
    <n v="238960.93"/>
  </r>
  <r>
    <x v="2"/>
    <x v="6"/>
    <x v="366"/>
    <x v="371"/>
    <s v="M04"/>
    <s v="Federal Grants Fund"/>
    <n v="19122.98"/>
  </r>
  <r>
    <x v="4"/>
    <x v="3"/>
    <x v="367"/>
    <x v="372"/>
    <s v="M03"/>
    <s v="General Fund"/>
    <n v="0"/>
  </r>
  <r>
    <x v="0"/>
    <x v="1"/>
    <x v="33"/>
    <x v="33"/>
    <s v="M03"/>
    <s v="General Fund"/>
    <n v="450000"/>
  </r>
  <r>
    <x v="3"/>
    <x v="6"/>
    <x v="356"/>
    <x v="362"/>
    <s v="M04"/>
    <s v="Federal Grants Fund"/>
    <n v="10315.41"/>
  </r>
  <r>
    <x v="5"/>
    <x v="7"/>
    <x v="40"/>
    <x v="40"/>
    <s v="M03"/>
    <s v="Money Follows the Person Rebalancing Demonstration Grant Tr"/>
    <n v="124821.51"/>
  </r>
  <r>
    <x v="4"/>
    <x v="0"/>
    <x v="229"/>
    <x v="227"/>
    <s v="MM3"/>
    <s v="General Fund"/>
    <n v="50679.519999999997"/>
  </r>
  <r>
    <x v="0"/>
    <x v="5"/>
    <x v="60"/>
    <x v="60"/>
    <s v="M04"/>
    <s v="General Fund"/>
    <n v="454457"/>
  </r>
  <r>
    <x v="1"/>
    <x v="12"/>
    <x v="124"/>
    <x v="124"/>
    <s v="M03"/>
    <s v="Federal Grants Fund"/>
    <n v="3449402.54"/>
  </r>
  <r>
    <x v="4"/>
    <x v="6"/>
    <x v="82"/>
    <x v="82"/>
    <s v="M04"/>
    <s v="General Fund"/>
    <n v="72161.27"/>
  </r>
  <r>
    <x v="4"/>
    <x v="6"/>
    <x v="368"/>
    <x v="373"/>
    <s v="M04"/>
    <s v="General Fund"/>
    <n v="177895.05"/>
  </r>
  <r>
    <x v="4"/>
    <x v="7"/>
    <x v="271"/>
    <x v="271"/>
    <s v="M03"/>
    <s v="General Fund"/>
    <n v="415969.5"/>
  </r>
  <r>
    <x v="4"/>
    <x v="0"/>
    <x v="104"/>
    <x v="104"/>
    <s v="M04"/>
    <s v="Expendable Trust Fund - External"/>
    <n v="0"/>
  </r>
  <r>
    <x v="4"/>
    <x v="0"/>
    <x v="186"/>
    <x v="183"/>
    <s v="MM3"/>
    <s v="General Fund"/>
    <n v="43790.84"/>
  </r>
  <r>
    <x v="5"/>
    <x v="7"/>
    <x v="100"/>
    <x v="100"/>
    <s v="M03"/>
    <s v="Trust Fund For the Head Injury Treatment Service Fund"/>
    <n v="59233.440000000002"/>
  </r>
  <r>
    <x v="4"/>
    <x v="6"/>
    <x v="63"/>
    <x v="63"/>
    <s v="M04"/>
    <s v="Federal Grants Fund"/>
    <n v="229102.88"/>
  </r>
  <r>
    <x v="5"/>
    <x v="6"/>
    <x v="137"/>
    <x v="136"/>
    <s v="M03"/>
    <s v="Federal Grants Fund"/>
    <n v="5091314.34"/>
  </r>
  <r>
    <x v="5"/>
    <x v="6"/>
    <x v="288"/>
    <x v="290"/>
    <s v="M04"/>
    <s v="Federal Grants Fund"/>
    <n v="61315"/>
  </r>
  <r>
    <x v="5"/>
    <x v="0"/>
    <x v="369"/>
    <x v="374"/>
    <s v="MM3"/>
    <s v="Expendable Trust Fund - External"/>
    <n v="1184.25"/>
  </r>
  <r>
    <x v="3"/>
    <x v="6"/>
    <x v="175"/>
    <x v="172"/>
    <s v="M03"/>
    <s v="Federal Grants Fund"/>
    <n v="50068"/>
  </r>
  <r>
    <x v="3"/>
    <x v="10"/>
    <x v="232"/>
    <x v="229"/>
    <s v="M04"/>
    <s v="General Fund"/>
    <n v="568510.96"/>
  </r>
  <r>
    <x v="1"/>
    <x v="6"/>
    <x v="109"/>
    <x v="109"/>
    <s v="MM3"/>
    <s v="Federal Grants Fund"/>
    <n v="36720.400000000001"/>
  </r>
  <r>
    <x v="1"/>
    <x v="7"/>
    <x v="120"/>
    <x v="120"/>
    <s v="M03"/>
    <s v="Trust Fund For the Head Injury Treatment Service Fund"/>
    <n v="0"/>
  </r>
  <r>
    <x v="3"/>
    <x v="5"/>
    <x v="75"/>
    <x v="75"/>
    <s v="M04"/>
    <s v="Expendable Trust Fund - External"/>
    <n v="222660"/>
  </r>
  <r>
    <x v="2"/>
    <x v="0"/>
    <x v="217"/>
    <x v="215"/>
    <s v="M03"/>
    <s v="Expendable Trust Fund - External"/>
    <n v="51551.76"/>
  </r>
  <r>
    <x v="1"/>
    <x v="1"/>
    <x v="370"/>
    <x v="375"/>
    <s v="M03"/>
    <s v="Federal Grants Fund"/>
    <n v="105496.1"/>
  </r>
  <r>
    <x v="0"/>
    <x v="7"/>
    <x v="47"/>
    <x v="47"/>
    <s v="M03"/>
    <s v="Trust Fund For the Head Injury Treatment Service Fund"/>
    <n v="65482.07"/>
  </r>
  <r>
    <x v="4"/>
    <x v="6"/>
    <x v="204"/>
    <x v="201"/>
    <s v="M04"/>
    <s v="General Fund"/>
    <n v="42783.93"/>
  </r>
  <r>
    <x v="4"/>
    <x v="0"/>
    <x v="186"/>
    <x v="183"/>
    <s v="M04"/>
    <s v="General Fund"/>
    <n v="836087.14"/>
  </r>
  <r>
    <x v="1"/>
    <x v="3"/>
    <x v="371"/>
    <x v="376"/>
    <s v="M03"/>
    <s v="General Fund"/>
    <n v="493519.5"/>
  </r>
  <r>
    <x v="3"/>
    <x v="0"/>
    <x v="221"/>
    <x v="219"/>
    <s v="MM3"/>
    <s v="Expendable Trust Fund - External"/>
    <n v="0"/>
  </r>
  <r>
    <x v="5"/>
    <x v="0"/>
    <x v="221"/>
    <x v="219"/>
    <s v="M04"/>
    <s v="General Fund"/>
    <n v="75194.87"/>
  </r>
  <r>
    <x v="3"/>
    <x v="6"/>
    <x v="324"/>
    <x v="327"/>
    <s v="M03"/>
    <s v="General Fund"/>
    <n v="0"/>
  </r>
  <r>
    <x v="1"/>
    <x v="6"/>
    <x v="180"/>
    <x v="177"/>
    <s v="M04"/>
    <s v="Suspense Fund"/>
    <n v="3928.64"/>
  </r>
  <r>
    <x v="1"/>
    <x v="6"/>
    <x v="137"/>
    <x v="136"/>
    <s v="M03"/>
    <s v="Federal Grants Fund"/>
    <n v="45951.71"/>
  </r>
  <r>
    <x v="4"/>
    <x v="6"/>
    <x v="276"/>
    <x v="278"/>
    <s v="M04"/>
    <s v="Federal Grants Fund"/>
    <n v="199158.16"/>
  </r>
  <r>
    <x v="5"/>
    <x v="6"/>
    <x v="253"/>
    <x v="251"/>
    <s v="MM3"/>
    <s v="Federal Grants Fund"/>
    <n v="526950.89"/>
  </r>
  <r>
    <x v="1"/>
    <x v="7"/>
    <x v="127"/>
    <x v="127"/>
    <s v="M03"/>
    <s v="Trust Fund For the Head Injury Treatment Service Fund"/>
    <n v="14776.92"/>
  </r>
  <r>
    <x v="0"/>
    <x v="5"/>
    <x v="297"/>
    <x v="299"/>
    <s v="M04"/>
    <s v="General Fund"/>
    <n v="1925"/>
  </r>
  <r>
    <x v="1"/>
    <x v="6"/>
    <x v="166"/>
    <x v="164"/>
    <s v="MM3"/>
    <s v="Federal Grants Fund"/>
    <n v="6509.76"/>
  </r>
  <r>
    <x v="0"/>
    <x v="1"/>
    <x v="372"/>
    <x v="377"/>
    <s v="M03"/>
    <s v="General Fund"/>
    <n v="-9.7799999999999994"/>
  </r>
  <r>
    <x v="1"/>
    <x v="0"/>
    <x v="122"/>
    <x v="346"/>
    <s v="MM3"/>
    <s v="General Fund"/>
    <n v="0"/>
  </r>
  <r>
    <x v="5"/>
    <x v="6"/>
    <x v="118"/>
    <x v="118"/>
    <s v="M04"/>
    <s v="Federal Grants Fund"/>
    <n v="394197.77"/>
  </r>
  <r>
    <x v="1"/>
    <x v="0"/>
    <x v="186"/>
    <x v="183"/>
    <s v="MM3"/>
    <s v="General Fund"/>
    <n v="15254.65"/>
  </r>
  <r>
    <x v="2"/>
    <x v="3"/>
    <x v="373"/>
    <x v="378"/>
    <s v="M03"/>
    <s v="General Fund"/>
    <n v="338442.6"/>
  </r>
  <r>
    <x v="0"/>
    <x v="9"/>
    <x v="163"/>
    <x v="161"/>
    <s v="M03"/>
    <s v="General Fund"/>
    <n v="285037.74"/>
  </r>
  <r>
    <x v="5"/>
    <x v="0"/>
    <x v="261"/>
    <x v="261"/>
    <s v="M03"/>
    <s v="General Fund"/>
    <n v="21144.03"/>
  </r>
  <r>
    <x v="3"/>
    <x v="0"/>
    <x v="102"/>
    <x v="102"/>
    <s v="M03"/>
    <s v="Expendable Trust Fund - External"/>
    <n v="2674.64"/>
  </r>
  <r>
    <x v="3"/>
    <x v="0"/>
    <x v="186"/>
    <x v="183"/>
    <s v="M03"/>
    <s v="General Fund"/>
    <n v="346249"/>
  </r>
  <r>
    <x v="4"/>
    <x v="0"/>
    <x v="220"/>
    <x v="218"/>
    <s v="M03"/>
    <s v="Expendable Trust Fund - External"/>
    <n v="0"/>
  </r>
  <r>
    <x v="1"/>
    <x v="6"/>
    <x v="289"/>
    <x v="291"/>
    <s v="M04"/>
    <s v="General Fund"/>
    <n v="160000"/>
  </r>
  <r>
    <x v="1"/>
    <x v="7"/>
    <x v="100"/>
    <x v="100"/>
    <s v="M03"/>
    <s v="Trust Fund For the Head Injury Treatment Service Fund"/>
    <n v="57884.639999999999"/>
  </r>
  <r>
    <x v="2"/>
    <x v="0"/>
    <x v="374"/>
    <x v="379"/>
    <s v="MM3"/>
    <s v="General Fund"/>
    <n v="4287.96"/>
  </r>
  <r>
    <x v="1"/>
    <x v="5"/>
    <x v="330"/>
    <x v="334"/>
    <s v="M04"/>
    <s v="Federal Grants Fund"/>
    <n v="34656.589999999997"/>
  </r>
  <r>
    <x v="3"/>
    <x v="7"/>
    <x v="375"/>
    <x v="380"/>
    <s v="M03"/>
    <s v="General Fund"/>
    <n v="0"/>
  </r>
  <r>
    <x v="1"/>
    <x v="0"/>
    <x v="154"/>
    <x v="153"/>
    <s v="MM3"/>
    <s v="Expendable Trust Fund - External"/>
    <n v="0"/>
  </r>
  <r>
    <x v="4"/>
    <x v="6"/>
    <x v="288"/>
    <x v="290"/>
    <s v="M04"/>
    <s v="Federal Grants Fund"/>
    <n v="50000"/>
  </r>
  <r>
    <x v="2"/>
    <x v="0"/>
    <x v="220"/>
    <x v="218"/>
    <s v="MM3"/>
    <s v="Expendable Trust Fund - External"/>
    <n v="102485.85"/>
  </r>
  <r>
    <x v="1"/>
    <x v="5"/>
    <x v="75"/>
    <x v="75"/>
    <s v="M04"/>
    <s v="Federal Grants Fund"/>
    <n v="0"/>
  </r>
  <r>
    <x v="1"/>
    <x v="6"/>
    <x v="63"/>
    <x v="63"/>
    <s v="M03"/>
    <s v="Substance Abuse Services Fund"/>
    <n v="15408.54"/>
  </r>
  <r>
    <x v="5"/>
    <x v="11"/>
    <x v="376"/>
    <x v="381"/>
    <s v="M04"/>
    <s v="Community First Trust Fund - Non-Budgeted"/>
    <n v="801333"/>
  </r>
  <r>
    <x v="4"/>
    <x v="3"/>
    <x v="377"/>
    <x v="7"/>
    <s v="M03"/>
    <s v="General Fund"/>
    <n v="0"/>
  </r>
  <r>
    <x v="5"/>
    <x v="6"/>
    <x v="87"/>
    <x v="87"/>
    <s v="M04"/>
    <s v="State Racing Fund"/>
    <n v="70000"/>
  </r>
  <r>
    <x v="2"/>
    <x v="6"/>
    <x v="378"/>
    <x v="382"/>
    <s v="MM3"/>
    <s v="Federal Grants Fund"/>
    <n v="0"/>
  </r>
  <r>
    <x v="4"/>
    <x v="6"/>
    <x v="87"/>
    <x v="87"/>
    <s v="M04"/>
    <s v="Suspense Fund"/>
    <n v="322.05"/>
  </r>
  <r>
    <x v="2"/>
    <x v="0"/>
    <x v="84"/>
    <x v="84"/>
    <s v="M03"/>
    <s v="General Fund"/>
    <n v="99999.5"/>
  </r>
  <r>
    <x v="0"/>
    <x v="7"/>
    <x v="379"/>
    <x v="383"/>
    <s v="M03"/>
    <s v="Trust Fund For the Head Injury Treatment Service Fund"/>
    <n v="804.45"/>
  </r>
  <r>
    <x v="4"/>
    <x v="0"/>
    <x v="154"/>
    <x v="153"/>
    <s v="M04"/>
    <s v="General Fund"/>
    <n v="127363.63"/>
  </r>
  <r>
    <x v="2"/>
    <x v="7"/>
    <x v="327"/>
    <x v="331"/>
    <s v="M03"/>
    <s v="Expendable Trust Fund - External"/>
    <n v="116826.64"/>
  </r>
  <r>
    <x v="1"/>
    <x v="6"/>
    <x v="355"/>
    <x v="361"/>
    <s v="M03"/>
    <s v="Federal Grants Fund"/>
    <n v="150000"/>
  </r>
  <r>
    <x v="2"/>
    <x v="10"/>
    <x v="380"/>
    <x v="384"/>
    <s v="M03"/>
    <s v="Federal Grants Fund"/>
    <n v="0"/>
  </r>
  <r>
    <x v="3"/>
    <x v="5"/>
    <x v="94"/>
    <x v="94"/>
    <s v="M03"/>
    <s v="General Fund"/>
    <n v="0"/>
  </r>
  <r>
    <x v="3"/>
    <x v="6"/>
    <x v="19"/>
    <x v="19"/>
    <s v="M04"/>
    <s v="Federal Grants Fund"/>
    <n v="14001"/>
  </r>
  <r>
    <x v="1"/>
    <x v="0"/>
    <x v="154"/>
    <x v="153"/>
    <s v="M03"/>
    <s v="Expendable Trust Fund - External"/>
    <n v="0"/>
  </r>
  <r>
    <x v="4"/>
    <x v="10"/>
    <x v="68"/>
    <x v="68"/>
    <s v="M03"/>
    <s v="Expendable Trust Fund - External"/>
    <n v="0"/>
  </r>
  <r>
    <x v="1"/>
    <x v="6"/>
    <x v="39"/>
    <x v="39"/>
    <s v="M04"/>
    <s v="Federal Grants Fund"/>
    <n v="347356.91"/>
  </r>
  <r>
    <x v="0"/>
    <x v="6"/>
    <x v="8"/>
    <x v="8"/>
    <s v="M03"/>
    <s v="General Fund"/>
    <n v="9728497.9199999999"/>
  </r>
  <r>
    <x v="1"/>
    <x v="6"/>
    <x v="95"/>
    <x v="95"/>
    <s v="MM3"/>
    <s v="General Fund"/>
    <n v="12798516.199999999"/>
  </r>
  <r>
    <x v="3"/>
    <x v="13"/>
    <x v="212"/>
    <x v="209"/>
    <s v="M03"/>
    <s v="General Fund"/>
    <n v="90520070.090000004"/>
  </r>
  <r>
    <x v="3"/>
    <x v="10"/>
    <x v="68"/>
    <x v="68"/>
    <s v="M03"/>
    <s v="General Fund"/>
    <n v="14894156.640000001"/>
  </r>
  <r>
    <x v="3"/>
    <x v="1"/>
    <x v="136"/>
    <x v="121"/>
    <s v="M03"/>
    <s v="General Fund"/>
    <n v="950494.04"/>
  </r>
  <r>
    <x v="3"/>
    <x v="0"/>
    <x v="105"/>
    <x v="105"/>
    <s v="MM3"/>
    <s v="General Fund"/>
    <n v="70972812.840000004"/>
  </r>
  <r>
    <x v="3"/>
    <x v="7"/>
    <x v="127"/>
    <x v="127"/>
    <s v="M03"/>
    <s v="General Fund"/>
    <n v="3028083.03"/>
  </r>
  <r>
    <x v="3"/>
    <x v="5"/>
    <x v="188"/>
    <x v="185"/>
    <s v="MM3"/>
    <s v="General Fund"/>
    <n v="16040285.880000001"/>
  </r>
  <r>
    <x v="3"/>
    <x v="0"/>
    <x v="221"/>
    <x v="219"/>
    <s v="MM3"/>
    <s v="General Fund"/>
    <n v="933987710.86000001"/>
  </r>
  <r>
    <x v="3"/>
    <x v="1"/>
    <x v="381"/>
    <x v="52"/>
    <s v="M03"/>
    <s v="General Fund"/>
    <n v="244613.75"/>
  </r>
  <r>
    <x v="3"/>
    <x v="6"/>
    <x v="181"/>
    <x v="178"/>
    <s v="M04"/>
    <s v="Federal Grants Fund"/>
    <n v="11456011.52"/>
  </r>
  <r>
    <x v="3"/>
    <x v="0"/>
    <x v="177"/>
    <x v="174"/>
    <s v="MM3"/>
    <s v="General Fund"/>
    <n v="6129879.9199999999"/>
  </r>
  <r>
    <x v="3"/>
    <x v="6"/>
    <x v="233"/>
    <x v="230"/>
    <s v="M03"/>
    <s v="Federal Grants Fund"/>
    <n v="4661260.8899999997"/>
  </r>
  <r>
    <x v="0"/>
    <x v="1"/>
    <x v="136"/>
    <x v="121"/>
    <s v="M03"/>
    <s v="General Fund"/>
    <n v="1277556.97"/>
  </r>
  <r>
    <x v="0"/>
    <x v="5"/>
    <x v="130"/>
    <x v="130"/>
    <s v="MM3"/>
    <s v="General Fund"/>
    <n v="9063552.25"/>
  </r>
  <r>
    <x v="0"/>
    <x v="0"/>
    <x v="278"/>
    <x v="280"/>
    <s v="M03"/>
    <s v="General Fund"/>
    <n v="6917351.9699999997"/>
  </r>
  <r>
    <x v="1"/>
    <x v="12"/>
    <x v="382"/>
    <x v="385"/>
    <s v="M03"/>
    <s v="General Fund"/>
    <n v="2220982"/>
  </r>
  <r>
    <x v="1"/>
    <x v="7"/>
    <x v="238"/>
    <x v="236"/>
    <s v="M03"/>
    <s v="Trust Fund For the Head Injury Treatment Service Fund"/>
    <n v="1262176.51"/>
  </r>
  <r>
    <x v="2"/>
    <x v="0"/>
    <x v="104"/>
    <x v="104"/>
    <s v="M04"/>
    <s v="General Fund"/>
    <n v="22459561.420000002"/>
  </r>
  <r>
    <x v="1"/>
    <x v="7"/>
    <x v="296"/>
    <x v="298"/>
    <s v="M03"/>
    <s v="Federal Grants Fund"/>
    <n v="1240213.1000000001"/>
  </r>
  <r>
    <x v="2"/>
    <x v="6"/>
    <x v="63"/>
    <x v="63"/>
    <s v="M03"/>
    <s v="Federal Grants Fund"/>
    <n v="323361.56"/>
  </r>
  <r>
    <x v="2"/>
    <x v="6"/>
    <x v="240"/>
    <x v="238"/>
    <s v="MM3"/>
    <s v="General Fund"/>
    <n v="718562.82"/>
  </r>
  <r>
    <x v="0"/>
    <x v="0"/>
    <x v="177"/>
    <x v="174"/>
    <s v="M03"/>
    <s v="General Fund"/>
    <n v="19905771.41"/>
  </r>
  <r>
    <x v="2"/>
    <x v="5"/>
    <x v="130"/>
    <x v="130"/>
    <s v="MM3"/>
    <s v="General Fund"/>
    <n v="6852261.4800000004"/>
  </r>
  <r>
    <x v="1"/>
    <x v="6"/>
    <x v="171"/>
    <x v="169"/>
    <s v="M03"/>
    <s v="Federal Grants Fund"/>
    <n v="677899.97"/>
  </r>
  <r>
    <x v="3"/>
    <x v="0"/>
    <x v="48"/>
    <x v="48"/>
    <s v="M03"/>
    <s v="General Fund"/>
    <n v="1400161.5"/>
  </r>
  <r>
    <x v="3"/>
    <x v="0"/>
    <x v="221"/>
    <x v="219"/>
    <s v="M03"/>
    <s v="General Fund"/>
    <n v="23809230.920000002"/>
  </r>
  <r>
    <x v="1"/>
    <x v="0"/>
    <x v="260"/>
    <x v="260"/>
    <s v="M03"/>
    <s v="General Fund"/>
    <n v="402331.09"/>
  </r>
  <r>
    <x v="3"/>
    <x v="6"/>
    <x v="365"/>
    <x v="370"/>
    <s v="M03"/>
    <s v="General Fund"/>
    <n v="2383875.5299999998"/>
  </r>
  <r>
    <x v="3"/>
    <x v="12"/>
    <x v="383"/>
    <x v="386"/>
    <s v="M03"/>
    <s v="General Fund"/>
    <n v="2902200"/>
  </r>
  <r>
    <x v="3"/>
    <x v="8"/>
    <x v="243"/>
    <x v="241"/>
    <s v="M03"/>
    <s v="Federal Grants Fund"/>
    <n v="321691.28000000003"/>
  </r>
  <r>
    <x v="0"/>
    <x v="1"/>
    <x v="381"/>
    <x v="52"/>
    <s v="M03"/>
    <s v="General Fund"/>
    <n v="335893.51"/>
  </r>
  <r>
    <x v="2"/>
    <x v="3"/>
    <x v="113"/>
    <x v="113"/>
    <s v="M04"/>
    <s v="Federal Grants Fund"/>
    <n v="308513.2"/>
  </r>
  <r>
    <x v="2"/>
    <x v="6"/>
    <x v="82"/>
    <x v="82"/>
    <s v="MM3"/>
    <s v="General Fund"/>
    <n v="4526395.95"/>
  </r>
  <r>
    <x v="4"/>
    <x v="0"/>
    <x v="0"/>
    <x v="0"/>
    <s v="MM3"/>
    <s v="General Fund"/>
    <n v="19204120.460000001"/>
  </r>
  <r>
    <x v="0"/>
    <x v="7"/>
    <x v="238"/>
    <x v="236"/>
    <s v="M03"/>
    <s v="General Fund"/>
    <n v="874899"/>
  </r>
  <r>
    <x v="0"/>
    <x v="9"/>
    <x v="219"/>
    <x v="217"/>
    <s v="M03"/>
    <s v="General Fund"/>
    <n v="7766435.9299999997"/>
  </r>
  <r>
    <x v="1"/>
    <x v="0"/>
    <x v="169"/>
    <x v="167"/>
    <s v="MM3"/>
    <s v="General Fund"/>
    <n v="9600.7999999999993"/>
  </r>
  <r>
    <x v="0"/>
    <x v="5"/>
    <x v="130"/>
    <x v="130"/>
    <s v="MM3"/>
    <s v="Federal Grants Fund"/>
    <n v="1649552.81"/>
  </r>
  <r>
    <x v="1"/>
    <x v="0"/>
    <x v="41"/>
    <x v="41"/>
    <s v="M03"/>
    <s v="General Fund"/>
    <n v="1624631.6"/>
  </r>
  <r>
    <x v="1"/>
    <x v="2"/>
    <x v="364"/>
    <x v="369"/>
    <s v="M03"/>
    <s v="General Fund"/>
    <n v="168601477.30000001"/>
  </r>
  <r>
    <x v="1"/>
    <x v="0"/>
    <x v="273"/>
    <x v="274"/>
    <s v="MM3"/>
    <s v="General Fund"/>
    <n v="2966658.62"/>
  </r>
  <r>
    <x v="1"/>
    <x v="2"/>
    <x v="384"/>
    <x v="387"/>
    <s v="M03"/>
    <s v="General Fund"/>
    <n v="3554942.77"/>
  </r>
  <r>
    <x v="0"/>
    <x v="0"/>
    <x v="193"/>
    <x v="190"/>
    <s v="MM3"/>
    <s v="General Fund"/>
    <n v="730917.47"/>
  </r>
  <r>
    <x v="0"/>
    <x v="2"/>
    <x v="338"/>
    <x v="342"/>
    <s v="M03"/>
    <s v="Federal Grants Fund"/>
    <n v="2122895.67"/>
  </r>
  <r>
    <x v="2"/>
    <x v="7"/>
    <x v="15"/>
    <x v="15"/>
    <s v="M03"/>
    <s v="Federal Grants Fund"/>
    <n v="387507.67"/>
  </r>
  <r>
    <x v="0"/>
    <x v="2"/>
    <x v="197"/>
    <x v="194"/>
    <s v="M03"/>
    <s v="General Fund"/>
    <n v="1000256.16"/>
  </r>
  <r>
    <x v="4"/>
    <x v="7"/>
    <x v="327"/>
    <x v="331"/>
    <s v="M03"/>
    <s v="General Fund"/>
    <n v="2062837.99"/>
  </r>
  <r>
    <x v="2"/>
    <x v="6"/>
    <x v="61"/>
    <x v="61"/>
    <s v="M04"/>
    <s v="Federal Grants Fund"/>
    <n v="1119205.3400000001"/>
  </r>
  <r>
    <x v="2"/>
    <x v="8"/>
    <x v="17"/>
    <x v="17"/>
    <s v="M03"/>
    <s v="Federal Grants Fund"/>
    <n v="2159243.75"/>
  </r>
  <r>
    <x v="0"/>
    <x v="6"/>
    <x v="234"/>
    <x v="231"/>
    <s v="M03"/>
    <s v="General Fund"/>
    <n v="1089530.9099999999"/>
  </r>
  <r>
    <x v="2"/>
    <x v="1"/>
    <x v="228"/>
    <x v="226"/>
    <s v="M03"/>
    <s v="General Fund"/>
    <n v="149184"/>
  </r>
  <r>
    <x v="2"/>
    <x v="9"/>
    <x v="72"/>
    <x v="388"/>
    <s v="M03"/>
    <s v="General Fund"/>
    <n v="15180413.890000001"/>
  </r>
  <r>
    <x v="1"/>
    <x v="10"/>
    <x v="385"/>
    <x v="389"/>
    <s v="M04"/>
    <s v="General Fund"/>
    <n v="51025838"/>
  </r>
  <r>
    <x v="1"/>
    <x v="6"/>
    <x v="87"/>
    <x v="87"/>
    <s v="M04"/>
    <s v="Prevention and Wellness Trust Fund"/>
    <n v="171646.9"/>
  </r>
  <r>
    <x v="2"/>
    <x v="6"/>
    <x v="252"/>
    <x v="250"/>
    <s v="MM3"/>
    <s v="Federal Grants Fund"/>
    <n v="240190.33"/>
  </r>
  <r>
    <x v="1"/>
    <x v="3"/>
    <x v="367"/>
    <x v="372"/>
    <s v="M03"/>
    <s v="General Fund"/>
    <n v="31786613.800000001"/>
  </r>
  <r>
    <x v="0"/>
    <x v="7"/>
    <x v="326"/>
    <x v="330"/>
    <s v="M03"/>
    <s v="Federal Grants Fund"/>
    <n v="241382.39999999999"/>
  </r>
  <r>
    <x v="4"/>
    <x v="0"/>
    <x v="10"/>
    <x v="10"/>
    <s v="M03"/>
    <s v="General Fund"/>
    <n v="1676182.08"/>
  </r>
  <r>
    <x v="3"/>
    <x v="7"/>
    <x v="296"/>
    <x v="298"/>
    <s v="M03"/>
    <s v="Federal Grants Fund"/>
    <n v="1261198"/>
  </r>
  <r>
    <x v="0"/>
    <x v="4"/>
    <x v="4"/>
    <x v="4"/>
    <s v="M03"/>
    <s v="General Fund"/>
    <n v="2042979.85"/>
  </r>
  <r>
    <x v="0"/>
    <x v="6"/>
    <x v="171"/>
    <x v="169"/>
    <s v="M03"/>
    <s v="Federal Grants Fund"/>
    <n v="661337.94999999995"/>
  </r>
  <r>
    <x v="1"/>
    <x v="5"/>
    <x v="94"/>
    <x v="94"/>
    <s v="M04"/>
    <s v="General Fund"/>
    <n v="772542.95"/>
  </r>
  <r>
    <x v="2"/>
    <x v="6"/>
    <x v="337"/>
    <x v="341"/>
    <s v="M04"/>
    <s v="General Fund"/>
    <n v="3450066.38"/>
  </r>
  <r>
    <x v="3"/>
    <x v="6"/>
    <x v="335"/>
    <x v="339"/>
    <s v="M03"/>
    <s v="General Fund"/>
    <n v="2583600.75"/>
  </r>
  <r>
    <x v="3"/>
    <x v="0"/>
    <x v="161"/>
    <x v="159"/>
    <s v="MM3"/>
    <s v="General Fund"/>
    <n v="456857.16"/>
  </r>
  <r>
    <x v="4"/>
    <x v="6"/>
    <x v="324"/>
    <x v="327"/>
    <s v="M03"/>
    <s v="General Fund"/>
    <n v="276398.28000000003"/>
  </r>
  <r>
    <x v="3"/>
    <x v="6"/>
    <x v="35"/>
    <x v="35"/>
    <s v="M03"/>
    <s v="Federal Grants Fund"/>
    <n v="161147.12"/>
  </r>
  <r>
    <x v="3"/>
    <x v="6"/>
    <x v="146"/>
    <x v="145"/>
    <s v="M04"/>
    <s v="General Fund"/>
    <n v="144996.46"/>
  </r>
  <r>
    <x v="0"/>
    <x v="10"/>
    <x v="385"/>
    <x v="389"/>
    <s v="M04"/>
    <s v="General Fund"/>
    <n v="58273427"/>
  </r>
  <r>
    <x v="0"/>
    <x v="6"/>
    <x v="386"/>
    <x v="390"/>
    <s v="MM3"/>
    <s v="Federal Grants Fund"/>
    <n v="432408.19"/>
  </r>
  <r>
    <x v="2"/>
    <x v="5"/>
    <x v="387"/>
    <x v="391"/>
    <s v="MM3"/>
    <s v="General Fund"/>
    <n v="7831741.7800000003"/>
  </r>
  <r>
    <x v="0"/>
    <x v="9"/>
    <x v="388"/>
    <x v="392"/>
    <s v="M03"/>
    <s v="General Fund"/>
    <n v="2690943.13"/>
  </r>
  <r>
    <x v="2"/>
    <x v="0"/>
    <x v="122"/>
    <x v="346"/>
    <s v="M03"/>
    <s v="Intragovernmental Services Fund"/>
    <n v="0"/>
  </r>
  <r>
    <x v="2"/>
    <x v="6"/>
    <x v="170"/>
    <x v="168"/>
    <s v="MM3"/>
    <s v="General Fund"/>
    <n v="1012943"/>
  </r>
  <r>
    <x v="1"/>
    <x v="5"/>
    <x v="270"/>
    <x v="270"/>
    <s v="MM3"/>
    <s v="General Fund"/>
    <n v="1869122.52"/>
  </r>
  <r>
    <x v="0"/>
    <x v="3"/>
    <x v="313"/>
    <x v="316"/>
    <s v="M03"/>
    <s v="Federal Grants Fund"/>
    <n v="163346.47"/>
  </r>
  <r>
    <x v="3"/>
    <x v="6"/>
    <x v="137"/>
    <x v="136"/>
    <s v="M03"/>
    <s v="Substance Use Disorder Federal Reinvestment Trust Fund"/>
    <n v="1702330.08"/>
  </r>
  <r>
    <x v="2"/>
    <x v="6"/>
    <x v="324"/>
    <x v="327"/>
    <s v="M03"/>
    <s v="General Fund"/>
    <n v="322733.31"/>
  </r>
  <r>
    <x v="2"/>
    <x v="6"/>
    <x v="170"/>
    <x v="168"/>
    <s v="MM3"/>
    <s v="Federal Grants Fund"/>
    <n v="996992.92"/>
  </r>
  <r>
    <x v="4"/>
    <x v="6"/>
    <x v="87"/>
    <x v="87"/>
    <s v="M04"/>
    <s v="Federal Grants Fund"/>
    <n v="6597629.7599999998"/>
  </r>
  <r>
    <x v="4"/>
    <x v="7"/>
    <x v="238"/>
    <x v="236"/>
    <s v="M03"/>
    <s v="Trust Fund For the Head Injury Treatment Service Fund"/>
    <n v="1600794.02"/>
  </r>
  <r>
    <x v="4"/>
    <x v="2"/>
    <x v="389"/>
    <x v="393"/>
    <s v="M03"/>
    <s v="General Fund"/>
    <n v="1388700.34"/>
  </r>
  <r>
    <x v="4"/>
    <x v="2"/>
    <x v="283"/>
    <x v="285"/>
    <s v="M03"/>
    <s v="General Fund"/>
    <n v="20441886.800000001"/>
  </r>
  <r>
    <x v="4"/>
    <x v="0"/>
    <x v="229"/>
    <x v="227"/>
    <s v="M03"/>
    <s v="General Fund"/>
    <n v="409992.82"/>
  </r>
  <r>
    <x v="5"/>
    <x v="0"/>
    <x v="0"/>
    <x v="0"/>
    <s v="M03"/>
    <s v="General Fund"/>
    <n v="19015291.469999999"/>
  </r>
  <r>
    <x v="5"/>
    <x v="5"/>
    <x v="390"/>
    <x v="394"/>
    <s v="MM3"/>
    <s v="General Fund"/>
    <n v="7375897.5899999999"/>
  </r>
  <r>
    <x v="5"/>
    <x v="7"/>
    <x v="127"/>
    <x v="127"/>
    <s v="M03"/>
    <s v="General Fund"/>
    <n v="3027701.16"/>
  </r>
  <r>
    <x v="5"/>
    <x v="7"/>
    <x v="47"/>
    <x v="47"/>
    <s v="M03"/>
    <s v="General Fund"/>
    <n v="19970288.800000001"/>
  </r>
  <r>
    <x v="5"/>
    <x v="3"/>
    <x v="89"/>
    <x v="89"/>
    <s v="M04"/>
    <s v="General Fund"/>
    <n v="168941.62"/>
  </r>
  <r>
    <x v="5"/>
    <x v="5"/>
    <x v="133"/>
    <x v="133"/>
    <s v="M03"/>
    <s v="General Fund"/>
    <n v="21506891.280000001"/>
  </r>
  <r>
    <x v="5"/>
    <x v="6"/>
    <x v="357"/>
    <x v="363"/>
    <s v="MM3"/>
    <s v="General Fund"/>
    <n v="1764505.89"/>
  </r>
  <r>
    <x v="5"/>
    <x v="5"/>
    <x v="353"/>
    <x v="359"/>
    <s v="M04"/>
    <s v="Expendable Trust Fund - External"/>
    <n v="3671.83"/>
  </r>
  <r>
    <x v="5"/>
    <x v="7"/>
    <x v="23"/>
    <x v="23"/>
    <s v="M03"/>
    <s v="General Fund"/>
    <n v="6317416.3600000003"/>
  </r>
  <r>
    <x v="5"/>
    <x v="0"/>
    <x v="150"/>
    <x v="149"/>
    <s v="M04"/>
    <s v="General Fund"/>
    <n v="528375.05000000005"/>
  </r>
  <r>
    <x v="1"/>
    <x v="6"/>
    <x v="324"/>
    <x v="327"/>
    <s v="M03"/>
    <s v="General Fund"/>
    <n v="300648.59000000003"/>
  </r>
  <r>
    <x v="1"/>
    <x v="0"/>
    <x v="167"/>
    <x v="165"/>
    <s v="M04"/>
    <s v="General Fund"/>
    <n v="699873.13"/>
  </r>
  <r>
    <x v="5"/>
    <x v="0"/>
    <x v="58"/>
    <x v="58"/>
    <s v="MM3"/>
    <s v="General Fund"/>
    <n v="83781"/>
  </r>
  <r>
    <x v="5"/>
    <x v="8"/>
    <x v="391"/>
    <x v="395"/>
    <s v="M03"/>
    <s v="General Fund"/>
    <n v="304380.87"/>
  </r>
  <r>
    <x v="5"/>
    <x v="1"/>
    <x v="392"/>
    <x v="396"/>
    <s v="M03"/>
    <s v="General Fund"/>
    <n v="79694.69"/>
  </r>
  <r>
    <x v="5"/>
    <x v="12"/>
    <x v="124"/>
    <x v="124"/>
    <s v="M03"/>
    <s v="Federal Grants Fund"/>
    <n v="5776822.1299999999"/>
  </r>
  <r>
    <x v="0"/>
    <x v="0"/>
    <x v="141"/>
    <x v="357"/>
    <s v="MM3"/>
    <s v="General Fund"/>
    <n v="16548.419999999998"/>
  </r>
  <r>
    <x v="1"/>
    <x v="6"/>
    <x v="137"/>
    <x v="136"/>
    <s v="MM3"/>
    <s v="Substance Abuse Services Fund"/>
    <n v="72997.490000000005"/>
  </r>
  <r>
    <x v="1"/>
    <x v="0"/>
    <x v="161"/>
    <x v="159"/>
    <s v="M03"/>
    <s v="General Fund"/>
    <n v="145499.9"/>
  </r>
  <r>
    <x v="1"/>
    <x v="6"/>
    <x v="196"/>
    <x v="193"/>
    <s v="MM3"/>
    <s v="General Fund"/>
    <n v="1069296.6299999999"/>
  </r>
  <r>
    <x v="2"/>
    <x v="7"/>
    <x v="173"/>
    <x v="104"/>
    <s v="M04"/>
    <s v="Federal Grants Fund"/>
    <n v="55867.35"/>
  </r>
  <r>
    <x v="0"/>
    <x v="0"/>
    <x v="220"/>
    <x v="218"/>
    <s v="M03"/>
    <s v="Expendable Trust Fund - External"/>
    <n v="0"/>
  </r>
  <r>
    <x v="1"/>
    <x v="3"/>
    <x v="302"/>
    <x v="305"/>
    <s v="MM3"/>
    <s v="General Fund"/>
    <n v="226911"/>
  </r>
  <r>
    <x v="1"/>
    <x v="6"/>
    <x v="277"/>
    <x v="279"/>
    <s v="M03"/>
    <s v="Federal Grants Fund"/>
    <n v="55043.43"/>
  </r>
  <r>
    <x v="4"/>
    <x v="1"/>
    <x v="259"/>
    <x v="259"/>
    <s v="M04"/>
    <s v="General Fund"/>
    <n v="51849.65"/>
  </r>
  <r>
    <x v="4"/>
    <x v="0"/>
    <x v="217"/>
    <x v="215"/>
    <s v="MM3"/>
    <s v="General Fund"/>
    <n v="314204.34999999998"/>
  </r>
  <r>
    <x v="5"/>
    <x v="0"/>
    <x v="115"/>
    <x v="115"/>
    <s v="M03"/>
    <s v="General Fund"/>
    <n v="53755.44"/>
  </r>
  <r>
    <x v="0"/>
    <x v="6"/>
    <x v="305"/>
    <x v="308"/>
    <s v="M04"/>
    <s v="Federal Grants Fund"/>
    <n v="5238317.3"/>
  </r>
  <r>
    <x v="5"/>
    <x v="0"/>
    <x v="210"/>
    <x v="207"/>
    <s v="M03"/>
    <s v="General Fund"/>
    <n v="250755.91"/>
  </r>
  <r>
    <x v="5"/>
    <x v="12"/>
    <x v="393"/>
    <x v="397"/>
    <s v="M03"/>
    <s v="Federal Grants Fund"/>
    <n v="93054.02"/>
  </r>
  <r>
    <x v="3"/>
    <x v="6"/>
    <x v="37"/>
    <x v="37"/>
    <s v="MM3"/>
    <s v="General Fund"/>
    <n v="0"/>
  </r>
  <r>
    <x v="3"/>
    <x v="6"/>
    <x v="83"/>
    <x v="83"/>
    <s v="MM3"/>
    <s v="Federal Grants Fund"/>
    <n v="657817.65"/>
  </r>
  <r>
    <x v="0"/>
    <x v="1"/>
    <x v="259"/>
    <x v="259"/>
    <s v="M04"/>
    <s v="General Fund"/>
    <n v="47857"/>
  </r>
  <r>
    <x v="1"/>
    <x v="6"/>
    <x v="166"/>
    <x v="164"/>
    <s v="M04"/>
    <s v="General Fund"/>
    <n v="250000"/>
  </r>
  <r>
    <x v="1"/>
    <x v="6"/>
    <x v="264"/>
    <x v="264"/>
    <s v="MM3"/>
    <s v="General Fund"/>
    <n v="605284.85"/>
  </r>
  <r>
    <x v="0"/>
    <x v="6"/>
    <x v="50"/>
    <x v="50"/>
    <s v="M04"/>
    <s v="General Fund"/>
    <n v="575000"/>
  </r>
  <r>
    <x v="2"/>
    <x v="1"/>
    <x v="259"/>
    <x v="259"/>
    <s v="M04"/>
    <s v="General Fund"/>
    <n v="47857"/>
  </r>
  <r>
    <x v="4"/>
    <x v="18"/>
    <x v="394"/>
    <x v="398"/>
    <s v="M04"/>
    <s v="General Fund"/>
    <n v="1855"/>
  </r>
  <r>
    <x v="4"/>
    <x v="0"/>
    <x v="147"/>
    <x v="256"/>
    <s v="M03"/>
    <s v="General Fund"/>
    <n v="1028777.67"/>
  </r>
  <r>
    <x v="4"/>
    <x v="6"/>
    <x v="324"/>
    <x v="327"/>
    <s v="M04"/>
    <s v="General Fund"/>
    <n v="188148.29"/>
  </r>
  <r>
    <x v="4"/>
    <x v="5"/>
    <x v="75"/>
    <x v="75"/>
    <s v="M04"/>
    <s v="General Fund"/>
    <n v="1284620.25"/>
  </r>
  <r>
    <x v="4"/>
    <x v="1"/>
    <x v="395"/>
    <x v="399"/>
    <s v="M04"/>
    <s v="Federal Grants Fund"/>
    <n v="149351"/>
  </r>
  <r>
    <x v="4"/>
    <x v="0"/>
    <x v="154"/>
    <x v="153"/>
    <s v="MM3"/>
    <s v="Expendable Trust Fund - External"/>
    <n v="0"/>
  </r>
  <r>
    <x v="4"/>
    <x v="0"/>
    <x v="169"/>
    <x v="167"/>
    <s v="MM3"/>
    <s v="General Fund"/>
    <n v="6071.41"/>
  </r>
  <r>
    <x v="4"/>
    <x v="9"/>
    <x v="200"/>
    <x v="197"/>
    <s v="M03"/>
    <s v="Federal Grants Fund"/>
    <n v="183758.14"/>
  </r>
  <r>
    <x v="5"/>
    <x v="6"/>
    <x v="277"/>
    <x v="279"/>
    <s v="M03"/>
    <s v="General Fund"/>
    <n v="876673.19"/>
  </r>
  <r>
    <x v="5"/>
    <x v="6"/>
    <x v="396"/>
    <x v="400"/>
    <s v="MM3"/>
    <s v="General Fund"/>
    <n v="622524.68000000005"/>
  </r>
  <r>
    <x v="5"/>
    <x v="6"/>
    <x v="325"/>
    <x v="328"/>
    <s v="M04"/>
    <s v="General Fund"/>
    <n v="515037.16"/>
  </r>
  <r>
    <x v="5"/>
    <x v="7"/>
    <x v="343"/>
    <x v="348"/>
    <s v="M03"/>
    <s v="General Fund"/>
    <n v="2570.12"/>
  </r>
  <r>
    <x v="5"/>
    <x v="6"/>
    <x v="308"/>
    <x v="311"/>
    <s v="MM3"/>
    <s v="General Fund"/>
    <n v="2074034"/>
  </r>
  <r>
    <x v="5"/>
    <x v="0"/>
    <x v="220"/>
    <x v="218"/>
    <s v="M03"/>
    <s v="Expendable Trust Fund - External"/>
    <n v="-671.06"/>
  </r>
  <r>
    <x v="5"/>
    <x v="6"/>
    <x v="397"/>
    <x v="181"/>
    <s v="M04"/>
    <s v="General Fund"/>
    <n v="410255.31"/>
  </r>
  <r>
    <x v="2"/>
    <x v="0"/>
    <x v="186"/>
    <x v="183"/>
    <s v="M03"/>
    <s v="Expendable Trust Fund - External"/>
    <n v="539716.03"/>
  </r>
  <r>
    <x v="0"/>
    <x v="6"/>
    <x v="77"/>
    <x v="77"/>
    <s v="MM3"/>
    <s v="General Fund"/>
    <n v="0"/>
  </r>
  <r>
    <x v="1"/>
    <x v="6"/>
    <x v="398"/>
    <x v="401"/>
    <s v="M04"/>
    <s v="General Fund"/>
    <n v="73690.13"/>
  </r>
  <r>
    <x v="0"/>
    <x v="6"/>
    <x v="109"/>
    <x v="109"/>
    <s v="MM3"/>
    <s v="General Fund"/>
    <n v="224726.6"/>
  </r>
  <r>
    <x v="0"/>
    <x v="8"/>
    <x v="399"/>
    <x v="402"/>
    <s v="M03"/>
    <s v="Federal Grants Fund"/>
    <n v="50000"/>
  </r>
  <r>
    <x v="2"/>
    <x v="6"/>
    <x v="191"/>
    <x v="188"/>
    <s v="MM3"/>
    <s v="General Fund"/>
    <n v="1600000"/>
  </r>
  <r>
    <x v="3"/>
    <x v="12"/>
    <x v="98"/>
    <x v="98"/>
    <s v="M03"/>
    <s v="General Fund"/>
    <n v="101155.83"/>
  </r>
  <r>
    <x v="5"/>
    <x v="6"/>
    <x v="50"/>
    <x v="50"/>
    <s v="M04"/>
    <s v="General Fund"/>
    <n v="546415.69999999995"/>
  </r>
  <r>
    <x v="2"/>
    <x v="6"/>
    <x v="77"/>
    <x v="77"/>
    <s v="MM3"/>
    <s v="General Fund"/>
    <n v="21000"/>
  </r>
  <r>
    <x v="3"/>
    <x v="6"/>
    <x v="400"/>
    <x v="403"/>
    <s v="M03"/>
    <s v="General Fund"/>
    <n v="178419.3"/>
  </r>
  <r>
    <x v="2"/>
    <x v="5"/>
    <x v="242"/>
    <x v="240"/>
    <s v="MM3"/>
    <s v="General Fund"/>
    <n v="120000"/>
  </r>
  <r>
    <x v="4"/>
    <x v="6"/>
    <x v="152"/>
    <x v="151"/>
    <s v="M03"/>
    <s v="General Fund"/>
    <n v="114978.65"/>
  </r>
  <r>
    <x v="4"/>
    <x v="6"/>
    <x v="86"/>
    <x v="86"/>
    <s v="MM3"/>
    <s v="Federal Grants Fund"/>
    <n v="191283.4"/>
  </r>
  <r>
    <x v="4"/>
    <x v="6"/>
    <x v="123"/>
    <x v="123"/>
    <s v="M04"/>
    <s v="Federal Grants Fund"/>
    <n v="170933.14"/>
  </r>
  <r>
    <x v="3"/>
    <x v="6"/>
    <x v="301"/>
    <x v="304"/>
    <s v="M04"/>
    <s v="General Fund"/>
    <n v="655000"/>
  </r>
  <r>
    <x v="0"/>
    <x v="6"/>
    <x v="191"/>
    <x v="188"/>
    <s v="MM3"/>
    <s v="General Fund"/>
    <n v="1586802"/>
  </r>
  <r>
    <x v="0"/>
    <x v="6"/>
    <x v="204"/>
    <x v="201"/>
    <s v="M04"/>
    <s v="General Fund"/>
    <n v="9730.7199999999993"/>
  </r>
  <r>
    <x v="4"/>
    <x v="0"/>
    <x v="103"/>
    <x v="103"/>
    <s v="M04"/>
    <s v="Expendable Trust Fund - External"/>
    <n v="0"/>
  </r>
  <r>
    <x v="0"/>
    <x v="6"/>
    <x v="401"/>
    <x v="404"/>
    <s v="M04"/>
    <s v="Federal Grants Fund"/>
    <n v="0"/>
  </r>
  <r>
    <x v="4"/>
    <x v="3"/>
    <x v="402"/>
    <x v="405"/>
    <s v="M04"/>
    <s v="Expendable Trust Fund - External"/>
    <n v="1754.75"/>
  </r>
  <r>
    <x v="1"/>
    <x v="6"/>
    <x v="19"/>
    <x v="19"/>
    <s v="M04"/>
    <s v="Federal Grants Fund"/>
    <n v="30000"/>
  </r>
  <r>
    <x v="4"/>
    <x v="0"/>
    <x v="141"/>
    <x v="357"/>
    <s v="MM3"/>
    <s v="General Fund"/>
    <n v="0"/>
  </r>
  <r>
    <x v="3"/>
    <x v="1"/>
    <x v="266"/>
    <x v="300"/>
    <s v="M04"/>
    <s v="Federal Grants Fund"/>
    <n v="32938.300000000003"/>
  </r>
  <r>
    <x v="4"/>
    <x v="6"/>
    <x v="398"/>
    <x v="401"/>
    <s v="M04"/>
    <s v="General Fund"/>
    <n v="13866.28"/>
  </r>
  <r>
    <x v="4"/>
    <x v="0"/>
    <x v="369"/>
    <x v="374"/>
    <s v="M03"/>
    <s v="General Fund"/>
    <n v="1345.74"/>
  </r>
  <r>
    <x v="3"/>
    <x v="6"/>
    <x v="8"/>
    <x v="8"/>
    <s v="M04"/>
    <s v="Federal Grants Fund"/>
    <n v="36900"/>
  </r>
  <r>
    <x v="3"/>
    <x v="6"/>
    <x v="386"/>
    <x v="390"/>
    <s v="MM3"/>
    <s v="Federal Grants Fund"/>
    <n v="0"/>
  </r>
  <r>
    <x v="1"/>
    <x v="6"/>
    <x v="183"/>
    <x v="180"/>
    <s v="M04"/>
    <s v="General Fund"/>
    <n v="55561.29"/>
  </r>
  <r>
    <x v="3"/>
    <x v="7"/>
    <x v="326"/>
    <x v="330"/>
    <s v="M03"/>
    <s v="Trust Fund For the Head Injury Treatment Service Fund"/>
    <n v="-2047.5"/>
  </r>
  <r>
    <x v="5"/>
    <x v="0"/>
    <x v="403"/>
    <x v="406"/>
    <s v="M03"/>
    <s v="Expendable Trust Fund - External"/>
    <n v="0"/>
  </r>
  <r>
    <x v="2"/>
    <x v="6"/>
    <x v="183"/>
    <x v="180"/>
    <s v="M04"/>
    <s v="General Fund"/>
    <n v="152326"/>
  </r>
  <r>
    <x v="4"/>
    <x v="3"/>
    <x v="3"/>
    <x v="3"/>
    <s v="M03"/>
    <s v="Federal Grants Fund"/>
    <n v="0"/>
  </r>
  <r>
    <x v="1"/>
    <x v="5"/>
    <x v="133"/>
    <x v="133"/>
    <s v="M03"/>
    <s v="Federal Grants Fund"/>
    <n v="0"/>
  </r>
  <r>
    <x v="5"/>
    <x v="0"/>
    <x v="205"/>
    <x v="202"/>
    <s v="M03"/>
    <s v="General Fund"/>
    <n v="30000"/>
  </r>
  <r>
    <x v="5"/>
    <x v="9"/>
    <x v="200"/>
    <x v="197"/>
    <s v="M03"/>
    <s v="Federal Grants Fund"/>
    <n v="0"/>
  </r>
  <r>
    <x v="1"/>
    <x v="0"/>
    <x v="229"/>
    <x v="227"/>
    <s v="M03"/>
    <s v="Expendable Trust Fund - External"/>
    <n v="0"/>
  </r>
  <r>
    <x v="1"/>
    <x v="6"/>
    <x v="264"/>
    <x v="264"/>
    <s v="MM3"/>
    <s v="Federal Grants Fund"/>
    <n v="50116.09"/>
  </r>
  <r>
    <x v="3"/>
    <x v="5"/>
    <x v="133"/>
    <x v="133"/>
    <s v="MM3"/>
    <s v="General Fund"/>
    <n v="0"/>
  </r>
  <r>
    <x v="3"/>
    <x v="5"/>
    <x v="131"/>
    <x v="131"/>
    <s v="M03"/>
    <s v="General Fund"/>
    <n v="62689"/>
  </r>
  <r>
    <x v="2"/>
    <x v="0"/>
    <x v="88"/>
    <x v="88"/>
    <s v="M03"/>
    <s v="Intragovernmental Services Fund"/>
    <n v="0"/>
  </r>
  <r>
    <x v="3"/>
    <x v="0"/>
    <x v="186"/>
    <x v="183"/>
    <s v="MM3"/>
    <s v="General Fund"/>
    <n v="68304.100000000006"/>
  </r>
  <r>
    <x v="1"/>
    <x v="0"/>
    <x v="336"/>
    <x v="340"/>
    <s v="MM3"/>
    <s v="General Fund"/>
    <n v="9000"/>
  </r>
  <r>
    <x v="4"/>
    <x v="3"/>
    <x v="307"/>
    <x v="310"/>
    <s v="M03"/>
    <s v="General Fund"/>
    <n v="0"/>
  </r>
  <r>
    <x v="3"/>
    <x v="1"/>
    <x v="392"/>
    <x v="396"/>
    <s v="M03"/>
    <s v="General Fund"/>
    <n v="0"/>
  </r>
  <r>
    <x v="4"/>
    <x v="3"/>
    <x v="371"/>
    <x v="376"/>
    <s v="M03"/>
    <s v="General Fund"/>
    <n v="0"/>
  </r>
  <r>
    <x v="1"/>
    <x v="5"/>
    <x v="30"/>
    <x v="30"/>
    <s v="M03"/>
    <s v="Federal Grants Fund"/>
    <n v="0"/>
  </r>
  <r>
    <x v="4"/>
    <x v="3"/>
    <x v="32"/>
    <x v="32"/>
    <s v="M03"/>
    <s v="General Fund"/>
    <n v="0"/>
  </r>
  <r>
    <x v="0"/>
    <x v="0"/>
    <x v="154"/>
    <x v="153"/>
    <s v="M03"/>
    <s v="Expendable Trust Fund - External"/>
    <n v="0"/>
  </r>
  <r>
    <x v="4"/>
    <x v="6"/>
    <x v="196"/>
    <x v="193"/>
    <s v="MM3"/>
    <s v="Federal Grants Fund"/>
    <n v="48107.77"/>
  </r>
  <r>
    <x v="4"/>
    <x v="0"/>
    <x v="179"/>
    <x v="176"/>
    <s v="M03"/>
    <s v="General Fund"/>
    <n v="0"/>
  </r>
  <r>
    <x v="0"/>
    <x v="6"/>
    <x v="81"/>
    <x v="81"/>
    <s v="MM3"/>
    <s v="Federal Grants Fund"/>
    <n v="1"/>
  </r>
  <r>
    <x v="0"/>
    <x v="3"/>
    <x v="404"/>
    <x v="407"/>
    <s v="M03"/>
    <s v="General Fund"/>
    <n v="54026736.270000003"/>
  </r>
  <r>
    <x v="0"/>
    <x v="0"/>
    <x v="79"/>
    <x v="79"/>
    <s v="M03"/>
    <s v="General Fund"/>
    <n v="193035.62"/>
  </r>
  <r>
    <x v="0"/>
    <x v="12"/>
    <x v="382"/>
    <x v="385"/>
    <s v="M03"/>
    <s v="General Fund"/>
    <n v="1196876"/>
  </r>
  <r>
    <x v="1"/>
    <x v="6"/>
    <x v="218"/>
    <x v="216"/>
    <s v="MM3"/>
    <s v="General Fund"/>
    <n v="12532785.710000001"/>
  </r>
  <r>
    <x v="3"/>
    <x v="6"/>
    <x v="405"/>
    <x v="408"/>
    <s v="M03"/>
    <s v="General Fund"/>
    <n v="1555680"/>
  </r>
  <r>
    <x v="3"/>
    <x v="0"/>
    <x v="154"/>
    <x v="153"/>
    <s v="MM3"/>
    <s v="General Fund"/>
    <n v="29117733.780000001"/>
  </r>
  <r>
    <x v="3"/>
    <x v="0"/>
    <x v="58"/>
    <x v="58"/>
    <s v="M03"/>
    <s v="General Fund"/>
    <n v="230965.8"/>
  </r>
  <r>
    <x v="3"/>
    <x v="6"/>
    <x v="192"/>
    <x v="189"/>
    <s v="M03"/>
    <s v="General Fund"/>
    <n v="2673957.0699999998"/>
  </r>
  <r>
    <x v="3"/>
    <x v="0"/>
    <x v="20"/>
    <x v="20"/>
    <s v="M04"/>
    <s v="General Fund"/>
    <n v="13144210.15"/>
  </r>
  <r>
    <x v="3"/>
    <x v="8"/>
    <x v="406"/>
    <x v="409"/>
    <s v="M03"/>
    <s v="Federal Grants Fund"/>
    <n v="1064146.6499999999"/>
  </r>
  <r>
    <x v="3"/>
    <x v="5"/>
    <x v="290"/>
    <x v="292"/>
    <s v="M03"/>
    <s v="General Fund"/>
    <n v="878213.24"/>
  </r>
  <r>
    <x v="3"/>
    <x v="0"/>
    <x v="97"/>
    <x v="97"/>
    <s v="MM3"/>
    <s v="General Fund"/>
    <n v="14473150.390000001"/>
  </r>
  <r>
    <x v="0"/>
    <x v="0"/>
    <x v="215"/>
    <x v="212"/>
    <s v="M03"/>
    <s v="General Fund"/>
    <n v="1523543.1"/>
  </r>
  <r>
    <x v="2"/>
    <x v="7"/>
    <x v="34"/>
    <x v="34"/>
    <s v="M03"/>
    <s v="General Fund"/>
    <n v="1476120.89"/>
  </r>
  <r>
    <x v="0"/>
    <x v="7"/>
    <x v="47"/>
    <x v="47"/>
    <s v="M03"/>
    <s v="General Fund"/>
    <n v="10454835.74"/>
  </r>
  <r>
    <x v="0"/>
    <x v="0"/>
    <x v="217"/>
    <x v="215"/>
    <s v="MM3"/>
    <s v="General Fund"/>
    <n v="303742.71999999997"/>
  </r>
  <r>
    <x v="2"/>
    <x v="6"/>
    <x v="234"/>
    <x v="231"/>
    <s v="M03"/>
    <s v="General Fund"/>
    <n v="1068816.81"/>
  </r>
  <r>
    <x v="0"/>
    <x v="3"/>
    <x v="352"/>
    <x v="358"/>
    <s v="M03"/>
    <s v="General Fund"/>
    <n v="123769510.11"/>
  </r>
  <r>
    <x v="0"/>
    <x v="7"/>
    <x v="16"/>
    <x v="16"/>
    <s v="M03"/>
    <s v="General Fund"/>
    <n v="1431200.75"/>
  </r>
  <r>
    <x v="3"/>
    <x v="10"/>
    <x v="162"/>
    <x v="160"/>
    <s v="M03"/>
    <s v="General Fund"/>
    <n v="151587303.59999999"/>
  </r>
  <r>
    <x v="3"/>
    <x v="2"/>
    <x v="328"/>
    <x v="332"/>
    <s v="M03"/>
    <s v="General Fund"/>
    <n v="111999107.48"/>
  </r>
  <r>
    <x v="3"/>
    <x v="5"/>
    <x v="390"/>
    <x v="394"/>
    <s v="MM3"/>
    <s v="General Fund"/>
    <n v="6516575.4699999997"/>
  </r>
  <r>
    <x v="3"/>
    <x v="9"/>
    <x v="407"/>
    <x v="410"/>
    <s v="M03"/>
    <s v="General Fund"/>
    <n v="7500"/>
  </r>
  <r>
    <x v="3"/>
    <x v="0"/>
    <x v="41"/>
    <x v="41"/>
    <s v="M03"/>
    <s v="General Fund"/>
    <n v="4272463.1100000003"/>
  </r>
  <r>
    <x v="3"/>
    <x v="2"/>
    <x v="389"/>
    <x v="393"/>
    <s v="M03"/>
    <s v="General Fund"/>
    <n v="1299184.3700000001"/>
  </r>
  <r>
    <x v="2"/>
    <x v="2"/>
    <x v="364"/>
    <x v="369"/>
    <s v="M03"/>
    <s v="General Fund"/>
    <n v="120738136.98999999"/>
  </r>
  <r>
    <x v="2"/>
    <x v="7"/>
    <x v="238"/>
    <x v="236"/>
    <s v="M03"/>
    <s v="General Fund"/>
    <n v="986487.27"/>
  </r>
  <r>
    <x v="3"/>
    <x v="1"/>
    <x v="54"/>
    <x v="54"/>
    <s v="M03"/>
    <s v="General Fund"/>
    <n v="523884.91"/>
  </r>
  <r>
    <x v="3"/>
    <x v="6"/>
    <x v="144"/>
    <x v="143"/>
    <s v="M04"/>
    <s v="Federal Grants Fund"/>
    <n v="1171146.71"/>
  </r>
  <r>
    <x v="1"/>
    <x v="0"/>
    <x v="11"/>
    <x v="11"/>
    <s v="M03"/>
    <s v="General Fund"/>
    <n v="488580.96"/>
  </r>
  <r>
    <x v="2"/>
    <x v="6"/>
    <x v="253"/>
    <x v="251"/>
    <s v="MM3"/>
    <s v="Federal Grants Fund"/>
    <n v="1306003.77"/>
  </r>
  <r>
    <x v="4"/>
    <x v="9"/>
    <x v="72"/>
    <x v="72"/>
    <s v="M03"/>
    <s v="General Fund"/>
    <n v="24236989.890000001"/>
  </r>
  <r>
    <x v="1"/>
    <x v="6"/>
    <x v="263"/>
    <x v="263"/>
    <s v="MM3"/>
    <s v="General Fund"/>
    <n v="23197386.190000001"/>
  </r>
  <r>
    <x v="0"/>
    <x v="18"/>
    <x v="394"/>
    <x v="398"/>
    <s v="M04"/>
    <s v="General Fund"/>
    <n v="1982.5"/>
  </r>
  <r>
    <x v="0"/>
    <x v="0"/>
    <x v="48"/>
    <x v="48"/>
    <s v="M03"/>
    <s v="General Fund"/>
    <n v="844094.72"/>
  </r>
  <r>
    <x v="1"/>
    <x v="0"/>
    <x v="49"/>
    <x v="49"/>
    <s v="M03"/>
    <s v="General Fund"/>
    <n v="306096.88"/>
  </r>
  <r>
    <x v="1"/>
    <x v="0"/>
    <x v="105"/>
    <x v="105"/>
    <s v="MM3"/>
    <s v="General Fund"/>
    <n v="24059570.800000001"/>
  </r>
  <r>
    <x v="0"/>
    <x v="0"/>
    <x v="221"/>
    <x v="219"/>
    <s v="MM3"/>
    <s v="Expendable Trust Fund - External"/>
    <n v="6106176.6799999997"/>
  </r>
  <r>
    <x v="1"/>
    <x v="7"/>
    <x v="238"/>
    <x v="236"/>
    <s v="M03"/>
    <s v="General Fund"/>
    <n v="1082556"/>
  </r>
  <r>
    <x v="0"/>
    <x v="7"/>
    <x v="271"/>
    <x v="271"/>
    <s v="M03"/>
    <s v="General Fund"/>
    <n v="831789.84"/>
  </r>
  <r>
    <x v="1"/>
    <x v="0"/>
    <x v="66"/>
    <x v="66"/>
    <s v="M04"/>
    <s v="Intragovernmental Services Fund"/>
    <n v="2283566.44"/>
  </r>
  <r>
    <x v="1"/>
    <x v="0"/>
    <x v="58"/>
    <x v="58"/>
    <s v="MM3"/>
    <s v="General Fund"/>
    <n v="55526.879999999997"/>
  </r>
  <r>
    <x v="0"/>
    <x v="6"/>
    <x v="62"/>
    <x v="62"/>
    <s v="MM3"/>
    <s v="General Fund"/>
    <n v="9675749.9299999997"/>
  </r>
  <r>
    <x v="0"/>
    <x v="6"/>
    <x v="139"/>
    <x v="138"/>
    <s v="MM3"/>
    <s v="General Fund"/>
    <n v="1634413.91"/>
  </r>
  <r>
    <x v="2"/>
    <x v="3"/>
    <x v="3"/>
    <x v="3"/>
    <s v="M03"/>
    <s v="Federal Grants Fund"/>
    <n v="389404.03"/>
  </r>
  <r>
    <x v="4"/>
    <x v="0"/>
    <x v="53"/>
    <x v="53"/>
    <s v="M03"/>
    <s v="General Fund"/>
    <n v="888876.46"/>
  </r>
  <r>
    <x v="0"/>
    <x v="6"/>
    <x v="216"/>
    <x v="213"/>
    <s v="MM3"/>
    <s v="Federal Grants Fund"/>
    <n v="31391.95"/>
  </r>
  <r>
    <x v="2"/>
    <x v="0"/>
    <x v="79"/>
    <x v="79"/>
    <s v="M03"/>
    <s v="General Fund"/>
    <n v="146277.09"/>
  </r>
  <r>
    <x v="0"/>
    <x v="0"/>
    <x v="369"/>
    <x v="374"/>
    <s v="M03"/>
    <s v="General Fund"/>
    <n v="19864.2"/>
  </r>
  <r>
    <x v="1"/>
    <x v="0"/>
    <x v="88"/>
    <x v="88"/>
    <s v="MM3"/>
    <s v="General Fund"/>
    <n v="8968179.3000000007"/>
  </r>
  <r>
    <x v="1"/>
    <x v="5"/>
    <x v="270"/>
    <x v="270"/>
    <s v="M04"/>
    <s v="Federal Grants Fund"/>
    <n v="889742.14"/>
  </r>
  <r>
    <x v="1"/>
    <x v="6"/>
    <x v="180"/>
    <x v="177"/>
    <s v="M04"/>
    <s v="Federal Grants Fund"/>
    <n v="39437.99"/>
  </r>
  <r>
    <x v="1"/>
    <x v="0"/>
    <x v="53"/>
    <x v="53"/>
    <s v="M03"/>
    <s v="General Fund"/>
    <n v="771334.4"/>
  </r>
  <r>
    <x v="2"/>
    <x v="8"/>
    <x v="342"/>
    <x v="347"/>
    <s v="M03"/>
    <s v="Expendable Trust Fund - External"/>
    <n v="376262.24"/>
  </r>
  <r>
    <x v="1"/>
    <x v="5"/>
    <x v="131"/>
    <x v="131"/>
    <s v="M03"/>
    <s v="General Fund"/>
    <n v="265848.24"/>
  </r>
  <r>
    <x v="0"/>
    <x v="5"/>
    <x v="131"/>
    <x v="131"/>
    <s v="MM3"/>
    <s v="Federal Grants Fund"/>
    <n v="117418"/>
  </r>
  <r>
    <x v="4"/>
    <x v="3"/>
    <x v="352"/>
    <x v="358"/>
    <s v="M03"/>
    <s v="General Fund"/>
    <n v="0"/>
  </r>
  <r>
    <x v="0"/>
    <x v="2"/>
    <x v="384"/>
    <x v="387"/>
    <s v="M03"/>
    <s v="Federal Grants Fund"/>
    <n v="119307.4"/>
  </r>
  <r>
    <x v="4"/>
    <x v="0"/>
    <x v="122"/>
    <x v="122"/>
    <s v="M03"/>
    <s v="General Fund"/>
    <n v="1121957.68"/>
  </r>
  <r>
    <x v="1"/>
    <x v="2"/>
    <x v="207"/>
    <x v="204"/>
    <s v="M03"/>
    <s v="Federal Grants Fund"/>
    <n v="2806689.87"/>
  </r>
  <r>
    <x v="1"/>
    <x v="12"/>
    <x v="319"/>
    <x v="322"/>
    <s v="M03"/>
    <s v="General Fund"/>
    <n v="33672.82"/>
  </r>
  <r>
    <x v="1"/>
    <x v="0"/>
    <x v="25"/>
    <x v="25"/>
    <s v="MM3"/>
    <s v="General Fund"/>
    <n v="3611057.33"/>
  </r>
  <r>
    <x v="0"/>
    <x v="6"/>
    <x v="408"/>
    <x v="411"/>
    <s v="M03"/>
    <s v="General Fund"/>
    <n v="768485.1"/>
  </r>
  <r>
    <x v="0"/>
    <x v="2"/>
    <x v="409"/>
    <x v="412"/>
    <s v="M03"/>
    <s v="General Fund"/>
    <n v="35517783.759999998"/>
  </r>
  <r>
    <x v="2"/>
    <x v="5"/>
    <x v="209"/>
    <x v="206"/>
    <s v="MM3"/>
    <s v="Federal Grants Fund"/>
    <n v="339635.34"/>
  </r>
  <r>
    <x v="3"/>
    <x v="9"/>
    <x v="410"/>
    <x v="413"/>
    <s v="M03"/>
    <s v="General Fund"/>
    <n v="8446767.8399999999"/>
  </r>
  <r>
    <x v="4"/>
    <x v="5"/>
    <x v="130"/>
    <x v="233"/>
    <s v="MM3"/>
    <s v="General Fund"/>
    <n v="7102108.9699999997"/>
  </r>
  <r>
    <x v="3"/>
    <x v="5"/>
    <x v="361"/>
    <x v="367"/>
    <s v="M04"/>
    <s v="General Fund"/>
    <n v="100000"/>
  </r>
  <r>
    <x v="3"/>
    <x v="6"/>
    <x v="350"/>
    <x v="355"/>
    <s v="M04"/>
    <s v="Federal Grants Fund"/>
    <n v="5194008.05"/>
  </r>
  <r>
    <x v="0"/>
    <x v="6"/>
    <x v="264"/>
    <x v="264"/>
    <s v="MM3"/>
    <s v="General Fund"/>
    <n v="565190.65"/>
  </r>
  <r>
    <x v="3"/>
    <x v="6"/>
    <x v="300"/>
    <x v="303"/>
    <s v="M04"/>
    <s v="Federal Grants Fund"/>
    <n v="17744.66"/>
  </r>
  <r>
    <x v="2"/>
    <x v="9"/>
    <x v="200"/>
    <x v="197"/>
    <s v="M03"/>
    <s v="Federal Grants Fund"/>
    <n v="635829.49"/>
  </r>
  <r>
    <x v="2"/>
    <x v="0"/>
    <x v="369"/>
    <x v="374"/>
    <s v="MM3"/>
    <s v="General Fund"/>
    <n v="130481.51"/>
  </r>
  <r>
    <x v="4"/>
    <x v="8"/>
    <x v="17"/>
    <x v="17"/>
    <s v="M03"/>
    <s v="General Fund"/>
    <n v="660000"/>
  </r>
  <r>
    <x v="2"/>
    <x v="3"/>
    <x v="112"/>
    <x v="112"/>
    <s v="M03"/>
    <s v="Federal Grants Fund"/>
    <n v="82911.06"/>
  </r>
  <r>
    <x v="0"/>
    <x v="0"/>
    <x v="103"/>
    <x v="103"/>
    <s v="M03"/>
    <s v="Expendable Trust Fund - External"/>
    <n v="0"/>
  </r>
  <r>
    <x v="0"/>
    <x v="6"/>
    <x v="170"/>
    <x v="168"/>
    <s v="MM3"/>
    <s v="General Fund"/>
    <n v="1333945.08"/>
  </r>
  <r>
    <x v="0"/>
    <x v="5"/>
    <x v="94"/>
    <x v="94"/>
    <s v="MM3"/>
    <s v="Expendable Trust Fund - External"/>
    <n v="63618.16"/>
  </r>
  <r>
    <x v="0"/>
    <x v="0"/>
    <x v="49"/>
    <x v="49"/>
    <s v="MM3"/>
    <s v="General Fund"/>
    <n v="138440.43"/>
  </r>
  <r>
    <x v="3"/>
    <x v="9"/>
    <x v="388"/>
    <x v="392"/>
    <s v="M03"/>
    <s v="General Fund"/>
    <n v="3247827.08"/>
  </r>
  <r>
    <x v="2"/>
    <x v="6"/>
    <x v="325"/>
    <x v="328"/>
    <s v="M04"/>
    <s v="General Fund"/>
    <n v="349747.12"/>
  </r>
  <r>
    <x v="1"/>
    <x v="4"/>
    <x v="254"/>
    <x v="252"/>
    <s v="M03"/>
    <s v="Federal Grants Fund"/>
    <n v="216799"/>
  </r>
  <r>
    <x v="4"/>
    <x v="12"/>
    <x v="317"/>
    <x v="320"/>
    <s v="M03"/>
    <s v="General Fund"/>
    <n v="250000"/>
  </r>
  <r>
    <x v="2"/>
    <x v="0"/>
    <x v="169"/>
    <x v="167"/>
    <s v="M03"/>
    <s v="General Fund"/>
    <n v="29493.62"/>
  </r>
  <r>
    <x v="3"/>
    <x v="0"/>
    <x v="103"/>
    <x v="103"/>
    <s v="MM3"/>
    <s v="General Fund"/>
    <n v="19382.080000000002"/>
  </r>
  <r>
    <x v="0"/>
    <x v="5"/>
    <x v="362"/>
    <x v="368"/>
    <s v="MM3"/>
    <s v="Expendable Trust Fund - External"/>
    <n v="523463.95"/>
  </r>
  <r>
    <x v="1"/>
    <x v="2"/>
    <x v="282"/>
    <x v="284"/>
    <s v="M03"/>
    <s v="Federal Grants Fund"/>
    <n v="760672.88"/>
  </r>
  <r>
    <x v="1"/>
    <x v="6"/>
    <x v="252"/>
    <x v="250"/>
    <s v="MM3"/>
    <s v="Federal Grants Fund"/>
    <n v="9832.65"/>
  </r>
  <r>
    <x v="4"/>
    <x v="0"/>
    <x v="66"/>
    <x v="66"/>
    <s v="M04"/>
    <s v="Intragovernmental Services Fund"/>
    <n v="3270320.77"/>
  </r>
  <r>
    <x v="4"/>
    <x v="6"/>
    <x v="355"/>
    <x v="361"/>
    <s v="M03"/>
    <s v="General Fund"/>
    <n v="550000"/>
  </r>
  <r>
    <x v="4"/>
    <x v="0"/>
    <x v="116"/>
    <x v="116"/>
    <s v="MM3"/>
    <s v="General Fund"/>
    <n v="944844.87"/>
  </r>
  <r>
    <x v="5"/>
    <x v="1"/>
    <x v="213"/>
    <x v="273"/>
    <s v="M03"/>
    <s v="General Fund"/>
    <n v="7403890.6600000001"/>
  </r>
  <r>
    <x v="5"/>
    <x v="7"/>
    <x v="208"/>
    <x v="205"/>
    <s v="M03"/>
    <s v="General Fund"/>
    <n v="846689.01"/>
  </r>
  <r>
    <x v="5"/>
    <x v="7"/>
    <x v="238"/>
    <x v="236"/>
    <s v="M03"/>
    <s v="Trust Fund For the Head Injury Treatment Service Fund"/>
    <n v="3179584.86"/>
  </r>
  <r>
    <x v="5"/>
    <x v="2"/>
    <x v="197"/>
    <x v="194"/>
    <s v="M03"/>
    <s v="General Fund"/>
    <n v="1260259.45"/>
  </r>
  <r>
    <x v="5"/>
    <x v="1"/>
    <x v="136"/>
    <x v="121"/>
    <s v="M03"/>
    <s v="General Fund"/>
    <n v="891908.85"/>
  </r>
  <r>
    <x v="5"/>
    <x v="0"/>
    <x v="189"/>
    <x v="186"/>
    <s v="M03"/>
    <s v="General Fund"/>
    <n v="55116.480000000003"/>
  </r>
  <r>
    <x v="0"/>
    <x v="0"/>
    <x v="189"/>
    <x v="186"/>
    <s v="M03"/>
    <s v="General Fund"/>
    <n v="52438.64"/>
  </r>
  <r>
    <x v="2"/>
    <x v="6"/>
    <x v="357"/>
    <x v="363"/>
    <s v="MM3"/>
    <s v="Federal Grants Fund"/>
    <n v="104683.77"/>
  </r>
  <r>
    <x v="5"/>
    <x v="7"/>
    <x v="251"/>
    <x v="249"/>
    <s v="M04"/>
    <s v="General Fund"/>
    <n v="41550.85"/>
  </r>
  <r>
    <x v="1"/>
    <x v="3"/>
    <x v="184"/>
    <x v="181"/>
    <s v="M03"/>
    <s v="General Fund"/>
    <n v="551050.59"/>
  </r>
  <r>
    <x v="0"/>
    <x v="5"/>
    <x v="30"/>
    <x v="30"/>
    <s v="MM3"/>
    <s v="Federal Grants Fund"/>
    <n v="441960"/>
  </r>
  <r>
    <x v="5"/>
    <x v="1"/>
    <x v="286"/>
    <x v="288"/>
    <s v="M03"/>
    <s v="General Fund"/>
    <n v="266396.46000000002"/>
  </r>
  <r>
    <x v="4"/>
    <x v="12"/>
    <x v="383"/>
    <x v="386"/>
    <s v="M03"/>
    <s v="General Fund"/>
    <n v="2972639"/>
  </r>
  <r>
    <x v="0"/>
    <x v="2"/>
    <x v="411"/>
    <x v="414"/>
    <s v="M03"/>
    <s v="Federal Grants Fund"/>
    <n v="40500"/>
  </r>
  <r>
    <x v="1"/>
    <x v="5"/>
    <x v="242"/>
    <x v="240"/>
    <s v="MM3"/>
    <s v="General Fund"/>
    <n v="465975.97"/>
  </r>
  <r>
    <x v="1"/>
    <x v="6"/>
    <x v="109"/>
    <x v="109"/>
    <s v="MM3"/>
    <s v="General Fund"/>
    <n v="251219.6"/>
  </r>
  <r>
    <x v="2"/>
    <x v="5"/>
    <x v="94"/>
    <x v="94"/>
    <s v="MM3"/>
    <s v="Expendable Trust Fund - External"/>
    <n v="100929.49"/>
  </r>
  <r>
    <x v="4"/>
    <x v="0"/>
    <x v="179"/>
    <x v="176"/>
    <s v="MM3"/>
    <s v="General Fund"/>
    <n v="7806220.25"/>
  </r>
  <r>
    <x v="4"/>
    <x v="2"/>
    <x v="2"/>
    <x v="2"/>
    <s v="M03"/>
    <s v="Federal Grants Fund"/>
    <n v="12105745.470000001"/>
  </r>
  <r>
    <x v="4"/>
    <x v="9"/>
    <x v="410"/>
    <x v="413"/>
    <s v="M03"/>
    <s v="General Fund"/>
    <n v="7003461.9000000004"/>
  </r>
  <r>
    <x v="4"/>
    <x v="0"/>
    <x v="299"/>
    <x v="302"/>
    <s v="MM3"/>
    <s v="General Fund"/>
    <n v="20031.23"/>
  </r>
  <r>
    <x v="4"/>
    <x v="7"/>
    <x v="251"/>
    <x v="249"/>
    <s v="M03"/>
    <s v="General Fund"/>
    <n v="398622.17"/>
  </r>
  <r>
    <x v="5"/>
    <x v="6"/>
    <x v="62"/>
    <x v="62"/>
    <s v="MM3"/>
    <s v="General Fund"/>
    <n v="13561174.689999999"/>
  </r>
  <r>
    <x v="5"/>
    <x v="5"/>
    <x v="60"/>
    <x v="60"/>
    <s v="M04"/>
    <s v="General Fund"/>
    <n v="651453.31000000006"/>
  </r>
  <r>
    <x v="5"/>
    <x v="6"/>
    <x v="83"/>
    <x v="83"/>
    <s v="MM3"/>
    <s v="Federal Grants Fund"/>
    <n v="1386367.66"/>
  </r>
  <r>
    <x v="3"/>
    <x v="8"/>
    <x v="17"/>
    <x v="17"/>
    <s v="M03"/>
    <s v="General Fund"/>
    <n v="642000"/>
  </r>
  <r>
    <x v="0"/>
    <x v="0"/>
    <x v="141"/>
    <x v="140"/>
    <s v="MM3"/>
    <s v="General Fund"/>
    <n v="109957.62"/>
  </r>
  <r>
    <x v="1"/>
    <x v="5"/>
    <x v="353"/>
    <x v="359"/>
    <s v="M04"/>
    <s v="Expendable Trust Fund - External"/>
    <n v="5822.75"/>
  </r>
  <r>
    <x v="2"/>
    <x v="1"/>
    <x v="370"/>
    <x v="375"/>
    <s v="M03"/>
    <s v="General Fund"/>
    <n v="5920"/>
  </r>
  <r>
    <x v="4"/>
    <x v="0"/>
    <x v="79"/>
    <x v="79"/>
    <s v="M04"/>
    <s v="General Fund"/>
    <n v="163710.97"/>
  </r>
  <r>
    <x v="4"/>
    <x v="0"/>
    <x v="79"/>
    <x v="79"/>
    <s v="M04"/>
    <s v="Expendable Trust Fund - External"/>
    <n v="0"/>
  </r>
  <r>
    <x v="4"/>
    <x v="0"/>
    <x v="336"/>
    <x v="340"/>
    <s v="M04"/>
    <s v="General Fund"/>
    <n v="140000"/>
  </r>
  <r>
    <x v="4"/>
    <x v="5"/>
    <x v="67"/>
    <x v="67"/>
    <s v="M03"/>
    <s v="General Fund"/>
    <n v="870100.1"/>
  </r>
  <r>
    <x v="4"/>
    <x v="6"/>
    <x v="201"/>
    <x v="198"/>
    <s v="M03"/>
    <s v="Federal Grants Fund"/>
    <n v="105000"/>
  </r>
  <r>
    <x v="4"/>
    <x v="8"/>
    <x v="331"/>
    <x v="335"/>
    <s v="M03"/>
    <s v="Federal Grants Fund"/>
    <n v="96098.14"/>
  </r>
  <r>
    <x v="5"/>
    <x v="6"/>
    <x v="77"/>
    <x v="77"/>
    <s v="MM3"/>
    <s v="Federal Grants Fund"/>
    <n v="3694"/>
  </r>
  <r>
    <x v="5"/>
    <x v="6"/>
    <x v="408"/>
    <x v="411"/>
    <s v="M03"/>
    <s v="General Fund"/>
    <n v="468510.28"/>
  </r>
  <r>
    <x v="5"/>
    <x v="5"/>
    <x v="5"/>
    <x v="5"/>
    <s v="MM3"/>
    <s v="Expendable Trust Fund - External"/>
    <n v="116188.46"/>
  </r>
  <r>
    <x v="5"/>
    <x v="6"/>
    <x v="175"/>
    <x v="172"/>
    <s v="M03"/>
    <s v="General Fund"/>
    <n v="108471.81"/>
  </r>
  <r>
    <x v="5"/>
    <x v="5"/>
    <x v="130"/>
    <x v="233"/>
    <s v="MM3"/>
    <s v="Expendable Trust Fund - External"/>
    <n v="86936.16"/>
  </r>
  <r>
    <x v="1"/>
    <x v="0"/>
    <x v="84"/>
    <x v="84"/>
    <s v="M04"/>
    <s v="Expendable Trust Fund - External"/>
    <n v="92500"/>
  </r>
  <r>
    <x v="2"/>
    <x v="6"/>
    <x v="355"/>
    <x v="361"/>
    <s v="M03"/>
    <s v="Federal Grants Fund"/>
    <n v="150000"/>
  </r>
  <r>
    <x v="3"/>
    <x v="6"/>
    <x v="397"/>
    <x v="181"/>
    <s v="M04"/>
    <s v="General Fund"/>
    <n v="557700"/>
  </r>
  <r>
    <x v="1"/>
    <x v="6"/>
    <x v="19"/>
    <x v="19"/>
    <s v="M04"/>
    <s v="General Fund"/>
    <n v="32098.67"/>
  </r>
  <r>
    <x v="0"/>
    <x v="6"/>
    <x v="308"/>
    <x v="311"/>
    <s v="MM3"/>
    <s v="General Fund"/>
    <n v="1455302"/>
  </r>
  <r>
    <x v="3"/>
    <x v="7"/>
    <x v="412"/>
    <x v="415"/>
    <s v="M03"/>
    <s v="Trust Fund For the Head Injury Treatment Service Fund"/>
    <n v="3235.02"/>
  </r>
  <r>
    <x v="4"/>
    <x v="0"/>
    <x v="189"/>
    <x v="186"/>
    <s v="M03"/>
    <s v="General Fund"/>
    <n v="63896.639999999999"/>
  </r>
  <r>
    <x v="0"/>
    <x v="0"/>
    <x v="205"/>
    <x v="202"/>
    <s v="M03"/>
    <s v="Federal Grants Fund"/>
    <n v="44326.84"/>
  </r>
  <r>
    <x v="2"/>
    <x v="0"/>
    <x v="10"/>
    <x v="10"/>
    <s v="M03"/>
    <s v="Expendable Trust Fund - External"/>
    <n v="32142.3"/>
  </r>
  <r>
    <x v="4"/>
    <x v="3"/>
    <x v="3"/>
    <x v="3"/>
    <s v="M03"/>
    <s v="General Fund"/>
    <n v="0"/>
  </r>
  <r>
    <x v="1"/>
    <x v="6"/>
    <x v="413"/>
    <x v="416"/>
    <s v="M04"/>
    <s v="General Fund"/>
    <n v="473660"/>
  </r>
  <r>
    <x v="4"/>
    <x v="6"/>
    <x v="99"/>
    <x v="99"/>
    <s v="MM3"/>
    <s v="Federal Grants Fund"/>
    <n v="0"/>
  </r>
  <r>
    <x v="0"/>
    <x v="0"/>
    <x v="186"/>
    <x v="183"/>
    <s v="M03"/>
    <s v="Expendable Trust Fund - External"/>
    <n v="0"/>
  </r>
  <r>
    <x v="4"/>
    <x v="6"/>
    <x v="118"/>
    <x v="118"/>
    <s v="M04"/>
    <s v="Federal Grants Fund"/>
    <n v="382139.58"/>
  </r>
  <r>
    <x v="1"/>
    <x v="7"/>
    <x v="127"/>
    <x v="127"/>
    <s v="M03"/>
    <s v="Federal Grants Fund"/>
    <n v="1369.21"/>
  </r>
  <r>
    <x v="4"/>
    <x v="0"/>
    <x v="18"/>
    <x v="18"/>
    <s v="MM3"/>
    <s v="General Fund"/>
    <n v="150994.47"/>
  </r>
  <r>
    <x v="4"/>
    <x v="0"/>
    <x v="193"/>
    <x v="190"/>
    <s v="M03"/>
    <s v="General Fund"/>
    <n v="4277.91"/>
  </r>
  <r>
    <x v="4"/>
    <x v="7"/>
    <x v="198"/>
    <x v="195"/>
    <s v="M03"/>
    <s v="General Fund"/>
    <n v="186822.47"/>
  </r>
  <r>
    <x v="5"/>
    <x v="3"/>
    <x v="414"/>
    <x v="417"/>
    <s v="M04"/>
    <s v="General Fund"/>
    <n v="992707"/>
  </r>
  <r>
    <x v="4"/>
    <x v="3"/>
    <x v="148"/>
    <x v="147"/>
    <s v="M03"/>
    <s v="Federal Grants Fund"/>
    <n v="0"/>
  </r>
  <r>
    <x v="0"/>
    <x v="8"/>
    <x v="342"/>
    <x v="347"/>
    <s v="M03"/>
    <s v="Federal Grants Fund"/>
    <n v="32205.73"/>
  </r>
  <r>
    <x v="3"/>
    <x v="0"/>
    <x v="122"/>
    <x v="122"/>
    <s v="M03"/>
    <s v="General Fund"/>
    <n v="3500"/>
  </r>
  <r>
    <x v="3"/>
    <x v="0"/>
    <x v="179"/>
    <x v="176"/>
    <s v="MM3"/>
    <s v="Expendable Trust Fund - External"/>
    <n v="0"/>
  </r>
  <r>
    <x v="2"/>
    <x v="6"/>
    <x v="170"/>
    <x v="168"/>
    <s v="M04"/>
    <s v="Federal Grants Fund"/>
    <n v="68604.12"/>
  </r>
  <r>
    <x v="3"/>
    <x v="6"/>
    <x v="190"/>
    <x v="187"/>
    <s v="M03"/>
    <s v="Substance Abuse Services Fund"/>
    <n v="0"/>
  </r>
  <r>
    <x v="3"/>
    <x v="6"/>
    <x v="35"/>
    <x v="35"/>
    <s v="MM3"/>
    <s v="General Fund"/>
    <n v="0"/>
  </r>
  <r>
    <x v="3"/>
    <x v="0"/>
    <x v="186"/>
    <x v="183"/>
    <s v="M04"/>
    <s v="Expendable Trust Fund - External"/>
    <n v="0"/>
  </r>
  <r>
    <x v="1"/>
    <x v="5"/>
    <x v="75"/>
    <x v="75"/>
    <s v="MM3"/>
    <s v="General Fund"/>
    <n v="0"/>
  </r>
  <r>
    <x v="2"/>
    <x v="11"/>
    <x v="244"/>
    <x v="242"/>
    <s v="M04"/>
    <s v="General Fund"/>
    <n v="75000"/>
  </r>
  <r>
    <x v="4"/>
    <x v="6"/>
    <x v="413"/>
    <x v="416"/>
    <s v="M04"/>
    <s v="General Fund"/>
    <n v="570929.37"/>
  </r>
  <r>
    <x v="5"/>
    <x v="6"/>
    <x v="277"/>
    <x v="279"/>
    <s v="M03"/>
    <s v="Federal Grants Fund"/>
    <n v="290004.95"/>
  </r>
  <r>
    <x v="5"/>
    <x v="0"/>
    <x v="205"/>
    <x v="202"/>
    <s v="M03"/>
    <s v="Federal Grants Fund"/>
    <n v="108857.46"/>
  </r>
  <r>
    <x v="4"/>
    <x v="6"/>
    <x v="355"/>
    <x v="361"/>
    <s v="M03"/>
    <s v="Federal Grants Fund"/>
    <n v="150000"/>
  </r>
  <r>
    <x v="2"/>
    <x v="6"/>
    <x v="401"/>
    <x v="404"/>
    <s v="M04"/>
    <s v="General Fund"/>
    <n v="407500"/>
  </r>
  <r>
    <x v="1"/>
    <x v="0"/>
    <x v="97"/>
    <x v="97"/>
    <s v="M03"/>
    <s v="Expendable Trust Fund - External"/>
    <n v="0"/>
  </r>
  <r>
    <x v="5"/>
    <x v="0"/>
    <x v="48"/>
    <x v="48"/>
    <s v="MM3"/>
    <s v="Expendable Trust Fund - External"/>
    <n v="3496.8"/>
  </r>
  <r>
    <x v="4"/>
    <x v="3"/>
    <x v="415"/>
    <x v="418"/>
    <s v="M03"/>
    <s v="General Fund"/>
    <n v="0"/>
  </r>
  <r>
    <x v="2"/>
    <x v="6"/>
    <x v="386"/>
    <x v="390"/>
    <s v="MM3"/>
    <s v="Federal Grants Fund"/>
    <n v="213214.51"/>
  </r>
  <r>
    <x v="0"/>
    <x v="6"/>
    <x v="137"/>
    <x v="136"/>
    <s v="M03"/>
    <s v="Federal Grants Fund"/>
    <n v="64673.4"/>
  </r>
  <r>
    <x v="1"/>
    <x v="0"/>
    <x v="52"/>
    <x v="52"/>
    <s v="M03"/>
    <s v="Expendable Trust Fund - External"/>
    <n v="0"/>
  </r>
  <r>
    <x v="1"/>
    <x v="5"/>
    <x v="257"/>
    <x v="257"/>
    <s v="M03"/>
    <s v="Federal Grants Fund"/>
    <n v="22697.83"/>
  </r>
  <r>
    <x v="0"/>
    <x v="6"/>
    <x v="416"/>
    <x v="419"/>
    <s v="MM3"/>
    <s v="General Fund"/>
    <n v="4872.3599999999997"/>
  </r>
  <r>
    <x v="0"/>
    <x v="0"/>
    <x v="260"/>
    <x v="260"/>
    <s v="MM3"/>
    <s v="General Fund"/>
    <n v="0"/>
  </r>
  <r>
    <x v="0"/>
    <x v="0"/>
    <x v="202"/>
    <x v="199"/>
    <s v="MM3"/>
    <s v="Expendable Trust Fund - External"/>
    <n v="0"/>
  </r>
  <r>
    <x v="2"/>
    <x v="6"/>
    <x v="417"/>
    <x v="420"/>
    <s v="M04"/>
    <s v="General Fund"/>
    <n v="0"/>
  </r>
  <r>
    <x v="2"/>
    <x v="7"/>
    <x v="326"/>
    <x v="330"/>
    <s v="M04"/>
    <s v="Federal Grants Fund"/>
    <n v="2600"/>
  </r>
  <r>
    <x v="1"/>
    <x v="2"/>
    <x v="280"/>
    <x v="282"/>
    <s v="MM3"/>
    <s v="Federal Grants Fund"/>
    <n v="0"/>
  </r>
  <r>
    <x v="3"/>
    <x v="7"/>
    <x v="208"/>
    <x v="205"/>
    <s v="M03"/>
    <s v="Expendable Trust Fund - External"/>
    <n v="0"/>
  </r>
  <r>
    <x v="3"/>
    <x v="0"/>
    <x v="10"/>
    <x v="10"/>
    <s v="MM3"/>
    <s v="Expendable Trust Fund - External"/>
    <n v="0"/>
  </r>
  <r>
    <x v="4"/>
    <x v="0"/>
    <x v="154"/>
    <x v="153"/>
    <s v="M04"/>
    <s v="Expendable Trust Fund - External"/>
    <n v="-8500"/>
  </r>
  <r>
    <x v="0"/>
    <x v="0"/>
    <x v="97"/>
    <x v="97"/>
    <s v="M03"/>
    <s v="General Fund"/>
    <n v="11814329.73"/>
  </r>
  <r>
    <x v="2"/>
    <x v="3"/>
    <x v="6"/>
    <x v="6"/>
    <s v="M03"/>
    <s v="General Fund"/>
    <n v="3349755.91"/>
  </r>
  <r>
    <x v="3"/>
    <x v="0"/>
    <x v="339"/>
    <x v="343"/>
    <s v="MM3"/>
    <s v="General Fund"/>
    <n v="928664.94"/>
  </r>
  <r>
    <x v="3"/>
    <x v="0"/>
    <x v="179"/>
    <x v="176"/>
    <s v="MM3"/>
    <s v="General Fund"/>
    <n v="7573904.2000000002"/>
  </r>
  <r>
    <x v="3"/>
    <x v="0"/>
    <x v="154"/>
    <x v="153"/>
    <s v="M03"/>
    <s v="General Fund"/>
    <n v="44091999.140000001"/>
  </r>
  <r>
    <x v="3"/>
    <x v="7"/>
    <x v="120"/>
    <x v="120"/>
    <s v="M03"/>
    <s v="Trust Fund For the Head Injury Treatment Service Fund"/>
    <n v="590033.30000000005"/>
  </r>
  <r>
    <x v="3"/>
    <x v="6"/>
    <x v="175"/>
    <x v="172"/>
    <s v="M03"/>
    <s v="General Fund"/>
    <n v="116828"/>
  </r>
  <r>
    <x v="3"/>
    <x v="0"/>
    <x v="58"/>
    <x v="58"/>
    <s v="MM3"/>
    <s v="General Fund"/>
    <n v="84739.4"/>
  </r>
  <r>
    <x v="3"/>
    <x v="0"/>
    <x v="116"/>
    <x v="116"/>
    <s v="M03"/>
    <s v="General Fund"/>
    <n v="1939376.72"/>
  </r>
  <r>
    <x v="0"/>
    <x v="7"/>
    <x v="238"/>
    <x v="236"/>
    <s v="M03"/>
    <s v="Trust Fund For the Head Injury Treatment Service Fund"/>
    <n v="2806536.96"/>
  </r>
  <r>
    <x v="2"/>
    <x v="5"/>
    <x v="362"/>
    <x v="368"/>
    <s v="MM3"/>
    <s v="General Fund"/>
    <n v="1963957.23"/>
  </r>
  <r>
    <x v="0"/>
    <x v="0"/>
    <x v="154"/>
    <x v="153"/>
    <s v="MM3"/>
    <s v="General Fund"/>
    <n v="25584458.68"/>
  </r>
  <r>
    <x v="2"/>
    <x v="7"/>
    <x v="327"/>
    <x v="331"/>
    <s v="M03"/>
    <s v="Federal Grants Fund"/>
    <n v="2119926.44"/>
  </r>
  <r>
    <x v="2"/>
    <x v="7"/>
    <x v="43"/>
    <x v="43"/>
    <s v="M03"/>
    <s v="Federal Grants Fund"/>
    <n v="88480"/>
  </r>
  <r>
    <x v="0"/>
    <x v="0"/>
    <x v="221"/>
    <x v="219"/>
    <s v="M03"/>
    <s v="General Fund"/>
    <n v="26643186.600000001"/>
  </r>
  <r>
    <x v="0"/>
    <x v="0"/>
    <x v="116"/>
    <x v="116"/>
    <s v="M03"/>
    <s v="General Fund"/>
    <n v="987084.02"/>
  </r>
  <r>
    <x v="3"/>
    <x v="7"/>
    <x v="251"/>
    <x v="249"/>
    <s v="M03"/>
    <s v="Trust Fund For the Head Injury Treatment Service Fund"/>
    <n v="55751.92"/>
  </r>
  <r>
    <x v="3"/>
    <x v="0"/>
    <x v="105"/>
    <x v="105"/>
    <s v="MM3"/>
    <s v="Money Follows the Person Rebalancing Demonstration Grant Tr"/>
    <n v="5779965.4000000004"/>
  </r>
  <r>
    <x v="3"/>
    <x v="6"/>
    <x v="123"/>
    <x v="123"/>
    <s v="M04"/>
    <s v="General Fund"/>
    <n v="1764463.81"/>
  </r>
  <r>
    <x v="3"/>
    <x v="6"/>
    <x v="334"/>
    <x v="338"/>
    <s v="M04"/>
    <s v="General Fund"/>
    <n v="710495.97"/>
  </r>
  <r>
    <x v="3"/>
    <x v="0"/>
    <x v="28"/>
    <x v="28"/>
    <s v="M03"/>
    <s v="General Fund"/>
    <n v="1447241.94"/>
  </r>
  <r>
    <x v="3"/>
    <x v="9"/>
    <x v="222"/>
    <x v="220"/>
    <s v="M03"/>
    <s v="General Fund"/>
    <n v="15138145.869999999"/>
  </r>
  <r>
    <x v="0"/>
    <x v="0"/>
    <x v="20"/>
    <x v="20"/>
    <s v="M03"/>
    <s v="Expendable Trust Fund - External"/>
    <n v="0"/>
  </r>
  <r>
    <x v="0"/>
    <x v="0"/>
    <x v="79"/>
    <x v="79"/>
    <s v="M03"/>
    <s v="Expendable Trust Fund - External"/>
    <n v="0"/>
  </r>
  <r>
    <x v="3"/>
    <x v="0"/>
    <x v="41"/>
    <x v="41"/>
    <s v="M03"/>
    <s v="Money Follows the Person Rebalancing Demonstration Grant Tr"/>
    <n v="179239.77"/>
  </r>
  <r>
    <x v="2"/>
    <x v="0"/>
    <x v="314"/>
    <x v="317"/>
    <s v="MM3"/>
    <s v="General Fund"/>
    <n v="4003999.89"/>
  </r>
  <r>
    <x v="3"/>
    <x v="0"/>
    <x v="229"/>
    <x v="227"/>
    <s v="MM3"/>
    <s v="General Fund"/>
    <n v="69096.08"/>
  </r>
  <r>
    <x v="4"/>
    <x v="3"/>
    <x v="418"/>
    <x v="421"/>
    <s v="M03"/>
    <s v="General Fund"/>
    <n v="0"/>
  </r>
  <r>
    <x v="1"/>
    <x v="0"/>
    <x v="419"/>
    <x v="422"/>
    <s v="MM3"/>
    <s v="General Fund"/>
    <n v="428866.92"/>
  </r>
  <r>
    <x v="1"/>
    <x v="4"/>
    <x v="4"/>
    <x v="4"/>
    <s v="M03"/>
    <s v="General Fund"/>
    <n v="2534826.09"/>
  </r>
  <r>
    <x v="2"/>
    <x v="2"/>
    <x v="420"/>
    <x v="423"/>
    <s v="M03"/>
    <s v="Federal Grants Fund"/>
    <n v="299742.5"/>
  </r>
  <r>
    <x v="4"/>
    <x v="11"/>
    <x v="421"/>
    <x v="424"/>
    <s v="M03"/>
    <s v="General Fund"/>
    <n v="20450269.5"/>
  </r>
  <r>
    <x v="0"/>
    <x v="7"/>
    <x v="422"/>
    <x v="425"/>
    <s v="M03"/>
    <s v="General Fund"/>
    <n v="136910.76"/>
  </r>
  <r>
    <x v="2"/>
    <x v="1"/>
    <x v="231"/>
    <x v="119"/>
    <s v="M04"/>
    <s v="General Fund"/>
    <n v="3021.1"/>
  </r>
  <r>
    <x v="1"/>
    <x v="6"/>
    <x v="170"/>
    <x v="168"/>
    <s v="MM3"/>
    <s v="Federal Grants Fund"/>
    <n v="1151935.08"/>
  </r>
  <r>
    <x v="0"/>
    <x v="6"/>
    <x v="253"/>
    <x v="251"/>
    <s v="MM3"/>
    <s v="General Fund"/>
    <n v="5570027.46"/>
  </r>
  <r>
    <x v="0"/>
    <x v="5"/>
    <x v="94"/>
    <x v="94"/>
    <s v="M03"/>
    <s v="Federal Grants Fund"/>
    <n v="5383.71"/>
  </r>
  <r>
    <x v="1"/>
    <x v="0"/>
    <x v="25"/>
    <x v="25"/>
    <s v="M03"/>
    <s v="General Fund"/>
    <n v="512805.05"/>
  </r>
  <r>
    <x v="2"/>
    <x v="5"/>
    <x v="242"/>
    <x v="240"/>
    <s v="MM3"/>
    <s v="Federal Grants Fund"/>
    <n v="667852.81999999995"/>
  </r>
  <r>
    <x v="0"/>
    <x v="0"/>
    <x v="53"/>
    <x v="53"/>
    <s v="M03"/>
    <s v="General Fund"/>
    <n v="737717.33"/>
  </r>
  <r>
    <x v="1"/>
    <x v="1"/>
    <x v="395"/>
    <x v="399"/>
    <s v="M04"/>
    <s v="Federal Grants Fund"/>
    <n v="113722"/>
  </r>
  <r>
    <x v="4"/>
    <x v="6"/>
    <x v="8"/>
    <x v="8"/>
    <s v="M03"/>
    <s v="Federal Grants Fund"/>
    <n v="17289499.210000001"/>
  </r>
  <r>
    <x v="1"/>
    <x v="7"/>
    <x v="55"/>
    <x v="55"/>
    <s v="M03"/>
    <s v="Federal Grants Fund"/>
    <n v="36292.300000000003"/>
  </r>
  <r>
    <x v="2"/>
    <x v="6"/>
    <x v="277"/>
    <x v="279"/>
    <s v="M03"/>
    <s v="Federal Grants Fund"/>
    <n v="273175.40000000002"/>
  </r>
  <r>
    <x v="2"/>
    <x v="0"/>
    <x v="126"/>
    <x v="126"/>
    <s v="M03"/>
    <s v="General Fund"/>
    <n v="344594"/>
  </r>
  <r>
    <x v="1"/>
    <x v="3"/>
    <x v="360"/>
    <x v="366"/>
    <s v="M03"/>
    <s v="General Fund"/>
    <n v="1567758.63"/>
  </r>
  <r>
    <x v="4"/>
    <x v="5"/>
    <x v="214"/>
    <x v="286"/>
    <s v="MM3"/>
    <s v="General Fund"/>
    <n v="3228472.9"/>
  </r>
  <r>
    <x v="0"/>
    <x v="6"/>
    <x v="61"/>
    <x v="61"/>
    <s v="M04"/>
    <s v="General Fund"/>
    <n v="534272.56999999995"/>
  </r>
  <r>
    <x v="4"/>
    <x v="8"/>
    <x v="406"/>
    <x v="409"/>
    <s v="M03"/>
    <s v="Federal Grants Fund"/>
    <n v="782339.14"/>
  </r>
  <r>
    <x v="1"/>
    <x v="6"/>
    <x v="144"/>
    <x v="143"/>
    <s v="M03"/>
    <s v="Federal Grants Fund"/>
    <n v="916738.39"/>
  </r>
  <r>
    <x v="0"/>
    <x v="5"/>
    <x v="75"/>
    <x v="75"/>
    <s v="MM3"/>
    <s v="General Fund"/>
    <n v="909286.36"/>
  </r>
  <r>
    <x v="1"/>
    <x v="9"/>
    <x v="72"/>
    <x v="388"/>
    <s v="M03"/>
    <s v="General Fund"/>
    <n v="5542362.8499999996"/>
  </r>
  <r>
    <x v="4"/>
    <x v="3"/>
    <x v="7"/>
    <x v="7"/>
    <s v="M03"/>
    <s v="General Fund"/>
    <n v="0"/>
  </r>
  <r>
    <x v="3"/>
    <x v="6"/>
    <x v="423"/>
    <x v="426"/>
    <s v="M04"/>
    <s v="Federal Grants Fund"/>
    <n v="332309.27"/>
  </r>
  <r>
    <x v="0"/>
    <x v="6"/>
    <x v="355"/>
    <x v="361"/>
    <s v="MM3"/>
    <s v="Federal Grants Fund"/>
    <n v="616924.53"/>
  </r>
  <r>
    <x v="4"/>
    <x v="2"/>
    <x v="364"/>
    <x v="369"/>
    <s v="M03"/>
    <s v="General Fund"/>
    <n v="186266926.03"/>
  </r>
  <r>
    <x v="0"/>
    <x v="8"/>
    <x v="391"/>
    <x v="395"/>
    <s v="M03"/>
    <s v="General Fund"/>
    <n v="264141.46000000002"/>
  </r>
  <r>
    <x v="1"/>
    <x v="10"/>
    <x v="68"/>
    <x v="68"/>
    <s v="M03"/>
    <s v="Expendable Trust Fund - External"/>
    <n v="676715.09"/>
  </r>
  <r>
    <x v="3"/>
    <x v="1"/>
    <x v="291"/>
    <x v="293"/>
    <s v="M03"/>
    <s v="General Fund"/>
    <n v="92554"/>
  </r>
  <r>
    <x v="3"/>
    <x v="6"/>
    <x v="50"/>
    <x v="50"/>
    <s v="MM3"/>
    <s v="General Fund"/>
    <n v="930039.6"/>
  </r>
  <r>
    <x v="3"/>
    <x v="1"/>
    <x v="33"/>
    <x v="33"/>
    <s v="M03"/>
    <s v="General Fund"/>
    <n v="510611.9"/>
  </r>
  <r>
    <x v="0"/>
    <x v="5"/>
    <x v="387"/>
    <x v="391"/>
    <s v="MM3"/>
    <s v="General Fund"/>
    <n v="8375669.8799999999"/>
  </r>
  <r>
    <x v="4"/>
    <x v="7"/>
    <x v="344"/>
    <x v="349"/>
    <s v="M03"/>
    <s v="General Fund"/>
    <n v="622374.53"/>
  </r>
  <r>
    <x v="1"/>
    <x v="5"/>
    <x v="424"/>
    <x v="427"/>
    <s v="MM3"/>
    <s v="General Fund"/>
    <n v="1033142"/>
  </r>
  <r>
    <x v="4"/>
    <x v="5"/>
    <x v="5"/>
    <x v="5"/>
    <s v="MM3"/>
    <s v="Federal Grants Fund"/>
    <n v="413449.83"/>
  </r>
  <r>
    <x v="0"/>
    <x v="0"/>
    <x v="88"/>
    <x v="88"/>
    <s v="M04"/>
    <s v="General Fund"/>
    <n v="4374666.8099999996"/>
  </r>
  <r>
    <x v="2"/>
    <x v="6"/>
    <x v="153"/>
    <x v="152"/>
    <s v="MM3"/>
    <s v="Federal Grants Fund"/>
    <n v="1783864.84"/>
  </r>
  <r>
    <x v="3"/>
    <x v="6"/>
    <x v="425"/>
    <x v="428"/>
    <s v="M04"/>
    <s v="Mass Gaming Control Fund"/>
    <n v="51444.55"/>
  </r>
  <r>
    <x v="3"/>
    <x v="0"/>
    <x v="93"/>
    <x v="93"/>
    <s v="MM3"/>
    <s v="General Fund"/>
    <n v="58115.9"/>
  </r>
  <r>
    <x v="3"/>
    <x v="6"/>
    <x v="256"/>
    <x v="255"/>
    <s v="MM3"/>
    <s v="General Fund"/>
    <n v="48551.8"/>
  </r>
  <r>
    <x v="3"/>
    <x v="6"/>
    <x v="386"/>
    <x v="390"/>
    <s v="MM3"/>
    <s v="General Fund"/>
    <n v="234597.62"/>
  </r>
  <r>
    <x v="3"/>
    <x v="7"/>
    <x v="412"/>
    <x v="415"/>
    <s v="M03"/>
    <s v="General Fund"/>
    <n v="242146.97"/>
  </r>
  <r>
    <x v="3"/>
    <x v="1"/>
    <x v="395"/>
    <x v="399"/>
    <s v="M04"/>
    <s v="Federal Grants Fund"/>
    <n v="128257"/>
  </r>
  <r>
    <x v="3"/>
    <x v="0"/>
    <x v="369"/>
    <x v="374"/>
    <s v="M03"/>
    <s v="General Fund"/>
    <n v="324"/>
  </r>
  <r>
    <x v="2"/>
    <x v="5"/>
    <x v="30"/>
    <x v="30"/>
    <s v="M03"/>
    <s v="General Fund"/>
    <n v="1652253.32"/>
  </r>
  <r>
    <x v="0"/>
    <x v="0"/>
    <x v="97"/>
    <x v="97"/>
    <s v="MM3"/>
    <s v="Expendable Trust Fund - External"/>
    <n v="0"/>
  </r>
  <r>
    <x v="1"/>
    <x v="3"/>
    <x v="64"/>
    <x v="64"/>
    <s v="M04"/>
    <s v="Federal Grants Fund"/>
    <n v="277875"/>
  </r>
  <r>
    <x v="0"/>
    <x v="0"/>
    <x v="48"/>
    <x v="48"/>
    <s v="MM3"/>
    <s v="General Fund"/>
    <n v="120862.19"/>
  </r>
  <r>
    <x v="0"/>
    <x v="4"/>
    <x v="254"/>
    <x v="252"/>
    <s v="M03"/>
    <s v="Federal Grants Fund"/>
    <n v="176857"/>
  </r>
  <r>
    <x v="0"/>
    <x v="7"/>
    <x v="198"/>
    <x v="195"/>
    <s v="M03"/>
    <s v="Federal Grants Fund"/>
    <n v="9146.27"/>
  </r>
  <r>
    <x v="4"/>
    <x v="6"/>
    <x v="386"/>
    <x v="390"/>
    <s v="MM3"/>
    <s v="Federal Grants Fund"/>
    <n v="303338.62"/>
  </r>
  <r>
    <x v="4"/>
    <x v="2"/>
    <x v="197"/>
    <x v="194"/>
    <s v="M03"/>
    <s v="General Fund"/>
    <n v="943712.5"/>
  </r>
  <r>
    <x v="5"/>
    <x v="5"/>
    <x v="76"/>
    <x v="76"/>
    <s v="M04"/>
    <s v="General Fund"/>
    <n v="3812162.89"/>
  </r>
  <r>
    <x v="5"/>
    <x v="0"/>
    <x v="121"/>
    <x v="121"/>
    <s v="MM3"/>
    <s v="General Fund"/>
    <n v="35503549.32"/>
  </r>
  <r>
    <x v="5"/>
    <x v="0"/>
    <x v="154"/>
    <x v="153"/>
    <s v="M03"/>
    <s v="General Fund"/>
    <n v="39371303.109999999"/>
  </r>
  <r>
    <x v="5"/>
    <x v="6"/>
    <x v="274"/>
    <x v="275"/>
    <s v="MM3"/>
    <s v="General Fund"/>
    <n v="725829.38"/>
  </r>
  <r>
    <x v="5"/>
    <x v="0"/>
    <x v="26"/>
    <x v="26"/>
    <s v="M04"/>
    <s v="General Fund"/>
    <n v="866208.28"/>
  </r>
  <r>
    <x v="5"/>
    <x v="7"/>
    <x v="238"/>
    <x v="236"/>
    <s v="M03"/>
    <s v="General Fund"/>
    <n v="788993.23"/>
  </r>
  <r>
    <x v="5"/>
    <x v="13"/>
    <x v="426"/>
    <x v="429"/>
    <s v="M03"/>
    <s v="General Fund"/>
    <n v="4282430.99"/>
  </r>
  <r>
    <x v="5"/>
    <x v="5"/>
    <x v="209"/>
    <x v="206"/>
    <s v="MM3"/>
    <s v="General Fund"/>
    <n v="15490603.310000001"/>
  </r>
  <r>
    <x v="5"/>
    <x v="0"/>
    <x v="215"/>
    <x v="212"/>
    <s v="MM3"/>
    <s v="General Fund"/>
    <n v="189921.62"/>
  </r>
  <r>
    <x v="5"/>
    <x v="7"/>
    <x v="251"/>
    <x v="249"/>
    <s v="M03"/>
    <s v="General Fund"/>
    <n v="958707.45"/>
  </r>
  <r>
    <x v="1"/>
    <x v="0"/>
    <x v="44"/>
    <x v="44"/>
    <s v="M03"/>
    <s v="General Fund"/>
    <n v="8074.44"/>
  </r>
  <r>
    <x v="5"/>
    <x v="6"/>
    <x v="153"/>
    <x v="152"/>
    <s v="MM3"/>
    <s v="Federal Grants Fund"/>
    <n v="1239443.3"/>
  </r>
  <r>
    <x v="1"/>
    <x v="3"/>
    <x v="227"/>
    <x v="225"/>
    <s v="M03"/>
    <s v="General Fund"/>
    <n v="634336.19999999995"/>
  </r>
  <r>
    <x v="0"/>
    <x v="1"/>
    <x v="157"/>
    <x v="156"/>
    <s v="M03"/>
    <s v="Federal Grants Fund"/>
    <n v="49875"/>
  </r>
  <r>
    <x v="1"/>
    <x v="6"/>
    <x v="427"/>
    <x v="430"/>
    <s v="M04"/>
    <s v="Federal Highway Construction Program Capital Projects Fund"/>
    <n v="30433.38"/>
  </r>
  <r>
    <x v="2"/>
    <x v="0"/>
    <x v="193"/>
    <x v="190"/>
    <s v="MM3"/>
    <s v="General Fund"/>
    <n v="524327.76"/>
  </r>
  <r>
    <x v="2"/>
    <x v="5"/>
    <x v="134"/>
    <x v="134"/>
    <s v="MM3"/>
    <s v="Federal Grants Fund"/>
    <n v="96422.64"/>
  </r>
  <r>
    <x v="0"/>
    <x v="6"/>
    <x v="118"/>
    <x v="118"/>
    <s v="M04"/>
    <s v="General Fund"/>
    <n v="145000"/>
  </r>
  <r>
    <x v="0"/>
    <x v="0"/>
    <x v="229"/>
    <x v="227"/>
    <s v="M03"/>
    <s v="Expendable Trust Fund - External"/>
    <n v="0"/>
  </r>
  <r>
    <x v="2"/>
    <x v="6"/>
    <x v="91"/>
    <x v="91"/>
    <s v="M04"/>
    <s v="General Fund"/>
    <n v="900918.3"/>
  </r>
  <r>
    <x v="4"/>
    <x v="5"/>
    <x v="94"/>
    <x v="94"/>
    <s v="M04"/>
    <s v="General Fund"/>
    <n v="672317.32"/>
  </r>
  <r>
    <x v="2"/>
    <x v="0"/>
    <x v="273"/>
    <x v="274"/>
    <s v="M03"/>
    <s v="Expendable Trust Fund - External"/>
    <n v="0"/>
  </r>
  <r>
    <x v="4"/>
    <x v="5"/>
    <x v="76"/>
    <x v="76"/>
    <s v="M04"/>
    <s v="Federal Grants Fund"/>
    <n v="563564.68999999994"/>
  </r>
  <r>
    <x v="4"/>
    <x v="2"/>
    <x v="428"/>
    <x v="431"/>
    <s v="M03"/>
    <s v="General Fund"/>
    <n v="16320948.970000001"/>
  </r>
  <r>
    <x v="5"/>
    <x v="6"/>
    <x v="252"/>
    <x v="253"/>
    <s v="MM3"/>
    <s v="Federal Grants Fund"/>
    <n v="54279.519999999997"/>
  </r>
  <r>
    <x v="5"/>
    <x v="5"/>
    <x v="12"/>
    <x v="12"/>
    <s v="MM3"/>
    <s v="General Fund"/>
    <n v="17110352.98"/>
  </r>
  <r>
    <x v="5"/>
    <x v="7"/>
    <x v="294"/>
    <x v="296"/>
    <s v="M03"/>
    <s v="General Fund"/>
    <n v="375087.49"/>
  </r>
  <r>
    <x v="2"/>
    <x v="0"/>
    <x v="419"/>
    <x v="422"/>
    <s v="MM3"/>
    <s v="General Fund"/>
    <n v="149126.39999999999"/>
  </r>
  <r>
    <x v="5"/>
    <x v="2"/>
    <x v="283"/>
    <x v="285"/>
    <s v="M03"/>
    <s v="General Fund"/>
    <n v="25177251.91"/>
  </r>
  <r>
    <x v="5"/>
    <x v="6"/>
    <x v="237"/>
    <x v="235"/>
    <s v="MM3"/>
    <s v="Federal Grants Fund"/>
    <n v="1022312.14"/>
  </r>
  <r>
    <x v="5"/>
    <x v="6"/>
    <x v="21"/>
    <x v="21"/>
    <s v="MM3"/>
    <s v="Federal Grants Fund"/>
    <n v="432156.57"/>
  </r>
  <r>
    <x v="0"/>
    <x v="2"/>
    <x v="429"/>
    <x v="432"/>
    <s v="M03"/>
    <s v="Federal Grants Fund"/>
    <n v="81666.75"/>
  </r>
  <r>
    <x v="2"/>
    <x v="6"/>
    <x v="236"/>
    <x v="234"/>
    <s v="M04"/>
    <s v="Federal Grants Fund"/>
    <n v="3980757.44"/>
  </r>
  <r>
    <x v="2"/>
    <x v="0"/>
    <x v="58"/>
    <x v="58"/>
    <s v="M03"/>
    <s v="Expendable Trust Fund - External"/>
    <n v="1517.28"/>
  </r>
  <r>
    <x v="2"/>
    <x v="5"/>
    <x v="75"/>
    <x v="75"/>
    <s v="M04"/>
    <s v="Expendable Trust Fund - External"/>
    <n v="113660"/>
  </r>
  <r>
    <x v="4"/>
    <x v="0"/>
    <x v="11"/>
    <x v="11"/>
    <s v="MM3"/>
    <s v="Intragovernmental Services Fund"/>
    <n v="256544.26"/>
  </r>
  <r>
    <x v="2"/>
    <x v="1"/>
    <x v="157"/>
    <x v="156"/>
    <s v="M03"/>
    <s v="Federal Grants Fund"/>
    <n v="37426"/>
  </r>
  <r>
    <x v="0"/>
    <x v="7"/>
    <x v="120"/>
    <x v="120"/>
    <s v="M03"/>
    <s v="General Fund"/>
    <n v="30000"/>
  </r>
  <r>
    <x v="1"/>
    <x v="16"/>
    <x v="430"/>
    <x v="313"/>
    <s v="M04"/>
    <s v="Federal Highway Construction Program Capital Projects Fund"/>
    <n v="133566.96"/>
  </r>
  <r>
    <x v="1"/>
    <x v="7"/>
    <x v="343"/>
    <x v="348"/>
    <s v="M03"/>
    <s v="General Fund"/>
    <n v="4631.25"/>
  </r>
  <r>
    <x v="1"/>
    <x v="9"/>
    <x v="200"/>
    <x v="197"/>
    <s v="M03"/>
    <s v="Federal Grants Fund"/>
    <n v="198103.04000000001"/>
  </r>
  <r>
    <x v="2"/>
    <x v="5"/>
    <x v="75"/>
    <x v="75"/>
    <s v="M04"/>
    <s v="General Fund"/>
    <n v="111078"/>
  </r>
  <r>
    <x v="2"/>
    <x v="5"/>
    <x v="75"/>
    <x v="75"/>
    <s v="M04"/>
    <s v="Federal Grants Fund"/>
    <n v="20000"/>
  </r>
  <r>
    <x v="4"/>
    <x v="6"/>
    <x v="99"/>
    <x v="99"/>
    <s v="M04"/>
    <s v="Substance Abuse Services Fund"/>
    <n v="300000"/>
  </r>
  <r>
    <x v="4"/>
    <x v="6"/>
    <x v="174"/>
    <x v="171"/>
    <s v="M04"/>
    <s v="General Fund"/>
    <n v="211954.72"/>
  </r>
  <r>
    <x v="4"/>
    <x v="6"/>
    <x v="277"/>
    <x v="279"/>
    <s v="M03"/>
    <s v="General Fund"/>
    <n v="690077.42"/>
  </r>
  <r>
    <x v="4"/>
    <x v="11"/>
    <x v="244"/>
    <x v="242"/>
    <s v="M04"/>
    <s v="General Fund"/>
    <n v="1239856.51"/>
  </r>
  <r>
    <x v="4"/>
    <x v="0"/>
    <x v="73"/>
    <x v="73"/>
    <s v="MM3"/>
    <s v="General Fund"/>
    <n v="85351.52"/>
  </r>
  <r>
    <x v="5"/>
    <x v="6"/>
    <x v="185"/>
    <x v="182"/>
    <s v="MM3"/>
    <s v="Federal Grants Fund"/>
    <n v="284643.71999999997"/>
  </r>
  <r>
    <x v="5"/>
    <x v="6"/>
    <x v="87"/>
    <x v="87"/>
    <s v="M04"/>
    <s v="Substance Abuse Services Fund"/>
    <n v="1250000"/>
  </r>
  <r>
    <x v="5"/>
    <x v="1"/>
    <x v="54"/>
    <x v="54"/>
    <s v="M03"/>
    <s v="General Fund"/>
    <n v="492513.11"/>
  </r>
  <r>
    <x v="5"/>
    <x v="0"/>
    <x v="25"/>
    <x v="25"/>
    <s v="M03"/>
    <s v="Expendable Trust Fund - External"/>
    <n v="0"/>
  </r>
  <r>
    <x v="5"/>
    <x v="6"/>
    <x v="236"/>
    <x v="234"/>
    <s v="M04"/>
    <s v="General Fund"/>
    <n v="1332418.06"/>
  </r>
  <r>
    <x v="5"/>
    <x v="1"/>
    <x v="291"/>
    <x v="293"/>
    <s v="M03"/>
    <s v="General Fund"/>
    <n v="108735"/>
  </r>
  <r>
    <x v="4"/>
    <x v="3"/>
    <x v="89"/>
    <x v="89"/>
    <s v="M04"/>
    <s v="Federal Grants Fund"/>
    <n v="42480"/>
  </r>
  <r>
    <x v="5"/>
    <x v="5"/>
    <x v="92"/>
    <x v="92"/>
    <s v="MM3"/>
    <s v="General Fund"/>
    <n v="352469.96"/>
  </r>
  <r>
    <x v="5"/>
    <x v="5"/>
    <x v="362"/>
    <x v="368"/>
    <s v="MM3"/>
    <s v="Expendable Trust Fund - External"/>
    <n v="1030819.28"/>
  </r>
  <r>
    <x v="5"/>
    <x v="7"/>
    <x v="327"/>
    <x v="331"/>
    <s v="M03"/>
    <s v="General Fund"/>
    <n v="2128230.0499999998"/>
  </r>
  <r>
    <x v="5"/>
    <x v="0"/>
    <x v="199"/>
    <x v="196"/>
    <s v="M04"/>
    <s v="General Fund"/>
    <n v="0"/>
  </r>
  <r>
    <x v="5"/>
    <x v="5"/>
    <x v="160"/>
    <x v="158"/>
    <s v="M04"/>
    <s v="Federal Grants Fund"/>
    <n v="43747.69"/>
  </r>
  <r>
    <x v="5"/>
    <x v="5"/>
    <x v="239"/>
    <x v="237"/>
    <s v="M03"/>
    <s v="General Fund"/>
    <n v="1719222.56"/>
  </r>
  <r>
    <x v="5"/>
    <x v="3"/>
    <x v="64"/>
    <x v="64"/>
    <s v="M04"/>
    <s v="Federal Grants Fund"/>
    <n v="277875"/>
  </r>
  <r>
    <x v="1"/>
    <x v="0"/>
    <x v="88"/>
    <x v="88"/>
    <s v="M04"/>
    <s v="Intragovernmental Services Fund"/>
    <n v="205537.39"/>
  </r>
  <r>
    <x v="1"/>
    <x v="6"/>
    <x v="63"/>
    <x v="63"/>
    <s v="M03"/>
    <s v="General Fund"/>
    <n v="379314.72"/>
  </r>
  <r>
    <x v="2"/>
    <x v="5"/>
    <x v="94"/>
    <x v="94"/>
    <s v="M03"/>
    <s v="General Fund"/>
    <n v="8305.83"/>
  </r>
  <r>
    <x v="3"/>
    <x v="19"/>
    <x v="431"/>
    <x v="433"/>
    <s v="M03"/>
    <s v="State Racing Fund"/>
    <n v="65000"/>
  </r>
  <r>
    <x v="3"/>
    <x v="6"/>
    <x v="255"/>
    <x v="254"/>
    <s v="M03"/>
    <s v="Federal Grants Fund"/>
    <n v="150206"/>
  </r>
  <r>
    <x v="4"/>
    <x v="6"/>
    <x v="180"/>
    <x v="177"/>
    <s v="M04"/>
    <s v="Suspense Fund"/>
    <n v="165799.29"/>
  </r>
  <r>
    <x v="0"/>
    <x v="5"/>
    <x v="247"/>
    <x v="245"/>
    <s v="MM3"/>
    <s v="General Fund"/>
    <n v="34800"/>
  </r>
  <r>
    <x v="4"/>
    <x v="8"/>
    <x v="399"/>
    <x v="402"/>
    <s v="M03"/>
    <s v="Federal Grants Fund"/>
    <n v="5000"/>
  </r>
  <r>
    <x v="4"/>
    <x v="7"/>
    <x v="344"/>
    <x v="349"/>
    <s v="M03"/>
    <s v="Federal Grants Fund"/>
    <n v="119185.15"/>
  </r>
  <r>
    <x v="1"/>
    <x v="5"/>
    <x v="160"/>
    <x v="158"/>
    <s v="M04"/>
    <s v="General Fund"/>
    <n v="10000"/>
  </r>
  <r>
    <x v="3"/>
    <x v="6"/>
    <x v="432"/>
    <x v="3"/>
    <s v="MM3"/>
    <s v="General Fund"/>
    <n v="0"/>
  </r>
  <r>
    <x v="3"/>
    <x v="5"/>
    <x v="130"/>
    <x v="233"/>
    <s v="MM3"/>
    <s v="Federal Grants Fund"/>
    <n v="0"/>
  </r>
  <r>
    <x v="3"/>
    <x v="0"/>
    <x v="205"/>
    <x v="202"/>
    <s v="M03"/>
    <s v="Federal Grants Fund"/>
    <n v="0"/>
  </r>
  <r>
    <x v="5"/>
    <x v="7"/>
    <x v="433"/>
    <x v="434"/>
    <s v="M03"/>
    <s v="General Fund"/>
    <n v="35946.239999999998"/>
  </r>
  <r>
    <x v="5"/>
    <x v="0"/>
    <x v="102"/>
    <x v="102"/>
    <s v="M04"/>
    <s v="General Fund"/>
    <n v="11454.5"/>
  </r>
  <r>
    <x v="5"/>
    <x v="6"/>
    <x v="355"/>
    <x v="361"/>
    <s v="M03"/>
    <s v="General Fund"/>
    <n v="550000"/>
  </r>
  <r>
    <x v="5"/>
    <x v="6"/>
    <x v="434"/>
    <x v="435"/>
    <s v="M04"/>
    <s v="Federal Grants Fund"/>
    <n v="49000"/>
  </r>
  <r>
    <x v="5"/>
    <x v="0"/>
    <x v="126"/>
    <x v="126"/>
    <s v="MM3"/>
    <s v="Expendable Trust Fund - External"/>
    <n v="980.8"/>
  </r>
  <r>
    <x v="3"/>
    <x v="7"/>
    <x v="127"/>
    <x v="127"/>
    <s v="M04"/>
    <s v="General Fund"/>
    <n v="2736"/>
  </r>
  <r>
    <x v="3"/>
    <x v="6"/>
    <x v="308"/>
    <x v="311"/>
    <s v="MM3"/>
    <s v="General Fund"/>
    <n v="2174029.61"/>
  </r>
  <r>
    <x v="3"/>
    <x v="0"/>
    <x v="435"/>
    <x v="436"/>
    <s v="M03"/>
    <s v="Expendable Trust Fund - External"/>
    <n v="-2674.64"/>
  </r>
  <r>
    <x v="1"/>
    <x v="7"/>
    <x v="296"/>
    <x v="298"/>
    <s v="M03"/>
    <s v="Expendable Trust Fund - External"/>
    <n v="516461.67"/>
  </r>
  <r>
    <x v="4"/>
    <x v="7"/>
    <x v="15"/>
    <x v="15"/>
    <s v="M03"/>
    <s v="General Fund"/>
    <n v="100000"/>
  </r>
  <r>
    <x v="5"/>
    <x v="0"/>
    <x v="217"/>
    <x v="215"/>
    <s v="MM3"/>
    <s v="Expendable Trust Fund - External"/>
    <n v="0"/>
  </r>
  <r>
    <x v="5"/>
    <x v="0"/>
    <x v="403"/>
    <x v="406"/>
    <s v="M03"/>
    <s v="General Fund"/>
    <n v="95292.98"/>
  </r>
  <r>
    <x v="4"/>
    <x v="1"/>
    <x v="291"/>
    <x v="293"/>
    <s v="M03"/>
    <s v="Federal Grants Fund"/>
    <n v="0"/>
  </r>
  <r>
    <x v="1"/>
    <x v="1"/>
    <x v="436"/>
    <x v="437"/>
    <s v="M03"/>
    <s v="Federal Grants Fund"/>
    <n v="50357"/>
  </r>
  <r>
    <x v="1"/>
    <x v="0"/>
    <x v="273"/>
    <x v="274"/>
    <s v="M03"/>
    <s v="Expendable Trust Fund - External"/>
    <n v="0"/>
  </r>
  <r>
    <x v="0"/>
    <x v="0"/>
    <x v="193"/>
    <x v="190"/>
    <s v="M03"/>
    <s v="General Fund"/>
    <n v="67820.3"/>
  </r>
  <r>
    <x v="4"/>
    <x v="1"/>
    <x v="14"/>
    <x v="14"/>
    <s v="MM3"/>
    <s v="Federal Grants Fund"/>
    <n v="1618.78"/>
  </r>
  <r>
    <x v="0"/>
    <x v="6"/>
    <x v="396"/>
    <x v="400"/>
    <s v="MM3"/>
    <s v="Federal Grants Fund"/>
    <n v="0"/>
  </r>
  <r>
    <x v="0"/>
    <x v="3"/>
    <x v="352"/>
    <x v="358"/>
    <s v="M04"/>
    <s v="General Fund"/>
    <n v="130341.77"/>
  </r>
  <r>
    <x v="2"/>
    <x v="6"/>
    <x v="437"/>
    <x v="438"/>
    <s v="MM3"/>
    <s v="General Fund"/>
    <n v="0"/>
  </r>
  <r>
    <x v="0"/>
    <x v="0"/>
    <x v="84"/>
    <x v="84"/>
    <s v="M03"/>
    <s v="General Fund"/>
    <n v="99999.7"/>
  </r>
  <r>
    <x v="5"/>
    <x v="6"/>
    <x v="256"/>
    <x v="255"/>
    <s v="MM3"/>
    <s v="General Fund"/>
    <n v="0"/>
  </r>
  <r>
    <x v="1"/>
    <x v="8"/>
    <x v="399"/>
    <x v="402"/>
    <s v="M03"/>
    <s v="Federal Grants Fund"/>
    <n v="30000"/>
  </r>
  <r>
    <x v="1"/>
    <x v="2"/>
    <x v="347"/>
    <x v="352"/>
    <s v="M03"/>
    <s v="General Fund"/>
    <n v="0"/>
  </r>
  <r>
    <x v="3"/>
    <x v="0"/>
    <x v="438"/>
    <x v="439"/>
    <s v="M03"/>
    <s v="General Fund"/>
    <n v="10169.17"/>
  </r>
  <r>
    <x v="4"/>
    <x v="6"/>
    <x v="35"/>
    <x v="35"/>
    <s v="MM3"/>
    <s v="General Fund"/>
    <n v="0"/>
  </r>
  <r>
    <x v="1"/>
    <x v="7"/>
    <x v="379"/>
    <x v="383"/>
    <s v="M03"/>
    <s v="General Fund"/>
    <n v="0"/>
  </r>
  <r>
    <x v="5"/>
    <x v="11"/>
    <x v="439"/>
    <x v="440"/>
    <s v="M03"/>
    <s v="Federal Grants Fund"/>
    <n v="24999"/>
  </r>
  <r>
    <x v="4"/>
    <x v="0"/>
    <x v="217"/>
    <x v="215"/>
    <s v="MM3"/>
    <s v="Expendable Trust Fund - External"/>
    <n v="0"/>
  </r>
  <r>
    <x v="1"/>
    <x v="0"/>
    <x v="278"/>
    <x v="280"/>
    <s v="M03"/>
    <s v="Expendable Trust Fund - External"/>
    <n v="0"/>
  </r>
  <r>
    <x v="4"/>
    <x v="6"/>
    <x v="63"/>
    <x v="63"/>
    <s v="M03"/>
    <s v="Federal Grants Fund"/>
    <n v="0"/>
  </r>
  <r>
    <x v="3"/>
    <x v="2"/>
    <x v="440"/>
    <x v="441"/>
    <s v="M03"/>
    <s v="General Fund"/>
    <n v="430000"/>
  </r>
  <r>
    <x v="3"/>
    <x v="5"/>
    <x v="242"/>
    <x v="240"/>
    <s v="M03"/>
    <s v="General Fund"/>
    <n v="75000"/>
  </r>
  <r>
    <x v="0"/>
    <x v="5"/>
    <x v="441"/>
    <x v="442"/>
    <s v="MM3"/>
    <s v="General Fund"/>
    <n v="0"/>
  </r>
  <r>
    <x v="5"/>
    <x v="2"/>
    <x v="364"/>
    <x v="369"/>
    <s v="M03"/>
    <s v="Community First Trust Fund - Non-Budgeted"/>
    <n v="5000000"/>
  </r>
  <r>
    <x v="2"/>
    <x v="6"/>
    <x v="264"/>
    <x v="264"/>
    <s v="MM3"/>
    <s v="Federal Grants Fund"/>
    <n v="96620.29"/>
  </r>
  <r>
    <x v="0"/>
    <x v="9"/>
    <x v="200"/>
    <x v="197"/>
    <s v="M03"/>
    <s v="Expendable Trust Fund - External"/>
    <n v="48366.76"/>
  </r>
  <r>
    <x v="1"/>
    <x v="0"/>
    <x v="88"/>
    <x v="88"/>
    <s v="MM3"/>
    <s v="Expendable Trust Fund - External"/>
    <n v="0"/>
  </r>
  <r>
    <x v="2"/>
    <x v="0"/>
    <x v="93"/>
    <x v="93"/>
    <s v="MM3"/>
    <s v="Expendable Trust Fund - External"/>
    <n v="19335.68"/>
  </r>
  <r>
    <x v="4"/>
    <x v="6"/>
    <x v="308"/>
    <x v="311"/>
    <s v="MM3"/>
    <s v="Expendable Trust Fund - External"/>
    <n v="222296.4"/>
  </r>
  <r>
    <x v="2"/>
    <x v="3"/>
    <x v="404"/>
    <x v="407"/>
    <s v="M03"/>
    <s v="General Fund"/>
    <n v="52912268.979999997"/>
  </r>
  <r>
    <x v="0"/>
    <x v="0"/>
    <x v="221"/>
    <x v="219"/>
    <s v="MM3"/>
    <s v="General Fund"/>
    <n v="700807899.05999994"/>
  </r>
  <r>
    <x v="1"/>
    <x v="2"/>
    <x v="197"/>
    <x v="194"/>
    <s v="M03"/>
    <s v="General Fund"/>
    <n v="971089.37"/>
  </r>
  <r>
    <x v="3"/>
    <x v="7"/>
    <x v="40"/>
    <x v="40"/>
    <s v="M03"/>
    <s v="Money Follows the Person Rebalancing Demonstration Grant Tr"/>
    <n v="1771283.17"/>
  </r>
  <r>
    <x v="3"/>
    <x v="0"/>
    <x v="11"/>
    <x v="11"/>
    <s v="M03"/>
    <s v="General Fund"/>
    <n v="1188352.98"/>
  </r>
  <r>
    <x v="3"/>
    <x v="0"/>
    <x v="147"/>
    <x v="256"/>
    <s v="M03"/>
    <s v="General Fund"/>
    <n v="1045473.68"/>
  </r>
  <r>
    <x v="3"/>
    <x v="12"/>
    <x v="382"/>
    <x v="385"/>
    <s v="M03"/>
    <s v="General Fund"/>
    <n v="3877245"/>
  </r>
  <r>
    <x v="0"/>
    <x v="9"/>
    <x v="410"/>
    <x v="443"/>
    <s v="M03"/>
    <s v="General Fund"/>
    <n v="5811890.1799999997"/>
  </r>
  <r>
    <x v="2"/>
    <x v="4"/>
    <x v="254"/>
    <x v="252"/>
    <s v="M03"/>
    <s v="General Fund"/>
    <n v="4799061"/>
  </r>
  <r>
    <x v="0"/>
    <x v="9"/>
    <x v="72"/>
    <x v="388"/>
    <s v="M03"/>
    <s v="General Fund"/>
    <n v="26282424.949999999"/>
  </r>
  <r>
    <x v="3"/>
    <x v="6"/>
    <x v="87"/>
    <x v="87"/>
    <s v="M04"/>
    <s v="Federal Grants Fund"/>
    <n v="4585507.9400000004"/>
  </r>
  <r>
    <x v="3"/>
    <x v="7"/>
    <x v="23"/>
    <x v="23"/>
    <s v="M03"/>
    <s v="General Fund"/>
    <n v="6045215.9199999999"/>
  </r>
  <r>
    <x v="2"/>
    <x v="0"/>
    <x v="121"/>
    <x v="121"/>
    <s v="MM3"/>
    <s v="General Fund"/>
    <n v="16980014.960000001"/>
  </r>
  <r>
    <x v="1"/>
    <x v="9"/>
    <x v="410"/>
    <x v="413"/>
    <s v="M03"/>
    <s v="General Fund"/>
    <n v="5634072.21"/>
  </r>
  <r>
    <x v="0"/>
    <x v="5"/>
    <x v="94"/>
    <x v="94"/>
    <s v="MM3"/>
    <s v="General Fund"/>
    <n v="6783242.0800000001"/>
  </r>
  <r>
    <x v="2"/>
    <x v="0"/>
    <x v="229"/>
    <x v="227"/>
    <s v="M03"/>
    <s v="General Fund"/>
    <n v="327450.26"/>
  </r>
  <r>
    <x v="1"/>
    <x v="0"/>
    <x v="220"/>
    <x v="218"/>
    <s v="M03"/>
    <s v="General Fund"/>
    <n v="16978308.43"/>
  </r>
  <r>
    <x v="3"/>
    <x v="6"/>
    <x v="166"/>
    <x v="164"/>
    <s v="MM3"/>
    <s v="General Fund"/>
    <n v="1003526.86"/>
  </r>
  <r>
    <x v="0"/>
    <x v="7"/>
    <x v="173"/>
    <x v="104"/>
    <s v="M04"/>
    <s v="General Fund"/>
    <n v="318104.23"/>
  </r>
  <r>
    <x v="2"/>
    <x v="12"/>
    <x v="383"/>
    <x v="386"/>
    <s v="M03"/>
    <s v="General Fund"/>
    <n v="3204100"/>
  </r>
  <r>
    <x v="0"/>
    <x v="6"/>
    <x v="22"/>
    <x v="22"/>
    <s v="MM3"/>
    <s v="General Fund"/>
    <n v="600213.19999999995"/>
  </r>
  <r>
    <x v="4"/>
    <x v="0"/>
    <x v="221"/>
    <x v="219"/>
    <s v="MM3"/>
    <s v="General Fund"/>
    <n v="894454227.19000006"/>
  </r>
  <r>
    <x v="4"/>
    <x v="7"/>
    <x v="47"/>
    <x v="47"/>
    <s v="M03"/>
    <s v="General Fund"/>
    <n v="19756100.030000001"/>
  </r>
  <r>
    <x v="1"/>
    <x v="7"/>
    <x v="120"/>
    <x v="120"/>
    <s v="M04"/>
    <s v="Trust Fund For the Head Injury Treatment Service Fund"/>
    <n v="365811.35"/>
  </r>
  <r>
    <x v="2"/>
    <x v="5"/>
    <x v="76"/>
    <x v="76"/>
    <s v="MM3"/>
    <s v="General Fund"/>
    <n v="1750347.14"/>
  </r>
  <r>
    <x v="2"/>
    <x v="3"/>
    <x v="262"/>
    <x v="262"/>
    <s v="M03"/>
    <s v="General Fund"/>
    <n v="8691396.3100000005"/>
  </r>
  <r>
    <x v="1"/>
    <x v="6"/>
    <x v="77"/>
    <x v="77"/>
    <s v="MM3"/>
    <s v="Federal Grants Fund"/>
    <n v="256224.96"/>
  </r>
  <r>
    <x v="1"/>
    <x v="2"/>
    <x v="230"/>
    <x v="228"/>
    <s v="M03"/>
    <s v="General Fund"/>
    <n v="1334826.95"/>
  </r>
  <r>
    <x v="4"/>
    <x v="5"/>
    <x v="133"/>
    <x v="133"/>
    <s v="M03"/>
    <s v="General Fund"/>
    <n v="20173062.170000002"/>
  </r>
  <r>
    <x v="0"/>
    <x v="6"/>
    <x v="263"/>
    <x v="263"/>
    <s v="MM3"/>
    <s v="General Fund"/>
    <n v="25426381"/>
  </r>
  <r>
    <x v="4"/>
    <x v="13"/>
    <x v="212"/>
    <x v="209"/>
    <s v="M03"/>
    <s v="General Fund"/>
    <n v="91276502.75"/>
  </r>
  <r>
    <x v="2"/>
    <x v="0"/>
    <x v="210"/>
    <x v="207"/>
    <s v="M03"/>
    <s v="General Fund"/>
    <n v="262492.81"/>
  </r>
  <r>
    <x v="4"/>
    <x v="2"/>
    <x v="328"/>
    <x v="332"/>
    <s v="M03"/>
    <s v="General Fund"/>
    <n v="104847829.34"/>
  </r>
  <r>
    <x v="2"/>
    <x v="7"/>
    <x v="329"/>
    <x v="333"/>
    <s v="M03"/>
    <s v="General Fund"/>
    <n v="2684973.91"/>
  </r>
  <r>
    <x v="0"/>
    <x v="2"/>
    <x v="384"/>
    <x v="387"/>
    <s v="M03"/>
    <s v="General Fund"/>
    <n v="2499187.35"/>
  </r>
  <r>
    <x v="1"/>
    <x v="3"/>
    <x v="418"/>
    <x v="421"/>
    <s v="M03"/>
    <s v="General Fund"/>
    <n v="6208213.4699999997"/>
  </r>
  <r>
    <x v="2"/>
    <x v="2"/>
    <x v="340"/>
    <x v="344"/>
    <s v="M03"/>
    <s v="General Fund"/>
    <n v="36863051.439999998"/>
  </r>
  <r>
    <x v="0"/>
    <x v="5"/>
    <x v="76"/>
    <x v="76"/>
    <s v="MM3"/>
    <s v="Federal Grants Fund"/>
    <n v="728927.26"/>
  </r>
  <r>
    <x v="1"/>
    <x v="7"/>
    <x v="23"/>
    <x v="23"/>
    <s v="M03"/>
    <s v="General Fund"/>
    <n v="5688040.3399999999"/>
  </r>
  <r>
    <x v="2"/>
    <x v="6"/>
    <x v="305"/>
    <x v="308"/>
    <s v="M04"/>
    <s v="General Fund"/>
    <n v="7545249.1699999999"/>
  </r>
  <r>
    <x v="1"/>
    <x v="7"/>
    <x v="42"/>
    <x v="42"/>
    <s v="M03"/>
    <s v="General Fund"/>
    <n v="69360"/>
  </r>
  <r>
    <x v="2"/>
    <x v="1"/>
    <x v="107"/>
    <x v="107"/>
    <s v="M03"/>
    <s v="Federal Grants Fund"/>
    <n v="104356.6"/>
  </r>
  <r>
    <x v="0"/>
    <x v="7"/>
    <x v="43"/>
    <x v="43"/>
    <s v="M03"/>
    <s v="Federal Grants Fund"/>
    <n v="76395.899999999994"/>
  </r>
  <r>
    <x v="1"/>
    <x v="1"/>
    <x v="213"/>
    <x v="273"/>
    <s v="M03"/>
    <s v="General Fund"/>
    <n v="6976537.04"/>
  </r>
  <r>
    <x v="1"/>
    <x v="11"/>
    <x v="309"/>
    <x v="312"/>
    <s v="M04"/>
    <s v="General Fund"/>
    <n v="698546.79"/>
  </r>
  <r>
    <x v="2"/>
    <x v="6"/>
    <x v="83"/>
    <x v="83"/>
    <s v="MM3"/>
    <s v="General Fund"/>
    <n v="6105728.5899999999"/>
  </r>
  <r>
    <x v="4"/>
    <x v="2"/>
    <x v="384"/>
    <x v="387"/>
    <s v="M03"/>
    <s v="General Fund"/>
    <n v="4796240.6399999997"/>
  </r>
  <r>
    <x v="1"/>
    <x v="6"/>
    <x v="19"/>
    <x v="19"/>
    <s v="M03"/>
    <s v="Federal Grants Fund"/>
    <n v="1004355.32"/>
  </r>
  <r>
    <x v="0"/>
    <x v="6"/>
    <x v="77"/>
    <x v="77"/>
    <s v="MM3"/>
    <s v="Federal Grants Fund"/>
    <n v="277966.8"/>
  </r>
  <r>
    <x v="0"/>
    <x v="1"/>
    <x v="266"/>
    <x v="300"/>
    <s v="M04"/>
    <s v="General Fund"/>
    <n v="490363.23"/>
  </r>
  <r>
    <x v="1"/>
    <x v="0"/>
    <x v="103"/>
    <x v="103"/>
    <s v="M03"/>
    <s v="General Fund"/>
    <n v="621344.54"/>
  </r>
  <r>
    <x v="2"/>
    <x v="9"/>
    <x v="222"/>
    <x v="277"/>
    <s v="M03"/>
    <s v="General Fund"/>
    <n v="12613958.1"/>
  </r>
  <r>
    <x v="1"/>
    <x v="6"/>
    <x v="175"/>
    <x v="172"/>
    <s v="M03"/>
    <s v="General Fund"/>
    <n v="154959.73000000001"/>
  </r>
  <r>
    <x v="2"/>
    <x v="0"/>
    <x v="104"/>
    <x v="104"/>
    <s v="M03"/>
    <s v="General Fund"/>
    <n v="169120.84"/>
  </r>
  <r>
    <x v="0"/>
    <x v="0"/>
    <x v="369"/>
    <x v="374"/>
    <s v="MM3"/>
    <s v="General Fund"/>
    <n v="139900.24"/>
  </r>
  <r>
    <x v="4"/>
    <x v="6"/>
    <x v="87"/>
    <x v="87"/>
    <s v="M04"/>
    <s v="General Fund"/>
    <n v="6348746.46"/>
  </r>
  <r>
    <x v="0"/>
    <x v="2"/>
    <x v="340"/>
    <x v="344"/>
    <s v="M03"/>
    <s v="General Fund"/>
    <n v="41571453.979999997"/>
  </r>
  <r>
    <x v="3"/>
    <x v="6"/>
    <x v="442"/>
    <x v="444"/>
    <s v="MM3"/>
    <s v="General Fund"/>
    <n v="418559.55"/>
  </r>
  <r>
    <x v="3"/>
    <x v="6"/>
    <x v="211"/>
    <x v="208"/>
    <s v="M03"/>
    <s v="Federal Grants Fund"/>
    <n v="329740"/>
  </r>
  <r>
    <x v="3"/>
    <x v="6"/>
    <x v="149"/>
    <x v="148"/>
    <s v="MM3"/>
    <s v="Federal Grants Fund"/>
    <n v="529785.61"/>
  </r>
  <r>
    <x v="2"/>
    <x v="0"/>
    <x v="299"/>
    <x v="302"/>
    <s v="MM3"/>
    <s v="General Fund"/>
    <n v="6229.62"/>
  </r>
  <r>
    <x v="1"/>
    <x v="6"/>
    <x v="256"/>
    <x v="255"/>
    <s v="MM3"/>
    <s v="General Fund"/>
    <n v="70260.63"/>
  </r>
  <r>
    <x v="0"/>
    <x v="0"/>
    <x v="11"/>
    <x v="11"/>
    <s v="MM3"/>
    <s v="General Fund"/>
    <n v="136640.66"/>
  </r>
  <r>
    <x v="3"/>
    <x v="5"/>
    <x v="290"/>
    <x v="292"/>
    <s v="M03"/>
    <s v="Federal Grants Fund"/>
    <n v="573582.88"/>
  </r>
  <r>
    <x v="3"/>
    <x v="6"/>
    <x v="170"/>
    <x v="168"/>
    <s v="MM3"/>
    <s v="Federal Grants Fund"/>
    <n v="771048.95"/>
  </r>
  <r>
    <x v="3"/>
    <x v="0"/>
    <x v="369"/>
    <x v="374"/>
    <s v="MM3"/>
    <s v="General Fund"/>
    <n v="125171.8"/>
  </r>
  <r>
    <x v="4"/>
    <x v="0"/>
    <x v="48"/>
    <x v="48"/>
    <s v="M03"/>
    <s v="General Fund"/>
    <n v="950113.51"/>
  </r>
  <r>
    <x v="1"/>
    <x v="0"/>
    <x v="215"/>
    <x v="212"/>
    <s v="MM3"/>
    <s v="General Fund"/>
    <n v="166193.32"/>
  </r>
  <r>
    <x v="2"/>
    <x v="2"/>
    <x v="384"/>
    <x v="387"/>
    <s v="M03"/>
    <s v="General Fund"/>
    <n v="2467915.52"/>
  </r>
  <r>
    <x v="1"/>
    <x v="8"/>
    <x v="243"/>
    <x v="241"/>
    <s v="M03"/>
    <s v="Federal Grants Fund"/>
    <n v="346284.95"/>
  </r>
  <r>
    <x v="2"/>
    <x v="2"/>
    <x v="443"/>
    <x v="445"/>
    <s v="M03"/>
    <s v="Federal Grants Fund"/>
    <n v="125310.21"/>
  </r>
  <r>
    <x v="3"/>
    <x v="0"/>
    <x v="57"/>
    <x v="57"/>
    <s v="M03"/>
    <s v="General Fund"/>
    <n v="4767.3599999999997"/>
  </r>
  <r>
    <x v="2"/>
    <x v="0"/>
    <x v="273"/>
    <x v="274"/>
    <s v="MM3"/>
    <s v="Expendable Trust Fund - External"/>
    <n v="0"/>
  </r>
  <r>
    <x v="0"/>
    <x v="5"/>
    <x v="242"/>
    <x v="240"/>
    <s v="M04"/>
    <s v="General Fund"/>
    <n v="596844.88"/>
  </r>
  <r>
    <x v="0"/>
    <x v="0"/>
    <x v="177"/>
    <x v="174"/>
    <s v="MM3"/>
    <s v="Expendable Trust Fund - External"/>
    <n v="0"/>
  </r>
  <r>
    <x v="4"/>
    <x v="0"/>
    <x v="73"/>
    <x v="73"/>
    <s v="M03"/>
    <s v="General Fund"/>
    <n v="77833.11"/>
  </r>
  <r>
    <x v="4"/>
    <x v="0"/>
    <x v="161"/>
    <x v="159"/>
    <s v="MM3"/>
    <s v="General Fund"/>
    <n v="441156.82"/>
  </r>
  <r>
    <x v="4"/>
    <x v="4"/>
    <x v="4"/>
    <x v="4"/>
    <s v="M03"/>
    <s v="General Fund"/>
    <n v="2929185.62"/>
  </r>
  <r>
    <x v="5"/>
    <x v="0"/>
    <x v="104"/>
    <x v="104"/>
    <s v="M04"/>
    <s v="General Fund"/>
    <n v="33834692.740000002"/>
  </r>
  <r>
    <x v="5"/>
    <x v="0"/>
    <x v="52"/>
    <x v="52"/>
    <s v="M03"/>
    <s v="Expendable Trust Fund - External"/>
    <n v="0"/>
  </r>
  <r>
    <x v="5"/>
    <x v="0"/>
    <x v="28"/>
    <x v="28"/>
    <s v="M03"/>
    <s v="General Fund"/>
    <n v="1294539.8400000001"/>
  </r>
  <r>
    <x v="5"/>
    <x v="6"/>
    <x v="109"/>
    <x v="109"/>
    <s v="M03"/>
    <s v="General Fund"/>
    <n v="350000"/>
  </r>
  <r>
    <x v="5"/>
    <x v="6"/>
    <x v="334"/>
    <x v="338"/>
    <s v="M04"/>
    <s v="General Fund"/>
    <n v="690601.47"/>
  </r>
  <r>
    <x v="5"/>
    <x v="6"/>
    <x v="245"/>
    <x v="243"/>
    <s v="MM3"/>
    <s v="General Fund"/>
    <n v="8512537.5700000003"/>
  </r>
  <r>
    <x v="0"/>
    <x v="6"/>
    <x v="240"/>
    <x v="238"/>
    <s v="M04"/>
    <s v="Federal Grants Fund"/>
    <n v="4843.95"/>
  </r>
  <r>
    <x v="0"/>
    <x v="6"/>
    <x v="355"/>
    <x v="361"/>
    <s v="M03"/>
    <s v="General Fund"/>
    <n v="550000"/>
  </r>
  <r>
    <x v="5"/>
    <x v="6"/>
    <x v="170"/>
    <x v="168"/>
    <s v="MM3"/>
    <s v="Federal Grants Fund"/>
    <n v="887599.56"/>
  </r>
  <r>
    <x v="4"/>
    <x v="6"/>
    <x v="263"/>
    <x v="263"/>
    <s v="M04"/>
    <s v="Federal Grants Fund"/>
    <n v="99021.79"/>
  </r>
  <r>
    <x v="2"/>
    <x v="6"/>
    <x v="61"/>
    <x v="61"/>
    <s v="M04"/>
    <s v="General Fund"/>
    <n v="506540.34"/>
  </r>
  <r>
    <x v="4"/>
    <x v="0"/>
    <x v="49"/>
    <x v="49"/>
    <s v="M03"/>
    <s v="General Fund"/>
    <n v="261704.9"/>
  </r>
  <r>
    <x v="2"/>
    <x v="6"/>
    <x v="408"/>
    <x v="411"/>
    <s v="M03"/>
    <s v="Federal Grants Fund"/>
    <n v="99266.48"/>
  </r>
  <r>
    <x v="0"/>
    <x v="0"/>
    <x v="220"/>
    <x v="218"/>
    <s v="MM3"/>
    <s v="Expendable Trust Fund - External"/>
    <n v="0"/>
  </r>
  <r>
    <x v="0"/>
    <x v="9"/>
    <x v="444"/>
    <x v="446"/>
    <s v="M03"/>
    <s v="General Fund"/>
    <n v="109419.9"/>
  </r>
  <r>
    <x v="4"/>
    <x v="8"/>
    <x v="342"/>
    <x v="347"/>
    <s v="M03"/>
    <s v="Office of Refugees and Immigrants Trust"/>
    <n v="242201.26"/>
  </r>
  <r>
    <x v="4"/>
    <x v="5"/>
    <x v="130"/>
    <x v="233"/>
    <s v="MM3"/>
    <s v="Federal Grants Fund"/>
    <n v="3473134.28"/>
  </r>
  <r>
    <x v="4"/>
    <x v="0"/>
    <x v="339"/>
    <x v="343"/>
    <s v="M03"/>
    <s v="General Fund"/>
    <n v="1657024.98"/>
  </r>
  <r>
    <x v="4"/>
    <x v="7"/>
    <x v="433"/>
    <x v="434"/>
    <s v="M03"/>
    <s v="General Fund"/>
    <n v="511725.74"/>
  </r>
  <r>
    <x v="4"/>
    <x v="9"/>
    <x v="219"/>
    <x v="217"/>
    <s v="M03"/>
    <s v="General Fund"/>
    <n v="6207488.21"/>
  </r>
  <r>
    <x v="4"/>
    <x v="6"/>
    <x v="192"/>
    <x v="189"/>
    <s v="MM3"/>
    <s v="General Fund"/>
    <n v="746621.88"/>
  </r>
  <r>
    <x v="4"/>
    <x v="6"/>
    <x v="137"/>
    <x v="136"/>
    <s v="M03"/>
    <s v="Federal Grants Fund"/>
    <n v="57825.69"/>
  </r>
  <r>
    <x v="5"/>
    <x v="0"/>
    <x v="260"/>
    <x v="260"/>
    <s v="M03"/>
    <s v="Expendable Trust Fund - External"/>
    <n v="16523.7"/>
  </r>
  <r>
    <x v="5"/>
    <x v="6"/>
    <x v="149"/>
    <x v="148"/>
    <s v="MM3"/>
    <s v="Federal Grants Fund"/>
    <n v="1668029.09"/>
  </r>
  <r>
    <x v="5"/>
    <x v="0"/>
    <x v="79"/>
    <x v="79"/>
    <s v="M04"/>
    <s v="General Fund"/>
    <n v="42716.06"/>
  </r>
  <r>
    <x v="5"/>
    <x v="6"/>
    <x v="285"/>
    <x v="287"/>
    <s v="M04"/>
    <s v="General Fund"/>
    <n v="651444.38"/>
  </r>
  <r>
    <x v="5"/>
    <x v="6"/>
    <x v="22"/>
    <x v="22"/>
    <s v="MM3"/>
    <s v="Federal Grants Fund"/>
    <n v="480402.28"/>
  </r>
  <r>
    <x v="0"/>
    <x v="1"/>
    <x v="370"/>
    <x v="375"/>
    <s v="M03"/>
    <s v="Federal Grants Fund"/>
    <n v="28772"/>
  </r>
  <r>
    <x v="3"/>
    <x v="12"/>
    <x v="393"/>
    <x v="397"/>
    <s v="M03"/>
    <s v="Federal Grants Fund"/>
    <n v="333205.28000000003"/>
  </r>
  <r>
    <x v="5"/>
    <x v="8"/>
    <x v="17"/>
    <x v="17"/>
    <s v="M03"/>
    <s v="General Fund"/>
    <n v="798000"/>
  </r>
  <r>
    <x v="5"/>
    <x v="0"/>
    <x v="93"/>
    <x v="93"/>
    <s v="M03"/>
    <s v="General Fund"/>
    <n v="3652630.36"/>
  </r>
  <r>
    <x v="3"/>
    <x v="6"/>
    <x v="192"/>
    <x v="189"/>
    <s v="MM3"/>
    <s v="General Fund"/>
    <n v="0"/>
  </r>
  <r>
    <x v="3"/>
    <x v="0"/>
    <x v="44"/>
    <x v="44"/>
    <s v="M03"/>
    <s v="General Fund"/>
    <n v="12683.56"/>
  </r>
  <r>
    <x v="2"/>
    <x v="0"/>
    <x v="205"/>
    <x v="202"/>
    <s v="M03"/>
    <s v="Federal Grants Fund"/>
    <n v="74068.160000000003"/>
  </r>
  <r>
    <x v="4"/>
    <x v="5"/>
    <x v="60"/>
    <x v="60"/>
    <s v="M04"/>
    <s v="General Fund"/>
    <n v="852606.59"/>
  </r>
  <r>
    <x v="0"/>
    <x v="0"/>
    <x v="445"/>
    <x v="447"/>
    <s v="M04"/>
    <s v="General Fund"/>
    <n v="28559"/>
  </r>
  <r>
    <x v="0"/>
    <x v="7"/>
    <x v="446"/>
    <x v="448"/>
    <s v="M03"/>
    <s v="General Fund"/>
    <n v="68217.570000000007"/>
  </r>
  <r>
    <x v="4"/>
    <x v="0"/>
    <x v="104"/>
    <x v="104"/>
    <s v="M03"/>
    <s v="General Fund"/>
    <n v="543.1"/>
  </r>
  <r>
    <x v="0"/>
    <x v="6"/>
    <x v="252"/>
    <x v="250"/>
    <s v="MM3"/>
    <s v="Federal Grants Fund"/>
    <n v="160970.23000000001"/>
  </r>
  <r>
    <x v="0"/>
    <x v="0"/>
    <x v="147"/>
    <x v="146"/>
    <s v="MM3"/>
    <s v="Expendable Trust Fund - External"/>
    <n v="53806.19"/>
  </r>
  <r>
    <x v="4"/>
    <x v="5"/>
    <x v="330"/>
    <x v="334"/>
    <s v="M04"/>
    <s v="General Fund"/>
    <n v="2393693.13"/>
  </r>
  <r>
    <x v="4"/>
    <x v="6"/>
    <x v="118"/>
    <x v="118"/>
    <s v="M04"/>
    <s v="General Fund"/>
    <n v="191778"/>
  </r>
  <r>
    <x v="4"/>
    <x v="0"/>
    <x v="126"/>
    <x v="126"/>
    <s v="MM3"/>
    <s v="General Fund"/>
    <n v="70548"/>
  </r>
  <r>
    <x v="4"/>
    <x v="6"/>
    <x v="144"/>
    <x v="143"/>
    <s v="M04"/>
    <s v="Federal Grants Fund"/>
    <n v="596134.06000000006"/>
  </r>
  <r>
    <x v="4"/>
    <x v="0"/>
    <x v="369"/>
    <x v="374"/>
    <s v="MM3"/>
    <s v="General Fund"/>
    <n v="217607.77"/>
  </r>
  <r>
    <x v="4"/>
    <x v="5"/>
    <x v="290"/>
    <x v="292"/>
    <s v="M03"/>
    <s v="General Fund"/>
    <n v="278075.38"/>
  </r>
  <r>
    <x v="5"/>
    <x v="0"/>
    <x v="49"/>
    <x v="49"/>
    <s v="M03"/>
    <s v="General Fund"/>
    <n v="263943.57"/>
  </r>
  <r>
    <x v="5"/>
    <x v="0"/>
    <x v="73"/>
    <x v="73"/>
    <s v="MM3"/>
    <s v="General Fund"/>
    <n v="102096.22"/>
  </r>
  <r>
    <x v="5"/>
    <x v="0"/>
    <x v="315"/>
    <x v="318"/>
    <s v="M03"/>
    <s v="General Fund"/>
    <n v="61216.04"/>
  </r>
  <r>
    <x v="4"/>
    <x v="0"/>
    <x v="246"/>
    <x v="244"/>
    <s v="MM3"/>
    <s v="General Fund"/>
    <n v="290230.96000000002"/>
  </r>
  <r>
    <x v="5"/>
    <x v="6"/>
    <x v="325"/>
    <x v="328"/>
    <s v="M04"/>
    <s v="Federal Grants Fund"/>
    <n v="762191.84"/>
  </r>
  <r>
    <x v="5"/>
    <x v="0"/>
    <x v="336"/>
    <x v="340"/>
    <s v="MM3"/>
    <s v="General Fund"/>
    <n v="321763"/>
  </r>
  <r>
    <x v="5"/>
    <x v="0"/>
    <x v="369"/>
    <x v="374"/>
    <s v="MM3"/>
    <s v="General Fund"/>
    <n v="231784.86"/>
  </r>
  <r>
    <x v="5"/>
    <x v="5"/>
    <x v="447"/>
    <x v="449"/>
    <s v="MM3"/>
    <s v="General Fund"/>
    <n v="3112957.05"/>
  </r>
  <r>
    <x v="5"/>
    <x v="6"/>
    <x v="324"/>
    <x v="327"/>
    <s v="M03"/>
    <s v="General Fund"/>
    <n v="295033.92"/>
  </r>
  <r>
    <x v="5"/>
    <x v="9"/>
    <x v="155"/>
    <x v="154"/>
    <s v="M03"/>
    <s v="General Fund"/>
    <n v="21648.6"/>
  </r>
  <r>
    <x v="5"/>
    <x v="11"/>
    <x v="309"/>
    <x v="312"/>
    <s v="M04"/>
    <s v="General Fund"/>
    <n v="224070.64"/>
  </r>
  <r>
    <x v="1"/>
    <x v="6"/>
    <x v="288"/>
    <x v="290"/>
    <s v="M04"/>
    <s v="General Fund"/>
    <n v="52999.5"/>
  </r>
  <r>
    <x v="2"/>
    <x v="6"/>
    <x v="301"/>
    <x v="304"/>
    <s v="M04"/>
    <s v="General Fund"/>
    <n v="420000"/>
  </r>
  <r>
    <x v="0"/>
    <x v="1"/>
    <x v="250"/>
    <x v="248"/>
    <s v="MM3"/>
    <s v="General Fund"/>
    <n v="60000"/>
  </r>
  <r>
    <x v="2"/>
    <x v="7"/>
    <x v="323"/>
    <x v="326"/>
    <s v="M03"/>
    <s v="General Fund"/>
    <n v="116501.95"/>
  </r>
  <r>
    <x v="3"/>
    <x v="1"/>
    <x v="90"/>
    <x v="90"/>
    <s v="M03"/>
    <s v="General Fund"/>
    <n v="309875.76"/>
  </r>
  <r>
    <x v="0"/>
    <x v="3"/>
    <x v="448"/>
    <x v="450"/>
    <s v="M03"/>
    <s v="General Fund"/>
    <n v="501633.44"/>
  </r>
  <r>
    <x v="3"/>
    <x v="6"/>
    <x v="253"/>
    <x v="251"/>
    <s v="M03"/>
    <s v="Federal Grants Fund"/>
    <n v="239145.29"/>
  </r>
  <r>
    <x v="4"/>
    <x v="7"/>
    <x v="55"/>
    <x v="55"/>
    <s v="M03"/>
    <s v="Federal Grants Fund"/>
    <n v="0"/>
  </r>
  <r>
    <x v="3"/>
    <x v="0"/>
    <x v="169"/>
    <x v="167"/>
    <s v="MM3"/>
    <s v="General Fund"/>
    <n v="16467.73"/>
  </r>
  <r>
    <x v="0"/>
    <x v="1"/>
    <x v="266"/>
    <x v="300"/>
    <s v="M04"/>
    <s v="Federal Grants Fund"/>
    <n v="57041.58"/>
  </r>
  <r>
    <x v="0"/>
    <x v="0"/>
    <x v="205"/>
    <x v="202"/>
    <s v="M03"/>
    <s v="General Fund"/>
    <n v="80035.429999999993"/>
  </r>
  <r>
    <x v="1"/>
    <x v="5"/>
    <x v="76"/>
    <x v="76"/>
    <s v="M04"/>
    <s v="Federal Grants Fund"/>
    <n v="103659.1"/>
  </r>
  <r>
    <x v="5"/>
    <x v="0"/>
    <x v="13"/>
    <x v="13"/>
    <s v="MM3"/>
    <s v="General Fund"/>
    <n v="2660.9"/>
  </r>
  <r>
    <x v="0"/>
    <x v="0"/>
    <x v="147"/>
    <x v="256"/>
    <s v="MM3"/>
    <s v="Expendable Trust Fund - External"/>
    <n v="-53806.19"/>
  </r>
  <r>
    <x v="1"/>
    <x v="0"/>
    <x v="229"/>
    <x v="227"/>
    <s v="MM3"/>
    <s v="General Fund"/>
    <n v="94845.98"/>
  </r>
  <r>
    <x v="2"/>
    <x v="6"/>
    <x v="204"/>
    <x v="201"/>
    <s v="M04"/>
    <s v="General Fund"/>
    <n v="6403.13"/>
  </r>
  <r>
    <x v="3"/>
    <x v="0"/>
    <x v="121"/>
    <x v="121"/>
    <s v="MM3"/>
    <s v="Expendable Trust Fund - External"/>
    <n v="0"/>
  </r>
  <r>
    <x v="2"/>
    <x v="10"/>
    <x v="449"/>
    <x v="451"/>
    <s v="M03"/>
    <s v="Federal Grants Fund"/>
    <n v="0"/>
  </r>
  <r>
    <x v="4"/>
    <x v="5"/>
    <x v="361"/>
    <x v="367"/>
    <s v="MM3"/>
    <s v="General Fund"/>
    <n v="450000"/>
  </r>
  <r>
    <x v="5"/>
    <x v="1"/>
    <x v="250"/>
    <x v="248"/>
    <s v="MM3"/>
    <s v="General Fund"/>
    <n v="59993.65"/>
  </r>
  <r>
    <x v="0"/>
    <x v="6"/>
    <x v="325"/>
    <x v="328"/>
    <s v="M04"/>
    <s v="Federal Grants Fund"/>
    <n v="607725.27"/>
  </r>
  <r>
    <x v="2"/>
    <x v="5"/>
    <x v="133"/>
    <x v="133"/>
    <s v="MM3"/>
    <s v="Expendable Trust Fund - External"/>
    <n v="82252.14"/>
  </r>
  <r>
    <x v="0"/>
    <x v="5"/>
    <x v="247"/>
    <x v="245"/>
    <s v="M03"/>
    <s v="General Fund"/>
    <n v="0"/>
  </r>
  <r>
    <x v="0"/>
    <x v="6"/>
    <x v="450"/>
    <x v="452"/>
    <s v="M03"/>
    <s v="Federal Grants Fund"/>
    <n v="112342.41"/>
  </r>
  <r>
    <x v="4"/>
    <x v="5"/>
    <x v="138"/>
    <x v="137"/>
    <s v="M03"/>
    <s v="Federal Grants Fund"/>
    <n v="790982.63"/>
  </r>
  <r>
    <x v="3"/>
    <x v="9"/>
    <x v="333"/>
    <x v="337"/>
    <s v="M03"/>
    <s v="General Fund"/>
    <n v="0"/>
  </r>
  <r>
    <x v="2"/>
    <x v="0"/>
    <x v="186"/>
    <x v="183"/>
    <s v="M04"/>
    <s v="General Fund"/>
    <n v="82773.48"/>
  </r>
  <r>
    <x v="5"/>
    <x v="6"/>
    <x v="152"/>
    <x v="151"/>
    <s v="M03"/>
    <s v="General Fund"/>
    <n v="70000"/>
  </r>
  <r>
    <x v="1"/>
    <x v="3"/>
    <x v="113"/>
    <x v="113"/>
    <s v="M04"/>
    <s v="Expendable Trust Fund - External"/>
    <n v="1203.72"/>
  </r>
  <r>
    <x v="2"/>
    <x v="6"/>
    <x v="416"/>
    <x v="419"/>
    <s v="MM3"/>
    <s v="Federal Grants Fund"/>
    <n v="89500"/>
  </r>
  <r>
    <x v="4"/>
    <x v="5"/>
    <x v="75"/>
    <x v="75"/>
    <s v="M04"/>
    <s v="Expendable Trust Fund - External"/>
    <n v="113660"/>
  </r>
  <r>
    <x v="2"/>
    <x v="6"/>
    <x v="416"/>
    <x v="419"/>
    <s v="MM3"/>
    <s v="General Fund"/>
    <n v="285500"/>
  </r>
  <r>
    <x v="0"/>
    <x v="0"/>
    <x v="58"/>
    <x v="58"/>
    <s v="M03"/>
    <s v="Expendable Trust Fund - External"/>
    <n v="0"/>
  </r>
  <r>
    <x v="5"/>
    <x v="0"/>
    <x v="52"/>
    <x v="52"/>
    <s v="MM3"/>
    <s v="Expendable Trust Fund - External"/>
    <n v="0"/>
  </r>
  <r>
    <x v="5"/>
    <x v="11"/>
    <x v="309"/>
    <x v="312"/>
    <s v="M04"/>
    <s v="Health Information Technology Trust Fund"/>
    <n v="-201743.04"/>
  </r>
  <r>
    <x v="1"/>
    <x v="6"/>
    <x v="334"/>
    <x v="338"/>
    <s v="M04"/>
    <s v="Federal Grants Fund"/>
    <n v="67518"/>
  </r>
  <r>
    <x v="4"/>
    <x v="16"/>
    <x v="310"/>
    <x v="313"/>
    <s v="M04"/>
    <s v="Highway Capital Projects Fund"/>
    <n v="227284.45"/>
  </r>
  <r>
    <x v="3"/>
    <x v="7"/>
    <x v="312"/>
    <x v="315"/>
    <s v="M04"/>
    <s v="Federal Grants Fund"/>
    <n v="650"/>
  </r>
  <r>
    <x v="2"/>
    <x v="2"/>
    <x v="384"/>
    <x v="387"/>
    <s v="M03"/>
    <s v="Federal Grants Fund"/>
    <n v="36017.43"/>
  </r>
  <r>
    <x v="4"/>
    <x v="0"/>
    <x v="260"/>
    <x v="260"/>
    <s v="M03"/>
    <s v="Expendable Trust Fund - External"/>
    <n v="0"/>
  </r>
  <r>
    <x v="2"/>
    <x v="5"/>
    <x v="59"/>
    <x v="59"/>
    <s v="M04"/>
    <s v="General Fund"/>
    <n v="4000"/>
  </r>
  <r>
    <x v="5"/>
    <x v="0"/>
    <x v="273"/>
    <x v="274"/>
    <s v="M03"/>
    <s v="General Fund"/>
    <n v="0"/>
  </r>
  <r>
    <x v="1"/>
    <x v="9"/>
    <x v="200"/>
    <x v="197"/>
    <s v="M03"/>
    <s v="Expendable Trust Fund - External"/>
    <n v="26650.53"/>
  </r>
  <r>
    <x v="2"/>
    <x v="2"/>
    <x v="2"/>
    <x v="2"/>
    <s v="M04"/>
    <s v="General Fund"/>
    <n v="0"/>
  </r>
  <r>
    <x v="0"/>
    <x v="0"/>
    <x v="116"/>
    <x v="116"/>
    <s v="M03"/>
    <s v="Expendable Trust Fund - External"/>
    <n v="0"/>
  </r>
  <r>
    <x v="2"/>
    <x v="6"/>
    <x v="451"/>
    <x v="453"/>
    <s v="M04"/>
    <s v="General Fund"/>
    <n v="0"/>
  </r>
  <r>
    <x v="5"/>
    <x v="6"/>
    <x v="357"/>
    <x v="363"/>
    <s v="MM3"/>
    <s v="Substance Abuse Services Fund"/>
    <n v="0"/>
  </r>
  <r>
    <x v="4"/>
    <x v="12"/>
    <x v="452"/>
    <x v="454"/>
    <s v="M03"/>
    <s v="General Fund"/>
    <n v="7325.61"/>
  </r>
  <r>
    <x v="4"/>
    <x v="3"/>
    <x v="453"/>
    <x v="455"/>
    <s v="M03"/>
    <s v="General Fund"/>
    <n v="0"/>
  </r>
  <r>
    <x v="1"/>
    <x v="6"/>
    <x v="81"/>
    <x v="81"/>
    <s v="MM3"/>
    <s v="Federal Grants Fund"/>
    <n v="0"/>
  </r>
  <r>
    <x v="5"/>
    <x v="5"/>
    <x v="138"/>
    <x v="137"/>
    <s v="M03"/>
    <s v="General Fund"/>
    <n v="0"/>
  </r>
  <r>
    <x v="1"/>
    <x v="16"/>
    <x v="310"/>
    <x v="313"/>
    <s v="M04"/>
    <s v="Highway Capital Projects Fund"/>
    <n v="104769.9"/>
  </r>
  <r>
    <x v="2"/>
    <x v="0"/>
    <x v="186"/>
    <x v="183"/>
    <s v="M04"/>
    <s v="Expendable Trust Fund - External"/>
    <n v="30453"/>
  </r>
  <r>
    <x v="5"/>
    <x v="6"/>
    <x v="50"/>
    <x v="50"/>
    <s v="MM3"/>
    <s v="General Fund"/>
    <n v="0"/>
  </r>
  <r>
    <x v="2"/>
    <x v="7"/>
    <x v="120"/>
    <x v="120"/>
    <s v="M03"/>
    <s v="Expendable Trust Fund - External"/>
    <n v="47935.94"/>
  </r>
  <r>
    <x v="1"/>
    <x v="0"/>
    <x v="102"/>
    <x v="102"/>
    <s v="M03"/>
    <s v="General Fund"/>
    <n v="3145525.95"/>
  </r>
  <r>
    <x v="3"/>
    <x v="6"/>
    <x v="170"/>
    <x v="168"/>
    <s v="MM3"/>
    <s v="General Fund"/>
    <n v="354622.7"/>
  </r>
  <r>
    <x v="3"/>
    <x v="5"/>
    <x v="5"/>
    <x v="5"/>
    <s v="MM3"/>
    <s v="General Fund"/>
    <n v="269762992.36000001"/>
  </r>
  <r>
    <x v="1"/>
    <x v="9"/>
    <x v="36"/>
    <x v="36"/>
    <s v="M03"/>
    <s v="General Fund"/>
    <n v="667474.77"/>
  </r>
  <r>
    <x v="2"/>
    <x v="7"/>
    <x v="47"/>
    <x v="47"/>
    <s v="M03"/>
    <s v="General Fund"/>
    <n v="7745285.6100000003"/>
  </r>
  <r>
    <x v="4"/>
    <x v="7"/>
    <x v="173"/>
    <x v="104"/>
    <s v="M04"/>
    <s v="Federal Grants Fund"/>
    <n v="339150.99"/>
  </r>
  <r>
    <x v="4"/>
    <x v="0"/>
    <x v="97"/>
    <x v="97"/>
    <s v="MM3"/>
    <s v="General Fund"/>
    <n v="11883915.49"/>
  </r>
  <r>
    <x v="1"/>
    <x v="6"/>
    <x v="99"/>
    <x v="99"/>
    <s v="MM3"/>
    <s v="Federal Grants Fund"/>
    <n v="2876903.18"/>
  </r>
  <r>
    <x v="1"/>
    <x v="6"/>
    <x v="37"/>
    <x v="37"/>
    <s v="MM3"/>
    <s v="General Fund"/>
    <n v="1187917"/>
  </r>
  <r>
    <x v="3"/>
    <x v="7"/>
    <x v="23"/>
    <x v="23"/>
    <s v="M03"/>
    <s v="Federal Grants Fund"/>
    <n v="187050.47"/>
  </r>
  <r>
    <x v="3"/>
    <x v="11"/>
    <x v="309"/>
    <x v="312"/>
    <s v="M04"/>
    <s v="Intragovernmental Services Fund"/>
    <n v="10982479.92"/>
  </r>
  <r>
    <x v="3"/>
    <x v="6"/>
    <x v="345"/>
    <x v="350"/>
    <s v="M03"/>
    <s v="Federal Grants Fund"/>
    <n v="148928.79999999999"/>
  </r>
  <r>
    <x v="1"/>
    <x v="7"/>
    <x v="47"/>
    <x v="47"/>
    <s v="M03"/>
    <s v="General Fund"/>
    <n v="19408382"/>
  </r>
  <r>
    <x v="1"/>
    <x v="13"/>
    <x v="426"/>
    <x v="429"/>
    <s v="M03"/>
    <s v="General Fund"/>
    <n v="5155878.76"/>
  </r>
  <r>
    <x v="2"/>
    <x v="2"/>
    <x v="409"/>
    <x v="412"/>
    <s v="M03"/>
    <s v="General Fund"/>
    <n v="35713022"/>
  </r>
  <r>
    <x v="4"/>
    <x v="3"/>
    <x v="279"/>
    <x v="281"/>
    <s v="M03"/>
    <s v="General Fund"/>
    <n v="0"/>
  </r>
  <r>
    <x v="3"/>
    <x v="0"/>
    <x v="217"/>
    <x v="215"/>
    <s v="MM3"/>
    <s v="General Fund"/>
    <n v="324326.42"/>
  </r>
  <r>
    <x v="1"/>
    <x v="0"/>
    <x v="159"/>
    <x v="62"/>
    <s v="M03"/>
    <s v="General Fund"/>
    <n v="1479.79"/>
  </r>
  <r>
    <x v="2"/>
    <x v="0"/>
    <x v="97"/>
    <x v="97"/>
    <s v="MM3"/>
    <s v="General Fund"/>
    <n v="8677338.5500000007"/>
  </r>
  <r>
    <x v="1"/>
    <x v="6"/>
    <x v="8"/>
    <x v="8"/>
    <s v="M03"/>
    <s v="Federal Grants Fund"/>
    <n v="17482527.530000001"/>
  </r>
  <r>
    <x v="1"/>
    <x v="3"/>
    <x v="113"/>
    <x v="113"/>
    <s v="M04"/>
    <s v="Federal Grants Fund"/>
    <n v="298371.84000000003"/>
  </r>
  <r>
    <x v="2"/>
    <x v="11"/>
    <x v="316"/>
    <x v="319"/>
    <s v="M03"/>
    <s v="General Fund"/>
    <n v="16647801"/>
  </r>
  <r>
    <x v="2"/>
    <x v="3"/>
    <x v="360"/>
    <x v="366"/>
    <s v="M03"/>
    <s v="General Fund"/>
    <n v="40468555.119999997"/>
  </r>
  <r>
    <x v="4"/>
    <x v="0"/>
    <x v="97"/>
    <x v="97"/>
    <s v="M03"/>
    <s v="General Fund"/>
    <n v="13299648.35"/>
  </r>
  <r>
    <x v="1"/>
    <x v="6"/>
    <x v="85"/>
    <x v="85"/>
    <s v="MM3"/>
    <s v="General Fund"/>
    <n v="288172.34999999998"/>
  </r>
  <r>
    <x v="0"/>
    <x v="7"/>
    <x v="327"/>
    <x v="331"/>
    <s v="M03"/>
    <s v="Federal Grants Fund"/>
    <n v="2267641.5499999998"/>
  </r>
  <r>
    <x v="0"/>
    <x v="6"/>
    <x v="149"/>
    <x v="148"/>
    <s v="MM3"/>
    <s v="Federal Grants Fund"/>
    <n v="1339387.8600000001"/>
  </r>
  <r>
    <x v="1"/>
    <x v="2"/>
    <x v="69"/>
    <x v="69"/>
    <s v="M03"/>
    <s v="General Fund"/>
    <n v="5733564.3499999996"/>
  </r>
  <r>
    <x v="1"/>
    <x v="6"/>
    <x v="83"/>
    <x v="83"/>
    <s v="MM3"/>
    <s v="Federal Grants Fund"/>
    <n v="959147.02"/>
  </r>
  <r>
    <x v="1"/>
    <x v="7"/>
    <x v="454"/>
    <x v="456"/>
    <s v="M03"/>
    <s v="General Fund"/>
    <n v="0"/>
  </r>
  <r>
    <x v="1"/>
    <x v="6"/>
    <x v="174"/>
    <x v="171"/>
    <s v="M04"/>
    <s v="General Fund"/>
    <n v="132051.57"/>
  </r>
  <r>
    <x v="1"/>
    <x v="5"/>
    <x v="138"/>
    <x v="137"/>
    <s v="M03"/>
    <s v="General Fund"/>
    <n v="858554.23"/>
  </r>
  <r>
    <x v="4"/>
    <x v="5"/>
    <x v="209"/>
    <x v="206"/>
    <s v="MM3"/>
    <s v="General Fund"/>
    <n v="17089464.239999998"/>
  </r>
  <r>
    <x v="0"/>
    <x v="0"/>
    <x v="217"/>
    <x v="215"/>
    <s v="M03"/>
    <s v="General Fund"/>
    <n v="1117341.81"/>
  </r>
  <r>
    <x v="0"/>
    <x v="6"/>
    <x v="144"/>
    <x v="143"/>
    <s v="M03"/>
    <s v="Federal Grants Fund"/>
    <n v="931975.03"/>
  </r>
  <r>
    <x v="0"/>
    <x v="3"/>
    <x v="262"/>
    <x v="262"/>
    <s v="M03"/>
    <s v="General Fund"/>
    <n v="6308216.4699999997"/>
  </r>
  <r>
    <x v="1"/>
    <x v="3"/>
    <x v="7"/>
    <x v="7"/>
    <s v="M03"/>
    <s v="General Fund"/>
    <n v="43135583.469999999"/>
  </r>
  <r>
    <x v="0"/>
    <x v="0"/>
    <x v="315"/>
    <x v="318"/>
    <s v="M03"/>
    <s v="General Fund"/>
    <n v="86819.34"/>
  </r>
  <r>
    <x v="0"/>
    <x v="5"/>
    <x v="76"/>
    <x v="76"/>
    <s v="M03"/>
    <s v="Federal Grants Fund"/>
    <n v="346808.28"/>
  </r>
  <r>
    <x v="0"/>
    <x v="4"/>
    <x v="254"/>
    <x v="252"/>
    <s v="M03"/>
    <s v="General Fund"/>
    <n v="5038300.2"/>
  </r>
  <r>
    <x v="2"/>
    <x v="5"/>
    <x v="5"/>
    <x v="5"/>
    <s v="MM3"/>
    <s v="Expendable Trust Fund - External"/>
    <n v="965931.97"/>
  </r>
  <r>
    <x v="4"/>
    <x v="7"/>
    <x v="16"/>
    <x v="16"/>
    <s v="M03"/>
    <s v="General Fund"/>
    <n v="12026.86"/>
  </r>
  <r>
    <x v="1"/>
    <x v="6"/>
    <x v="87"/>
    <x v="87"/>
    <s v="M04"/>
    <s v="Federal Grants Fund"/>
    <n v="4740057.09"/>
  </r>
  <r>
    <x v="1"/>
    <x v="0"/>
    <x v="11"/>
    <x v="11"/>
    <s v="MM3"/>
    <s v="General Fund"/>
    <n v="175468.54"/>
  </r>
  <r>
    <x v="4"/>
    <x v="3"/>
    <x v="113"/>
    <x v="113"/>
    <s v="M04"/>
    <s v="Federal Grants Fund"/>
    <n v="295387.62"/>
  </r>
  <r>
    <x v="2"/>
    <x v="6"/>
    <x v="281"/>
    <x v="283"/>
    <s v="MM3"/>
    <s v="General Fund"/>
    <n v="3563714.37"/>
  </r>
  <r>
    <x v="2"/>
    <x v="6"/>
    <x v="35"/>
    <x v="35"/>
    <s v="MM3"/>
    <s v="General Fund"/>
    <n v="720000"/>
  </r>
  <r>
    <x v="1"/>
    <x v="1"/>
    <x v="172"/>
    <x v="170"/>
    <s v="M03"/>
    <s v="General Fund"/>
    <n v="1038928.32"/>
  </r>
  <r>
    <x v="0"/>
    <x v="6"/>
    <x v="166"/>
    <x v="164"/>
    <s v="MM3"/>
    <s v="Federal Grants Fund"/>
    <n v="156153.51"/>
  </r>
  <r>
    <x v="2"/>
    <x v="2"/>
    <x v="258"/>
    <x v="258"/>
    <s v="M03"/>
    <s v="Federal Grants Fund"/>
    <n v="87544.03"/>
  </r>
  <r>
    <x v="1"/>
    <x v="3"/>
    <x v="265"/>
    <x v="265"/>
    <s v="M03"/>
    <s v="General Fund"/>
    <n v="5621205.2599999998"/>
  </r>
  <r>
    <x v="4"/>
    <x v="0"/>
    <x v="48"/>
    <x v="48"/>
    <s v="MM3"/>
    <s v="General Fund"/>
    <n v="269732.37"/>
  </r>
  <r>
    <x v="2"/>
    <x v="6"/>
    <x v="56"/>
    <x v="56"/>
    <s v="MM3"/>
    <s v="General Fund"/>
    <n v="1953040"/>
  </r>
  <r>
    <x v="2"/>
    <x v="3"/>
    <x v="184"/>
    <x v="181"/>
    <s v="M03"/>
    <s v="General Fund"/>
    <n v="546864.59"/>
  </r>
  <r>
    <x v="0"/>
    <x v="0"/>
    <x v="88"/>
    <x v="88"/>
    <s v="MM3"/>
    <s v="General Fund"/>
    <n v="10099867.09"/>
  </r>
  <r>
    <x v="2"/>
    <x v="0"/>
    <x v="141"/>
    <x v="140"/>
    <s v="M03"/>
    <s v="General Fund"/>
    <n v="116771.11"/>
  </r>
  <r>
    <x v="0"/>
    <x v="6"/>
    <x v="308"/>
    <x v="311"/>
    <s v="MM3"/>
    <s v="Expendable Trust Fund - External"/>
    <n v="75466.27"/>
  </r>
  <r>
    <x v="1"/>
    <x v="0"/>
    <x v="10"/>
    <x v="10"/>
    <s v="M03"/>
    <s v="General Fund"/>
    <n v="1598797.73"/>
  </r>
  <r>
    <x v="2"/>
    <x v="6"/>
    <x v="355"/>
    <x v="361"/>
    <s v="MM3"/>
    <s v="Federal Grants Fund"/>
    <n v="666992.69999999995"/>
  </r>
  <r>
    <x v="3"/>
    <x v="0"/>
    <x v="150"/>
    <x v="149"/>
    <s v="M03"/>
    <s v="General Fund"/>
    <n v="162105.93"/>
  </r>
  <r>
    <x v="2"/>
    <x v="9"/>
    <x v="200"/>
    <x v="197"/>
    <s v="M03"/>
    <s v="General Fund"/>
    <n v="17836714.190000001"/>
  </r>
  <r>
    <x v="1"/>
    <x v="3"/>
    <x v="377"/>
    <x v="7"/>
    <s v="M03"/>
    <s v="General Fund"/>
    <n v="552744.24"/>
  </r>
  <r>
    <x v="0"/>
    <x v="0"/>
    <x v="229"/>
    <x v="227"/>
    <s v="M03"/>
    <s v="General Fund"/>
    <n v="332326.65999999997"/>
  </r>
  <r>
    <x v="1"/>
    <x v="9"/>
    <x v="155"/>
    <x v="154"/>
    <s v="M03"/>
    <s v="General Fund"/>
    <n v="28000"/>
  </r>
  <r>
    <x v="2"/>
    <x v="4"/>
    <x v="4"/>
    <x v="4"/>
    <s v="M03"/>
    <s v="General Fund"/>
    <n v="1868504.78"/>
  </r>
  <r>
    <x v="4"/>
    <x v="2"/>
    <x v="69"/>
    <x v="69"/>
    <s v="M03"/>
    <s v="General Fund"/>
    <n v="6148596.3600000003"/>
  </r>
  <r>
    <x v="3"/>
    <x v="6"/>
    <x v="61"/>
    <x v="61"/>
    <s v="M04"/>
    <s v="Federal Grants Fund"/>
    <n v="212943.04"/>
  </r>
  <r>
    <x v="2"/>
    <x v="7"/>
    <x v="173"/>
    <x v="104"/>
    <s v="M04"/>
    <s v="General Fund"/>
    <n v="270186.5"/>
  </r>
  <r>
    <x v="1"/>
    <x v="8"/>
    <x v="45"/>
    <x v="45"/>
    <s v="M03"/>
    <s v="Federal Grants Fund"/>
    <n v="511870.35"/>
  </r>
  <r>
    <x v="1"/>
    <x v="5"/>
    <x v="60"/>
    <x v="60"/>
    <s v="M04"/>
    <s v="General Fund"/>
    <n v="566668.34"/>
  </r>
  <r>
    <x v="4"/>
    <x v="2"/>
    <x v="2"/>
    <x v="2"/>
    <s v="M03"/>
    <s v="General Fund"/>
    <n v="6950802.6500000004"/>
  </r>
  <r>
    <x v="1"/>
    <x v="11"/>
    <x v="309"/>
    <x v="312"/>
    <s v="M04"/>
    <s v="Intragovernmental Services Fund"/>
    <n v="7063084.1699999999"/>
  </r>
  <r>
    <x v="2"/>
    <x v="0"/>
    <x v="20"/>
    <x v="20"/>
    <s v="M03"/>
    <s v="Expendable Trust Fund - External"/>
    <n v="33709.199999999997"/>
  </r>
  <r>
    <x v="0"/>
    <x v="2"/>
    <x v="283"/>
    <x v="285"/>
    <s v="M03"/>
    <s v="General Fund"/>
    <n v="19028973.960000001"/>
  </r>
  <r>
    <x v="3"/>
    <x v="6"/>
    <x v="357"/>
    <x v="363"/>
    <s v="MM3"/>
    <s v="Federal Grants Fund"/>
    <n v="229876.22"/>
  </r>
  <r>
    <x v="2"/>
    <x v="6"/>
    <x v="325"/>
    <x v="328"/>
    <s v="M04"/>
    <s v="Federal Grants Fund"/>
    <n v="738594.61"/>
  </r>
  <r>
    <x v="1"/>
    <x v="1"/>
    <x v="455"/>
    <x v="457"/>
    <s v="M04"/>
    <s v="General Fund"/>
    <n v="139629.65"/>
  </r>
  <r>
    <x v="2"/>
    <x v="6"/>
    <x v="305"/>
    <x v="308"/>
    <s v="M04"/>
    <s v="Federal Grants Fund"/>
    <n v="7698215.6600000001"/>
  </r>
  <r>
    <x v="1"/>
    <x v="0"/>
    <x v="73"/>
    <x v="73"/>
    <s v="M03"/>
    <s v="General Fund"/>
    <n v="108290.22"/>
  </r>
  <r>
    <x v="0"/>
    <x v="5"/>
    <x v="138"/>
    <x v="137"/>
    <s v="MM3"/>
    <s v="Federal Grants Fund"/>
    <n v="105896"/>
  </r>
  <r>
    <x v="1"/>
    <x v="3"/>
    <x v="112"/>
    <x v="112"/>
    <s v="M03"/>
    <s v="General Fund"/>
    <n v="193888"/>
  </r>
  <r>
    <x v="0"/>
    <x v="3"/>
    <x v="453"/>
    <x v="455"/>
    <s v="M03"/>
    <s v="General Fund"/>
    <n v="224953"/>
  </r>
  <r>
    <x v="2"/>
    <x v="6"/>
    <x v="240"/>
    <x v="238"/>
    <s v="M04"/>
    <s v="Federal Grants Fund"/>
    <n v="6920.45"/>
  </r>
  <r>
    <x v="1"/>
    <x v="6"/>
    <x v="152"/>
    <x v="151"/>
    <s v="M03"/>
    <s v="Substance Abuse Services Fund"/>
    <n v="83626.53"/>
  </r>
  <r>
    <x v="1"/>
    <x v="6"/>
    <x v="192"/>
    <x v="189"/>
    <s v="MM3"/>
    <s v="General Fund"/>
    <n v="891639.24"/>
  </r>
  <r>
    <x v="4"/>
    <x v="2"/>
    <x v="70"/>
    <x v="70"/>
    <s v="M03"/>
    <s v="General Fund"/>
    <n v="8458897.9499999993"/>
  </r>
  <r>
    <x v="4"/>
    <x v="0"/>
    <x v="150"/>
    <x v="149"/>
    <s v="MM3"/>
    <s v="General Fund"/>
    <n v="178642.99"/>
  </r>
  <r>
    <x v="4"/>
    <x v="0"/>
    <x v="66"/>
    <x v="66"/>
    <s v="M03"/>
    <s v="Intragovernmental Services Fund"/>
    <n v="1777267.64"/>
  </r>
  <r>
    <x v="5"/>
    <x v="1"/>
    <x v="381"/>
    <x v="52"/>
    <s v="M03"/>
    <s v="General Fund"/>
    <n v="247825.7"/>
  </r>
  <r>
    <x v="5"/>
    <x v="5"/>
    <x v="290"/>
    <x v="292"/>
    <s v="M03"/>
    <s v="Federal Grants Fund"/>
    <n v="467081.57"/>
  </r>
  <r>
    <x v="5"/>
    <x v="6"/>
    <x v="95"/>
    <x v="95"/>
    <s v="MM3"/>
    <s v="General Fund"/>
    <n v="11599372.529999999"/>
  </r>
  <r>
    <x v="5"/>
    <x v="0"/>
    <x v="52"/>
    <x v="52"/>
    <s v="MM3"/>
    <s v="General Fund"/>
    <n v="3994715.38"/>
  </r>
  <r>
    <x v="5"/>
    <x v="6"/>
    <x v="432"/>
    <x v="3"/>
    <s v="MM3"/>
    <s v="General Fund"/>
    <n v="8384837.9800000004"/>
  </r>
  <r>
    <x v="5"/>
    <x v="5"/>
    <x v="353"/>
    <x v="359"/>
    <s v="M04"/>
    <s v="General Fund"/>
    <n v="2180620.4900000002"/>
  </r>
  <r>
    <x v="5"/>
    <x v="6"/>
    <x v="253"/>
    <x v="251"/>
    <s v="M03"/>
    <s v="General Fund"/>
    <n v="5637085.5499999998"/>
  </r>
  <r>
    <x v="5"/>
    <x v="6"/>
    <x v="142"/>
    <x v="141"/>
    <s v="M04"/>
    <s v="General Fund"/>
    <n v="1162423.1599999999"/>
  </r>
  <r>
    <x v="2"/>
    <x v="3"/>
    <x v="225"/>
    <x v="223"/>
    <s v="M03"/>
    <s v="General Fund"/>
    <n v="209489.6"/>
  </r>
  <r>
    <x v="5"/>
    <x v="0"/>
    <x v="210"/>
    <x v="207"/>
    <s v="M03"/>
    <s v="Expendable Trust Fund - External"/>
    <n v="15717.67"/>
  </r>
  <r>
    <x v="5"/>
    <x v="6"/>
    <x v="63"/>
    <x v="63"/>
    <s v="M04"/>
    <s v="Substance Abuse Services Fund"/>
    <n v="1645814.75"/>
  </r>
  <r>
    <x v="0"/>
    <x v="3"/>
    <x v="64"/>
    <x v="64"/>
    <s v="M04"/>
    <s v="Federal Grants Fund"/>
    <n v="277875"/>
  </r>
  <r>
    <x v="2"/>
    <x v="0"/>
    <x v="48"/>
    <x v="48"/>
    <s v="MM3"/>
    <s v="General Fund"/>
    <n v="135830.07999999999"/>
  </r>
  <r>
    <x v="2"/>
    <x v="5"/>
    <x v="456"/>
    <x v="458"/>
    <s v="MM3"/>
    <s v="General Fund"/>
    <n v="1936286.46"/>
  </r>
  <r>
    <x v="4"/>
    <x v="6"/>
    <x v="218"/>
    <x v="216"/>
    <s v="MM3"/>
    <s v="General Fund"/>
    <n v="12691321.960000001"/>
  </r>
  <r>
    <x v="1"/>
    <x v="0"/>
    <x v="178"/>
    <x v="175"/>
    <s v="MM3"/>
    <s v="General Fund"/>
    <n v="161000"/>
  </r>
  <r>
    <x v="1"/>
    <x v="5"/>
    <x v="94"/>
    <x v="94"/>
    <s v="MM3"/>
    <s v="Federal Grants Fund"/>
    <n v="0"/>
  </r>
  <r>
    <x v="1"/>
    <x v="7"/>
    <x v="312"/>
    <x v="315"/>
    <s v="M04"/>
    <s v="Trust Fund For the Head Injury Treatment Service Fund"/>
    <n v="1300000"/>
  </r>
  <r>
    <x v="4"/>
    <x v="1"/>
    <x v="381"/>
    <x v="52"/>
    <s v="M03"/>
    <s v="General Fund"/>
    <n v="274864.26"/>
  </r>
  <r>
    <x v="4"/>
    <x v="6"/>
    <x v="196"/>
    <x v="193"/>
    <s v="MM3"/>
    <s v="General Fund"/>
    <n v="1069561.78"/>
  </r>
  <r>
    <x v="4"/>
    <x v="6"/>
    <x v="408"/>
    <x v="411"/>
    <s v="M03"/>
    <s v="General Fund"/>
    <n v="809929.74"/>
  </r>
  <r>
    <x v="4"/>
    <x v="6"/>
    <x v="226"/>
    <x v="224"/>
    <s v="MM3"/>
    <s v="Federal Grants Fund"/>
    <n v="590612.42000000004"/>
  </r>
  <r>
    <x v="4"/>
    <x v="11"/>
    <x v="309"/>
    <x v="312"/>
    <s v="M04"/>
    <s v="Intragovernmental Services Fund"/>
    <n v="7994479.9199999999"/>
  </r>
  <r>
    <x v="4"/>
    <x v="6"/>
    <x v="237"/>
    <x v="235"/>
    <s v="MM3"/>
    <s v="General Fund"/>
    <n v="3975123.65"/>
  </r>
  <r>
    <x v="4"/>
    <x v="6"/>
    <x v="181"/>
    <x v="178"/>
    <s v="M04"/>
    <s v="General Fund"/>
    <n v="9036983.7300000004"/>
  </r>
  <r>
    <x v="5"/>
    <x v="0"/>
    <x v="121"/>
    <x v="121"/>
    <s v="M03"/>
    <s v="Expendable Trust Fund - External"/>
    <n v="6073.58"/>
  </r>
  <r>
    <x v="5"/>
    <x v="0"/>
    <x v="97"/>
    <x v="97"/>
    <s v="M03"/>
    <s v="Expendable Trust Fund - External"/>
    <n v="4156.74"/>
  </r>
  <r>
    <x v="5"/>
    <x v="6"/>
    <x v="337"/>
    <x v="341"/>
    <s v="M04"/>
    <s v="Federal Grants Fund"/>
    <n v="289730.65999999997"/>
  </r>
  <r>
    <x v="5"/>
    <x v="7"/>
    <x v="173"/>
    <x v="104"/>
    <s v="M04"/>
    <s v="Federal Grants Fund"/>
    <n v="618722.81000000006"/>
  </r>
  <r>
    <x v="3"/>
    <x v="6"/>
    <x v="358"/>
    <x v="364"/>
    <s v="MM3"/>
    <s v="General Fund"/>
    <n v="0"/>
  </r>
  <r>
    <x v="5"/>
    <x v="2"/>
    <x v="457"/>
    <x v="459"/>
    <s v="M04"/>
    <s v="General Fund"/>
    <n v="353601.65"/>
  </r>
  <r>
    <x v="3"/>
    <x v="6"/>
    <x v="63"/>
    <x v="63"/>
    <s v="M04"/>
    <s v="Substance Abuse Services Fund"/>
    <n v="0"/>
  </r>
  <r>
    <x v="5"/>
    <x v="0"/>
    <x v="65"/>
    <x v="65"/>
    <s v="M03"/>
    <s v="General Fund"/>
    <n v="6006.35"/>
  </r>
  <r>
    <x v="3"/>
    <x v="6"/>
    <x v="56"/>
    <x v="56"/>
    <s v="MM3"/>
    <s v="General Fund"/>
    <n v="0"/>
  </r>
  <r>
    <x v="5"/>
    <x v="9"/>
    <x v="46"/>
    <x v="46"/>
    <s v="M03"/>
    <s v="General Fund"/>
    <n v="778431.56"/>
  </r>
  <r>
    <x v="5"/>
    <x v="5"/>
    <x v="242"/>
    <x v="240"/>
    <s v="M04"/>
    <s v="General Fund"/>
    <n v="1016936.88"/>
  </r>
  <r>
    <x v="5"/>
    <x v="15"/>
    <x v="275"/>
    <x v="276"/>
    <s v="M03"/>
    <s v="General Fund"/>
    <n v="1495954"/>
  </r>
  <r>
    <x v="3"/>
    <x v="3"/>
    <x v="64"/>
    <x v="64"/>
    <s v="M04"/>
    <s v="Federal Grants Fund"/>
    <n v="277539.07"/>
  </r>
  <r>
    <x v="2"/>
    <x v="1"/>
    <x v="395"/>
    <x v="399"/>
    <s v="M04"/>
    <s v="Federal Grants Fund"/>
    <n v="188000"/>
  </r>
  <r>
    <x v="4"/>
    <x v="6"/>
    <x v="240"/>
    <x v="238"/>
    <s v="M04"/>
    <s v="Federal Grants Fund"/>
    <n v="5241.5600000000004"/>
  </r>
  <r>
    <x v="4"/>
    <x v="6"/>
    <x v="285"/>
    <x v="287"/>
    <s v="M04"/>
    <s v="Federal Grants Fund"/>
    <n v="192265.84"/>
  </r>
  <r>
    <x v="0"/>
    <x v="7"/>
    <x v="348"/>
    <x v="353"/>
    <s v="M03"/>
    <s v="General Fund"/>
    <n v="23977.78"/>
  </r>
  <r>
    <x v="2"/>
    <x v="6"/>
    <x v="201"/>
    <x v="198"/>
    <s v="M03"/>
    <s v="Federal Grants Fund"/>
    <n v="163550"/>
  </r>
  <r>
    <x v="1"/>
    <x v="9"/>
    <x v="410"/>
    <x v="443"/>
    <s v="M03"/>
    <s v="General Fund"/>
    <n v="1473344.05"/>
  </r>
  <r>
    <x v="1"/>
    <x v="2"/>
    <x v="457"/>
    <x v="459"/>
    <s v="M04"/>
    <s v="General Fund"/>
    <n v="422343.6"/>
  </r>
  <r>
    <x v="2"/>
    <x v="0"/>
    <x v="458"/>
    <x v="460"/>
    <s v="M03"/>
    <s v="General Fund"/>
    <n v="12942.24"/>
  </r>
  <r>
    <x v="4"/>
    <x v="6"/>
    <x v="170"/>
    <x v="168"/>
    <s v="MM3"/>
    <s v="General Fund"/>
    <n v="324096"/>
  </r>
  <r>
    <x v="4"/>
    <x v="10"/>
    <x v="385"/>
    <x v="389"/>
    <s v="M03"/>
    <s v="General Fund"/>
    <n v="8855275.5"/>
  </r>
  <r>
    <x v="4"/>
    <x v="6"/>
    <x v="77"/>
    <x v="77"/>
    <s v="M04"/>
    <s v="Federal Grants Fund"/>
    <n v="166831.75"/>
  </r>
  <r>
    <x v="4"/>
    <x v="6"/>
    <x v="170"/>
    <x v="168"/>
    <s v="MM3"/>
    <s v="Substance Abuse Services Fund"/>
    <n v="115153.4"/>
  </r>
  <r>
    <x v="4"/>
    <x v="9"/>
    <x v="155"/>
    <x v="154"/>
    <s v="M03"/>
    <s v="General Fund"/>
    <n v="22369.96"/>
  </r>
  <r>
    <x v="5"/>
    <x v="0"/>
    <x v="122"/>
    <x v="122"/>
    <s v="M04"/>
    <s v="Expendable Trust Fund - External"/>
    <n v="0"/>
  </r>
  <r>
    <x v="2"/>
    <x v="6"/>
    <x v="175"/>
    <x v="172"/>
    <s v="M03"/>
    <s v="General Fund"/>
    <n v="116219.8"/>
  </r>
  <r>
    <x v="1"/>
    <x v="3"/>
    <x v="414"/>
    <x v="417"/>
    <s v="M03"/>
    <s v="General Fund"/>
    <n v="1125975"/>
  </r>
  <r>
    <x v="5"/>
    <x v="6"/>
    <x v="192"/>
    <x v="189"/>
    <s v="MM3"/>
    <s v="Federal Grants Fund"/>
    <n v="473612.28"/>
  </r>
  <r>
    <x v="5"/>
    <x v="6"/>
    <x v="170"/>
    <x v="168"/>
    <s v="M04"/>
    <s v="Federal Grants Fund"/>
    <n v="219807.09"/>
  </r>
  <r>
    <x v="5"/>
    <x v="0"/>
    <x v="10"/>
    <x v="10"/>
    <s v="MM3"/>
    <s v="Expendable Trust Fund - External"/>
    <n v="23687.89"/>
  </r>
  <r>
    <x v="3"/>
    <x v="7"/>
    <x v="151"/>
    <x v="150"/>
    <s v="M03"/>
    <s v="Money Follows the Person Rebalancing Demonstration Grant Tr"/>
    <n v="11250"/>
  </r>
  <r>
    <x v="3"/>
    <x v="6"/>
    <x v="87"/>
    <x v="87"/>
    <s v="M04"/>
    <s v="Logan airport Health Study Trust Fund"/>
    <n v="11941.9"/>
  </r>
  <r>
    <x v="3"/>
    <x v="6"/>
    <x v="86"/>
    <x v="86"/>
    <s v="MM3"/>
    <s v="Federal Grants Fund"/>
    <n v="573752.92000000004"/>
  </r>
  <r>
    <x v="0"/>
    <x v="0"/>
    <x v="143"/>
    <x v="142"/>
    <s v="MM3"/>
    <s v="General Fund"/>
    <n v="8886"/>
  </r>
  <r>
    <x v="3"/>
    <x v="6"/>
    <x v="38"/>
    <x v="38"/>
    <s v="MM3"/>
    <s v="Federal Grants Fund"/>
    <n v="136838.97"/>
  </r>
  <r>
    <x v="3"/>
    <x v="7"/>
    <x v="208"/>
    <x v="205"/>
    <s v="M03"/>
    <s v="Trust Fund For the Head Injury Treatment Service Fund"/>
    <n v="5057.76"/>
  </r>
  <r>
    <x v="0"/>
    <x v="6"/>
    <x v="183"/>
    <x v="180"/>
    <s v="M04"/>
    <s v="Federal Grants Fund"/>
    <n v="1301329"/>
  </r>
  <r>
    <x v="1"/>
    <x v="7"/>
    <x v="238"/>
    <x v="236"/>
    <s v="M03"/>
    <s v="Federal Grants Fund"/>
    <n v="5863"/>
  </r>
  <r>
    <x v="5"/>
    <x v="6"/>
    <x v="181"/>
    <x v="178"/>
    <s v="M04"/>
    <s v="Massachusetts State Public Health HIV and Hepatitis Fund"/>
    <n v="35118.230000000003"/>
  </r>
  <r>
    <x v="5"/>
    <x v="0"/>
    <x v="57"/>
    <x v="57"/>
    <s v="MM3"/>
    <s v="General Fund"/>
    <n v="5296.32"/>
  </r>
  <r>
    <x v="4"/>
    <x v="7"/>
    <x v="296"/>
    <x v="298"/>
    <s v="M03"/>
    <s v="General Fund"/>
    <n v="517.16"/>
  </r>
  <r>
    <x v="3"/>
    <x v="0"/>
    <x v="79"/>
    <x v="79"/>
    <s v="MM3"/>
    <s v="General Fund"/>
    <n v="9838.8700000000008"/>
  </r>
  <r>
    <x v="3"/>
    <x v="6"/>
    <x v="324"/>
    <x v="327"/>
    <s v="M04"/>
    <s v="General Fund"/>
    <n v="256841.12"/>
  </r>
  <r>
    <x v="0"/>
    <x v="0"/>
    <x v="44"/>
    <x v="44"/>
    <s v="M03"/>
    <s v="General Fund"/>
    <n v="6055.83"/>
  </r>
  <r>
    <x v="2"/>
    <x v="1"/>
    <x v="250"/>
    <x v="248"/>
    <s v="MM3"/>
    <s v="Federal Grants Fund"/>
    <n v="94366.52"/>
  </r>
  <r>
    <x v="2"/>
    <x v="0"/>
    <x v="369"/>
    <x v="374"/>
    <s v="M03"/>
    <s v="General Fund"/>
    <n v="16382.3"/>
  </r>
  <r>
    <x v="0"/>
    <x v="0"/>
    <x v="121"/>
    <x v="121"/>
    <s v="M03"/>
    <s v="Expendable Trust Fund - External"/>
    <n v="0"/>
  </r>
  <r>
    <x v="2"/>
    <x v="0"/>
    <x v="58"/>
    <x v="58"/>
    <s v="MM3"/>
    <s v="Intragovernmental Services Fund"/>
    <n v="0"/>
  </r>
  <r>
    <x v="4"/>
    <x v="0"/>
    <x v="44"/>
    <x v="44"/>
    <s v="MM3"/>
    <s v="General Fund"/>
    <n v="3411.35"/>
  </r>
  <r>
    <x v="4"/>
    <x v="0"/>
    <x v="154"/>
    <x v="153"/>
    <s v="M03"/>
    <s v="Expendable Trust Fund - External"/>
    <n v="0"/>
  </r>
  <r>
    <x v="4"/>
    <x v="0"/>
    <x v="106"/>
    <x v="106"/>
    <s v="MM3"/>
    <s v="General Fund"/>
    <n v="8475"/>
  </r>
  <r>
    <x v="4"/>
    <x v="6"/>
    <x v="139"/>
    <x v="138"/>
    <s v="MM3"/>
    <s v="Substance Abuse Services Fund"/>
    <n v="177442.19"/>
  </r>
  <r>
    <x v="2"/>
    <x v="0"/>
    <x v="58"/>
    <x v="58"/>
    <s v="M03"/>
    <s v="Intragovernmental Services Fund"/>
    <n v="0"/>
  </r>
  <r>
    <x v="0"/>
    <x v="0"/>
    <x v="52"/>
    <x v="52"/>
    <s v="M03"/>
    <s v="Expendable Trust Fund - External"/>
    <n v="0"/>
  </r>
  <r>
    <x v="1"/>
    <x v="6"/>
    <x v="357"/>
    <x v="363"/>
    <s v="MM3"/>
    <s v="Substance Abuse Services Fund"/>
    <n v="272281.75"/>
  </r>
  <r>
    <x v="4"/>
    <x v="2"/>
    <x v="459"/>
    <x v="461"/>
    <s v="M03"/>
    <s v="General Fund"/>
    <n v="38710"/>
  </r>
  <r>
    <x v="4"/>
    <x v="6"/>
    <x v="264"/>
    <x v="264"/>
    <s v="MM3"/>
    <s v="Federal Grants Fund"/>
    <n v="120799.48"/>
  </r>
  <r>
    <x v="5"/>
    <x v="0"/>
    <x v="11"/>
    <x v="11"/>
    <s v="M03"/>
    <s v="Expendable Trust Fund - External"/>
    <n v="2452"/>
  </r>
  <r>
    <x v="2"/>
    <x v="12"/>
    <x v="319"/>
    <x v="322"/>
    <s v="M03"/>
    <s v="General Fund"/>
    <n v="33877.550000000003"/>
  </r>
  <r>
    <x v="4"/>
    <x v="6"/>
    <x v="460"/>
    <x v="462"/>
    <s v="M04"/>
    <s v="General Fund"/>
    <n v="0"/>
  </r>
  <r>
    <x v="1"/>
    <x v="6"/>
    <x v="204"/>
    <x v="201"/>
    <s v="M04"/>
    <s v="Expendable Trust Fund - External"/>
    <n v="2365.6"/>
  </r>
  <r>
    <x v="4"/>
    <x v="0"/>
    <x v="221"/>
    <x v="219"/>
    <s v="M03"/>
    <s v="Expendable Trust Fund - External"/>
    <n v="32823"/>
  </r>
  <r>
    <x v="4"/>
    <x v="1"/>
    <x v="395"/>
    <x v="399"/>
    <s v="M04"/>
    <s v="General Fund"/>
    <n v="24799.5"/>
  </r>
  <r>
    <x v="1"/>
    <x v="6"/>
    <x v="337"/>
    <x v="341"/>
    <s v="M04"/>
    <s v="Federal Grants Fund"/>
    <n v="79070.83"/>
  </r>
  <r>
    <x v="3"/>
    <x v="5"/>
    <x v="60"/>
    <x v="60"/>
    <s v="M03"/>
    <s v="General Fund"/>
    <n v="25000"/>
  </r>
  <r>
    <x v="4"/>
    <x v="11"/>
    <x v="439"/>
    <x v="440"/>
    <s v="M03"/>
    <s v="Federal Grants Fund"/>
    <n v="125000"/>
  </r>
  <r>
    <x v="5"/>
    <x v="5"/>
    <x v="297"/>
    <x v="299"/>
    <s v="M04"/>
    <s v="General Fund"/>
    <n v="15000"/>
  </r>
  <r>
    <x v="5"/>
    <x v="6"/>
    <x v="196"/>
    <x v="193"/>
    <s v="MM3"/>
    <s v="Federal Grants Fund"/>
    <n v="127407.23"/>
  </r>
  <r>
    <x v="4"/>
    <x v="7"/>
    <x v="100"/>
    <x v="100"/>
    <s v="M03"/>
    <s v="Trust Fund For the Head Injury Treatment Service Fund"/>
    <n v="7.0000000000000007E-2"/>
  </r>
  <r>
    <x v="2"/>
    <x v="3"/>
    <x v="461"/>
    <x v="463"/>
    <s v="M04"/>
    <s v="Federal Grants Fund"/>
    <n v="0"/>
  </r>
  <r>
    <x v="2"/>
    <x v="0"/>
    <x v="193"/>
    <x v="190"/>
    <s v="M03"/>
    <s v="General Fund"/>
    <n v="8729.91"/>
  </r>
  <r>
    <x v="4"/>
    <x v="7"/>
    <x v="326"/>
    <x v="330"/>
    <s v="M04"/>
    <s v="Federal Grants Fund"/>
    <n v="2030"/>
  </r>
  <r>
    <x v="3"/>
    <x v="0"/>
    <x v="104"/>
    <x v="104"/>
    <s v="MM3"/>
    <s v="General Fund"/>
    <n v="-5000"/>
  </r>
  <r>
    <x v="1"/>
    <x v="5"/>
    <x v="195"/>
    <x v="192"/>
    <s v="MM3"/>
    <s v="Expendable Trust Fund - External"/>
    <n v="0"/>
  </r>
  <r>
    <x v="4"/>
    <x v="5"/>
    <x v="160"/>
    <x v="158"/>
    <s v="M04"/>
    <s v="General Fund"/>
    <n v="0"/>
  </r>
  <r>
    <x v="2"/>
    <x v="3"/>
    <x v="402"/>
    <x v="405"/>
    <s v="M04"/>
    <s v="Expendable Trust Fund - External"/>
    <n v="489.6"/>
  </r>
  <r>
    <x v="5"/>
    <x v="7"/>
    <x v="42"/>
    <x v="42"/>
    <s v="M03"/>
    <s v="General Fund"/>
    <n v="0"/>
  </r>
  <r>
    <x v="2"/>
    <x v="6"/>
    <x v="287"/>
    <x v="289"/>
    <s v="M04"/>
    <s v="Expendable Trust Fund - External"/>
    <n v="62401.52"/>
  </r>
  <r>
    <x v="5"/>
    <x v="0"/>
    <x v="299"/>
    <x v="302"/>
    <s v="M04"/>
    <s v="General Fund"/>
    <n v="0"/>
  </r>
  <r>
    <x v="3"/>
    <x v="7"/>
    <x v="296"/>
    <x v="298"/>
    <s v="MM3"/>
    <s v="Money Follows the Person Rebalancing Demonstration Grant Tr"/>
    <n v="2363.85"/>
  </r>
  <r>
    <x v="2"/>
    <x v="9"/>
    <x v="462"/>
    <x v="464"/>
    <s v="M03"/>
    <s v="General Capital Projects Fund"/>
    <n v="0"/>
  </r>
  <r>
    <x v="4"/>
    <x v="7"/>
    <x v="151"/>
    <x v="150"/>
    <s v="M03"/>
    <s v="Federal Grants Fund"/>
    <n v="0"/>
  </r>
  <r>
    <x v="2"/>
    <x v="0"/>
    <x v="223"/>
    <x v="221"/>
    <s v="M03"/>
    <s v="Expendable Trust Fund - External"/>
    <n v="22287.99"/>
  </r>
  <r>
    <x v="1"/>
    <x v="0"/>
    <x v="116"/>
    <x v="116"/>
    <s v="MM3"/>
    <s v="General Fund"/>
    <n v="988408.19"/>
  </r>
  <r>
    <x v="0"/>
    <x v="0"/>
    <x v="273"/>
    <x v="274"/>
    <s v="MM3"/>
    <s v="General Fund"/>
    <n v="9272867.6400000006"/>
  </r>
  <r>
    <x v="1"/>
    <x v="0"/>
    <x v="52"/>
    <x v="52"/>
    <s v="M03"/>
    <s v="General Fund"/>
    <n v="12792714.970000001"/>
  </r>
  <r>
    <x v="2"/>
    <x v="13"/>
    <x v="132"/>
    <x v="132"/>
    <s v="M03"/>
    <s v="General Fund"/>
    <n v="66483980.490000002"/>
  </r>
  <r>
    <x v="4"/>
    <x v="0"/>
    <x v="121"/>
    <x v="121"/>
    <s v="M03"/>
    <s v="General Fund"/>
    <n v="47488427.109999999"/>
  </r>
  <r>
    <x v="2"/>
    <x v="6"/>
    <x v="62"/>
    <x v="62"/>
    <s v="MM3"/>
    <s v="Federal Grants Fund"/>
    <n v="894897.7"/>
  </r>
  <r>
    <x v="0"/>
    <x v="3"/>
    <x v="6"/>
    <x v="6"/>
    <s v="M03"/>
    <s v="General Fund"/>
    <n v="3921828.1"/>
  </r>
  <r>
    <x v="2"/>
    <x v="2"/>
    <x v="428"/>
    <x v="431"/>
    <s v="M03"/>
    <s v="General Fund"/>
    <n v="10504373.85"/>
  </r>
  <r>
    <x v="3"/>
    <x v="6"/>
    <x v="95"/>
    <x v="95"/>
    <s v="MM3"/>
    <s v="General Fund"/>
    <n v="3553462.58"/>
  </r>
  <r>
    <x v="3"/>
    <x v="3"/>
    <x v="89"/>
    <x v="89"/>
    <s v="M03"/>
    <s v="General Fund"/>
    <n v="575033.24"/>
  </r>
  <r>
    <x v="3"/>
    <x v="6"/>
    <x v="263"/>
    <x v="263"/>
    <s v="MM3"/>
    <s v="Federal Grants Fund"/>
    <n v="1610470.08"/>
  </r>
  <r>
    <x v="3"/>
    <x v="6"/>
    <x v="192"/>
    <x v="189"/>
    <s v="M03"/>
    <s v="Federal Grants Fund"/>
    <n v="2089008.96"/>
  </r>
  <r>
    <x v="0"/>
    <x v="5"/>
    <x v="390"/>
    <x v="394"/>
    <s v="MM3"/>
    <s v="General Fund"/>
    <n v="4847764.3600000003"/>
  </r>
  <r>
    <x v="0"/>
    <x v="0"/>
    <x v="102"/>
    <x v="102"/>
    <s v="M03"/>
    <s v="Expendable Trust Fund - External"/>
    <n v="0"/>
  </r>
  <r>
    <x v="3"/>
    <x v="0"/>
    <x v="66"/>
    <x v="66"/>
    <s v="M04"/>
    <s v="Intragovernmental Services Fund"/>
    <n v="3446020.45"/>
  </r>
  <r>
    <x v="3"/>
    <x v="9"/>
    <x v="46"/>
    <x v="46"/>
    <s v="M03"/>
    <s v="General Fund"/>
    <n v="748555.34"/>
  </r>
  <r>
    <x v="2"/>
    <x v="5"/>
    <x v="138"/>
    <x v="137"/>
    <s v="MM3"/>
    <s v="General Fund"/>
    <n v="3557262.66"/>
  </r>
  <r>
    <x v="4"/>
    <x v="0"/>
    <x v="336"/>
    <x v="340"/>
    <s v="MM3"/>
    <s v="General Fund"/>
    <n v="339309"/>
  </r>
  <r>
    <x v="2"/>
    <x v="5"/>
    <x v="138"/>
    <x v="137"/>
    <s v="MM3"/>
    <s v="Federal Grants Fund"/>
    <n v="105896"/>
  </r>
  <r>
    <x v="3"/>
    <x v="5"/>
    <x v="424"/>
    <x v="427"/>
    <s v="MM3"/>
    <s v="General Fund"/>
    <n v="701804.84"/>
  </r>
  <r>
    <x v="3"/>
    <x v="0"/>
    <x v="41"/>
    <x v="41"/>
    <s v="MM3"/>
    <s v="General Fund"/>
    <n v="2143523.6800000002"/>
  </r>
  <r>
    <x v="3"/>
    <x v="1"/>
    <x v="455"/>
    <x v="457"/>
    <s v="M04"/>
    <s v="General Fund"/>
    <n v="135533.37"/>
  </r>
  <r>
    <x v="2"/>
    <x v="0"/>
    <x v="57"/>
    <x v="57"/>
    <s v="M03"/>
    <s v="General Fund"/>
    <n v="19662.72"/>
  </r>
  <r>
    <x v="1"/>
    <x v="0"/>
    <x v="20"/>
    <x v="20"/>
    <s v="M04"/>
    <s v="General Fund"/>
    <n v="1035313.79"/>
  </r>
  <r>
    <x v="1"/>
    <x v="0"/>
    <x v="126"/>
    <x v="126"/>
    <s v="M03"/>
    <s v="General Fund"/>
    <n v="658623"/>
  </r>
  <r>
    <x v="4"/>
    <x v="0"/>
    <x v="0"/>
    <x v="0"/>
    <s v="M03"/>
    <s v="General Fund"/>
    <n v="17336438.710000001"/>
  </r>
  <r>
    <x v="1"/>
    <x v="3"/>
    <x v="29"/>
    <x v="29"/>
    <s v="M04"/>
    <s v="General Fund"/>
    <n v="10135144.92"/>
  </r>
  <r>
    <x v="4"/>
    <x v="13"/>
    <x v="132"/>
    <x v="132"/>
    <s v="M03"/>
    <s v="General Fund"/>
    <n v="65185073.359999999"/>
  </r>
  <r>
    <x v="2"/>
    <x v="3"/>
    <x v="463"/>
    <x v="465"/>
    <s v="M03"/>
    <s v="General Fund"/>
    <n v="394374.7"/>
  </r>
  <r>
    <x v="0"/>
    <x v="6"/>
    <x v="37"/>
    <x v="37"/>
    <s v="MM3"/>
    <s v="General Fund"/>
    <n v="1177667"/>
  </r>
  <r>
    <x v="0"/>
    <x v="7"/>
    <x v="173"/>
    <x v="104"/>
    <s v="M04"/>
    <s v="Federal Grants Fund"/>
    <n v="131665.19"/>
  </r>
  <r>
    <x v="1"/>
    <x v="6"/>
    <x v="240"/>
    <x v="238"/>
    <s v="M04"/>
    <s v="Federal Grants Fund"/>
    <n v="3344.34"/>
  </r>
  <r>
    <x v="4"/>
    <x v="3"/>
    <x v="29"/>
    <x v="29"/>
    <s v="M04"/>
    <s v="General Fund"/>
    <n v="10187924.609999999"/>
  </r>
  <r>
    <x v="2"/>
    <x v="6"/>
    <x v="21"/>
    <x v="21"/>
    <s v="MM3"/>
    <s v="General Fund"/>
    <n v="220000"/>
  </r>
  <r>
    <x v="1"/>
    <x v="5"/>
    <x v="134"/>
    <x v="134"/>
    <s v="MM3"/>
    <s v="General Fund"/>
    <n v="6636505.1699999999"/>
  </r>
  <r>
    <x v="1"/>
    <x v="3"/>
    <x v="415"/>
    <x v="418"/>
    <s v="M03"/>
    <s v="General Fund"/>
    <n v="1873197.63"/>
  </r>
  <r>
    <x v="2"/>
    <x v="6"/>
    <x v="87"/>
    <x v="87"/>
    <s v="M04"/>
    <s v="General Fund"/>
    <n v="4696414.2699999996"/>
  </r>
  <r>
    <x v="4"/>
    <x v="6"/>
    <x v="19"/>
    <x v="19"/>
    <s v="M03"/>
    <s v="General Fund"/>
    <n v="4295100.0999999996"/>
  </r>
  <r>
    <x v="1"/>
    <x v="0"/>
    <x v="26"/>
    <x v="26"/>
    <s v="M04"/>
    <s v="General Fund"/>
    <n v="362974.08"/>
  </r>
  <r>
    <x v="0"/>
    <x v="7"/>
    <x v="15"/>
    <x v="15"/>
    <s v="M03"/>
    <s v="General Fund"/>
    <n v="774323.1"/>
  </r>
  <r>
    <x v="1"/>
    <x v="0"/>
    <x v="102"/>
    <x v="102"/>
    <s v="MM3"/>
    <s v="General Fund"/>
    <n v="420026.79"/>
  </r>
  <r>
    <x v="1"/>
    <x v="0"/>
    <x v="93"/>
    <x v="93"/>
    <s v="MM3"/>
    <s v="General Fund"/>
    <n v="42099.82"/>
  </r>
  <r>
    <x v="0"/>
    <x v="6"/>
    <x v="39"/>
    <x v="39"/>
    <s v="M04"/>
    <s v="Federal Grants Fund"/>
    <n v="343295.39"/>
  </r>
  <r>
    <x v="2"/>
    <x v="7"/>
    <x v="433"/>
    <x v="434"/>
    <s v="M03"/>
    <s v="General Fund"/>
    <n v="4176739.96"/>
  </r>
  <r>
    <x v="1"/>
    <x v="6"/>
    <x v="87"/>
    <x v="87"/>
    <s v="M04"/>
    <s v="General Fund"/>
    <n v="5846192.2599999998"/>
  </r>
  <r>
    <x v="2"/>
    <x v="0"/>
    <x v="28"/>
    <x v="28"/>
    <s v="MM3"/>
    <s v="General Fund"/>
    <n v="921267.3"/>
  </r>
  <r>
    <x v="2"/>
    <x v="0"/>
    <x v="215"/>
    <x v="212"/>
    <s v="M03"/>
    <s v="General Fund"/>
    <n v="1059096.08"/>
  </r>
  <r>
    <x v="1"/>
    <x v="5"/>
    <x v="75"/>
    <x v="75"/>
    <s v="M04"/>
    <s v="General Fund"/>
    <n v="1190684.94"/>
  </r>
  <r>
    <x v="0"/>
    <x v="0"/>
    <x v="314"/>
    <x v="317"/>
    <s v="MM3"/>
    <s v="General Fund"/>
    <n v="0"/>
  </r>
  <r>
    <x v="3"/>
    <x v="0"/>
    <x v="88"/>
    <x v="88"/>
    <s v="M04"/>
    <s v="General Fund"/>
    <n v="9782093.5500000007"/>
  </r>
  <r>
    <x v="3"/>
    <x v="6"/>
    <x v="396"/>
    <x v="466"/>
    <s v="M03"/>
    <s v="General Fund"/>
    <n v="1219938.5"/>
  </r>
  <r>
    <x v="3"/>
    <x v="11"/>
    <x v="316"/>
    <x v="319"/>
    <s v="M03"/>
    <s v="General Fund"/>
    <n v="2385553"/>
  </r>
  <r>
    <x v="2"/>
    <x v="6"/>
    <x v="357"/>
    <x v="363"/>
    <s v="MM3"/>
    <s v="General Fund"/>
    <n v="1799057.36"/>
  </r>
  <r>
    <x v="2"/>
    <x v="0"/>
    <x v="179"/>
    <x v="176"/>
    <s v="MM3"/>
    <s v="General Fund"/>
    <n v="7384885.3799999999"/>
  </r>
  <r>
    <x v="4"/>
    <x v="5"/>
    <x v="195"/>
    <x v="192"/>
    <s v="M04"/>
    <s v="General Fund"/>
    <n v="5239120.25"/>
  </r>
  <r>
    <x v="3"/>
    <x v="0"/>
    <x v="48"/>
    <x v="48"/>
    <s v="MM3"/>
    <s v="General Fund"/>
    <n v="71720.08"/>
  </r>
  <r>
    <x v="3"/>
    <x v="2"/>
    <x v="292"/>
    <x v="294"/>
    <s v="M03"/>
    <s v="Federal Grants Fund"/>
    <n v="1523108.6"/>
  </r>
  <r>
    <x v="3"/>
    <x v="6"/>
    <x v="180"/>
    <x v="177"/>
    <s v="M03"/>
    <s v="Suspense Fund"/>
    <n v="258859.08"/>
  </r>
  <r>
    <x v="4"/>
    <x v="3"/>
    <x v="404"/>
    <x v="407"/>
    <s v="M03"/>
    <s v="General Fund"/>
    <n v="0"/>
  </r>
  <r>
    <x v="3"/>
    <x v="6"/>
    <x v="325"/>
    <x v="328"/>
    <s v="M04"/>
    <s v="General Fund"/>
    <n v="658080.91"/>
  </r>
  <r>
    <x v="3"/>
    <x v="5"/>
    <x v="195"/>
    <x v="192"/>
    <s v="M04"/>
    <s v="General Fund"/>
    <n v="5555342.1100000003"/>
  </r>
  <r>
    <x v="0"/>
    <x v="0"/>
    <x v="121"/>
    <x v="121"/>
    <s v="MM3"/>
    <s v="Expendable Trust Fund - External"/>
    <n v="10346.799999999999"/>
  </r>
  <r>
    <x v="0"/>
    <x v="6"/>
    <x v="396"/>
    <x v="400"/>
    <s v="MM3"/>
    <s v="General Fund"/>
    <n v="908409.65"/>
  </r>
  <r>
    <x v="4"/>
    <x v="6"/>
    <x v="356"/>
    <x v="362"/>
    <s v="M04"/>
    <s v="Federal Grants Fund"/>
    <n v="1065978.67"/>
  </r>
  <r>
    <x v="0"/>
    <x v="0"/>
    <x v="20"/>
    <x v="20"/>
    <s v="MM3"/>
    <s v="Expendable Trust Fund - External"/>
    <n v="0"/>
  </r>
  <r>
    <x v="1"/>
    <x v="6"/>
    <x v="62"/>
    <x v="62"/>
    <s v="MM3"/>
    <s v="General Fund"/>
    <n v="12457866.970000001"/>
  </r>
  <r>
    <x v="4"/>
    <x v="7"/>
    <x v="238"/>
    <x v="236"/>
    <s v="M03"/>
    <s v="General Fund"/>
    <n v="989767.19"/>
  </r>
  <r>
    <x v="3"/>
    <x v="7"/>
    <x v="326"/>
    <x v="330"/>
    <s v="M03"/>
    <s v="Federal Grants Fund"/>
    <n v="144964.47"/>
  </r>
  <r>
    <x v="0"/>
    <x v="6"/>
    <x v="83"/>
    <x v="83"/>
    <s v="MM3"/>
    <s v="Federal Grants Fund"/>
    <n v="711688.05"/>
  </r>
  <r>
    <x v="2"/>
    <x v="6"/>
    <x v="82"/>
    <x v="82"/>
    <s v="MM3"/>
    <s v="Federal Grants Fund"/>
    <n v="67472"/>
  </r>
  <r>
    <x v="0"/>
    <x v="0"/>
    <x v="339"/>
    <x v="343"/>
    <s v="M03"/>
    <s v="General Fund"/>
    <n v="1355676.64"/>
  </r>
  <r>
    <x v="3"/>
    <x v="6"/>
    <x v="237"/>
    <x v="235"/>
    <s v="MM3"/>
    <s v="Federal Grants Fund"/>
    <n v="359390.32"/>
  </r>
  <r>
    <x v="3"/>
    <x v="9"/>
    <x v="36"/>
    <x v="36"/>
    <s v="M03"/>
    <s v="General Fund"/>
    <n v="568678.93000000005"/>
  </r>
  <r>
    <x v="3"/>
    <x v="6"/>
    <x v="123"/>
    <x v="123"/>
    <s v="M04"/>
    <s v="Mass Gaming Control Fund"/>
    <n v="23991"/>
  </r>
  <r>
    <x v="2"/>
    <x v="6"/>
    <x v="305"/>
    <x v="308"/>
    <s v="M04"/>
    <s v="Massachusetts Aids Fund"/>
    <n v="130470.85"/>
  </r>
  <r>
    <x v="0"/>
    <x v="0"/>
    <x v="93"/>
    <x v="93"/>
    <s v="MM3"/>
    <s v="General Fund"/>
    <n v="31241.96"/>
  </r>
  <r>
    <x v="4"/>
    <x v="0"/>
    <x v="223"/>
    <x v="221"/>
    <s v="MM3"/>
    <s v="General Fund"/>
    <n v="3855989.42"/>
  </r>
  <r>
    <x v="1"/>
    <x v="9"/>
    <x v="219"/>
    <x v="217"/>
    <s v="M03"/>
    <s v="General Fund"/>
    <n v="7737313.9299999997"/>
  </r>
  <r>
    <x v="4"/>
    <x v="0"/>
    <x v="28"/>
    <x v="28"/>
    <s v="MM3"/>
    <s v="General Fund"/>
    <n v="1101574.18"/>
  </r>
  <r>
    <x v="4"/>
    <x v="10"/>
    <x v="385"/>
    <x v="389"/>
    <s v="M04"/>
    <s v="General Fund"/>
    <n v="21398741"/>
  </r>
  <r>
    <x v="4"/>
    <x v="7"/>
    <x v="251"/>
    <x v="249"/>
    <s v="M03"/>
    <s v="Trust Fund For the Head Injury Treatment Service Fund"/>
    <n v="468077.85"/>
  </r>
  <r>
    <x v="4"/>
    <x v="3"/>
    <x v="461"/>
    <x v="463"/>
    <s v="M04"/>
    <s v="General Fund"/>
    <n v="119000"/>
  </r>
  <r>
    <x v="5"/>
    <x v="0"/>
    <x v="20"/>
    <x v="20"/>
    <s v="M03"/>
    <s v="General Fund"/>
    <n v="151587.38"/>
  </r>
  <r>
    <x v="5"/>
    <x v="5"/>
    <x v="214"/>
    <x v="286"/>
    <s v="MM3"/>
    <s v="General Fund"/>
    <n v="3050931.76"/>
  </r>
  <r>
    <x v="5"/>
    <x v="5"/>
    <x v="131"/>
    <x v="131"/>
    <s v="MM3"/>
    <s v="General Fund"/>
    <n v="6989145.7999999998"/>
  </r>
  <r>
    <x v="5"/>
    <x v="0"/>
    <x v="217"/>
    <x v="215"/>
    <s v="M03"/>
    <s v="General Fund"/>
    <n v="1786785.54"/>
  </r>
  <r>
    <x v="5"/>
    <x v="2"/>
    <x v="2"/>
    <x v="2"/>
    <s v="M03"/>
    <s v="General Fund"/>
    <n v="7161022.5300000003"/>
  </r>
  <r>
    <x v="5"/>
    <x v="5"/>
    <x v="188"/>
    <x v="185"/>
    <s v="MM3"/>
    <s v="General Fund"/>
    <n v="13963741.9"/>
  </r>
  <r>
    <x v="5"/>
    <x v="6"/>
    <x v="142"/>
    <x v="141"/>
    <s v="M04"/>
    <s v="Federal Grants Fund"/>
    <n v="1559758.7"/>
  </r>
  <r>
    <x v="1"/>
    <x v="2"/>
    <x v="224"/>
    <x v="222"/>
    <s v="M03"/>
    <s v="Federal Grants Fund"/>
    <n v="1641366.66"/>
  </r>
  <r>
    <x v="5"/>
    <x v="0"/>
    <x v="179"/>
    <x v="176"/>
    <s v="MM3"/>
    <s v="General Fund"/>
    <n v="7915193.1399999997"/>
  </r>
  <r>
    <x v="2"/>
    <x v="0"/>
    <x v="65"/>
    <x v="65"/>
    <s v="M03"/>
    <s v="General Fund"/>
    <n v="1393.08"/>
  </r>
  <r>
    <x v="1"/>
    <x v="1"/>
    <x v="54"/>
    <x v="54"/>
    <s v="M04"/>
    <s v="General Fund"/>
    <n v="48142.92"/>
  </r>
  <r>
    <x v="1"/>
    <x v="0"/>
    <x v="102"/>
    <x v="102"/>
    <s v="M03"/>
    <s v="Expendable Trust Fund - External"/>
    <n v="0"/>
  </r>
  <r>
    <x v="0"/>
    <x v="6"/>
    <x v="226"/>
    <x v="224"/>
    <s v="MM3"/>
    <s v="Federal Grants Fund"/>
    <n v="479642"/>
  </r>
  <r>
    <x v="0"/>
    <x v="7"/>
    <x v="145"/>
    <x v="144"/>
    <s v="M03"/>
    <s v="Federal Grants Fund"/>
    <n v="48841.15"/>
  </r>
  <r>
    <x v="1"/>
    <x v="6"/>
    <x v="61"/>
    <x v="61"/>
    <s v="M04"/>
    <s v="Federal Highway Construction Program Capital Projects Fund"/>
    <n v="67493.759999999995"/>
  </r>
  <r>
    <x v="4"/>
    <x v="9"/>
    <x v="333"/>
    <x v="337"/>
    <s v="M03"/>
    <s v="General Fund"/>
    <n v="8838652.6099999994"/>
  </r>
  <r>
    <x v="1"/>
    <x v="6"/>
    <x v="237"/>
    <x v="235"/>
    <s v="MM3"/>
    <s v="Federal Grants Fund"/>
    <n v="415072.17"/>
  </r>
  <r>
    <x v="4"/>
    <x v="6"/>
    <x v="149"/>
    <x v="148"/>
    <s v="MM3"/>
    <s v="Federal Grants Fund"/>
    <n v="1417392.84"/>
  </r>
  <r>
    <x v="4"/>
    <x v="6"/>
    <x v="192"/>
    <x v="189"/>
    <s v="M03"/>
    <s v="General Fund"/>
    <n v="2338114.08"/>
  </r>
  <r>
    <x v="4"/>
    <x v="6"/>
    <x v="171"/>
    <x v="169"/>
    <s v="M03"/>
    <s v="Federal Grants Fund"/>
    <n v="529524.73"/>
  </r>
  <r>
    <x v="5"/>
    <x v="5"/>
    <x v="349"/>
    <x v="354"/>
    <s v="MM3"/>
    <s v="General Fund"/>
    <n v="60328.800000000003"/>
  </r>
  <r>
    <x v="5"/>
    <x v="2"/>
    <x v="347"/>
    <x v="352"/>
    <s v="M04"/>
    <s v="General Fund"/>
    <n v="304663.05"/>
  </r>
  <r>
    <x v="5"/>
    <x v="6"/>
    <x v="19"/>
    <x v="19"/>
    <s v="M04"/>
    <s v="General Fund"/>
    <n v="114000"/>
  </r>
  <r>
    <x v="5"/>
    <x v="5"/>
    <x v="158"/>
    <x v="157"/>
    <s v="M04"/>
    <s v="General Fund"/>
    <n v="187426.05"/>
  </r>
  <r>
    <x v="5"/>
    <x v="1"/>
    <x v="455"/>
    <x v="457"/>
    <s v="M04"/>
    <s v="General Fund"/>
    <n v="129781.11"/>
  </r>
  <r>
    <x v="1"/>
    <x v="1"/>
    <x v="107"/>
    <x v="107"/>
    <s v="M03"/>
    <s v="Federal Grants Fund"/>
    <n v="33545.74"/>
  </r>
  <r>
    <x v="0"/>
    <x v="0"/>
    <x v="57"/>
    <x v="57"/>
    <s v="M03"/>
    <s v="General Fund"/>
    <n v="0"/>
  </r>
  <r>
    <x v="1"/>
    <x v="7"/>
    <x v="433"/>
    <x v="434"/>
    <s v="M03"/>
    <s v="General Fund"/>
    <n v="421442.5"/>
  </r>
  <r>
    <x v="3"/>
    <x v="6"/>
    <x v="95"/>
    <x v="95"/>
    <s v="M04"/>
    <s v="General Fund"/>
    <n v="0"/>
  </r>
  <r>
    <x v="3"/>
    <x v="6"/>
    <x v="142"/>
    <x v="141"/>
    <s v="M04"/>
    <s v="General Fund"/>
    <n v="437367.11"/>
  </r>
  <r>
    <x v="5"/>
    <x v="0"/>
    <x v="66"/>
    <x v="66"/>
    <s v="M03"/>
    <s v="Intragovernmental Services Fund"/>
    <n v="1210326.03"/>
  </r>
  <r>
    <x v="1"/>
    <x v="5"/>
    <x v="60"/>
    <x v="60"/>
    <s v="M04"/>
    <s v="Federal Grants Fund"/>
    <n v="119204.3"/>
  </r>
  <r>
    <x v="0"/>
    <x v="5"/>
    <x v="214"/>
    <x v="211"/>
    <s v="MM3"/>
    <s v="Federal Grants Fund"/>
    <n v="304695"/>
  </r>
  <r>
    <x v="1"/>
    <x v="2"/>
    <x v="457"/>
    <x v="459"/>
    <s v="M03"/>
    <s v="General Fund"/>
    <n v="106174"/>
  </r>
  <r>
    <x v="1"/>
    <x v="0"/>
    <x v="147"/>
    <x v="256"/>
    <s v="MM3"/>
    <s v="General Fund"/>
    <n v="839631.15"/>
  </r>
  <r>
    <x v="1"/>
    <x v="7"/>
    <x v="294"/>
    <x v="296"/>
    <s v="M03"/>
    <s v="Federal Grants Fund"/>
    <n v="152568.01999999999"/>
  </r>
  <r>
    <x v="1"/>
    <x v="6"/>
    <x v="460"/>
    <x v="462"/>
    <s v="M04"/>
    <s v="General Fund"/>
    <n v="141751.89000000001"/>
  </r>
  <r>
    <x v="0"/>
    <x v="0"/>
    <x v="52"/>
    <x v="52"/>
    <s v="MM3"/>
    <s v="Expendable Trust Fund - External"/>
    <n v="-10346.799999999999"/>
  </r>
  <r>
    <x v="4"/>
    <x v="3"/>
    <x v="302"/>
    <x v="305"/>
    <s v="MM3"/>
    <s v="General Fund"/>
    <n v="218100.68"/>
  </r>
  <r>
    <x v="1"/>
    <x v="6"/>
    <x v="240"/>
    <x v="238"/>
    <s v="M04"/>
    <s v="General Fund"/>
    <n v="5000"/>
  </r>
  <r>
    <x v="4"/>
    <x v="9"/>
    <x v="36"/>
    <x v="36"/>
    <s v="M03"/>
    <s v="General Fund"/>
    <n v="611232.68999999994"/>
  </r>
  <r>
    <x v="4"/>
    <x v="5"/>
    <x v="318"/>
    <x v="321"/>
    <s v="M03"/>
    <s v="General Fund"/>
    <n v="1083385.17"/>
  </r>
  <r>
    <x v="4"/>
    <x v="5"/>
    <x v="464"/>
    <x v="467"/>
    <s v="M04"/>
    <s v="General Fund"/>
    <n v="2709911"/>
  </r>
  <r>
    <x v="4"/>
    <x v="6"/>
    <x v="185"/>
    <x v="182"/>
    <s v="MM3"/>
    <s v="Federal Grants Fund"/>
    <n v="1064717.01"/>
  </r>
  <r>
    <x v="4"/>
    <x v="7"/>
    <x v="422"/>
    <x v="425"/>
    <s v="M03"/>
    <s v="General Fund"/>
    <n v="40224.5"/>
  </r>
  <r>
    <x v="4"/>
    <x v="5"/>
    <x v="239"/>
    <x v="237"/>
    <s v="M03"/>
    <s v="General Fund"/>
    <n v="859611.78"/>
  </r>
  <r>
    <x v="4"/>
    <x v="0"/>
    <x v="220"/>
    <x v="218"/>
    <s v="MM3"/>
    <s v="Expendable Trust Fund - External"/>
    <n v="0"/>
  </r>
  <r>
    <x v="4"/>
    <x v="0"/>
    <x v="217"/>
    <x v="215"/>
    <s v="M03"/>
    <s v="Expendable Trust Fund - External"/>
    <n v="0"/>
  </r>
  <r>
    <x v="5"/>
    <x v="9"/>
    <x v="388"/>
    <x v="392"/>
    <s v="M03"/>
    <s v="General Fund"/>
    <n v="3160744"/>
  </r>
  <r>
    <x v="4"/>
    <x v="6"/>
    <x v="21"/>
    <x v="21"/>
    <s v="MM3"/>
    <s v="Federal Grants Fund"/>
    <n v="35476"/>
  </r>
  <r>
    <x v="5"/>
    <x v="6"/>
    <x v="365"/>
    <x v="370"/>
    <s v="MM3"/>
    <s v="General Fund"/>
    <n v="0"/>
  </r>
  <r>
    <x v="5"/>
    <x v="0"/>
    <x v="147"/>
    <x v="256"/>
    <s v="M03"/>
    <s v="General Fund"/>
    <n v="1045634.23"/>
  </r>
  <r>
    <x v="5"/>
    <x v="6"/>
    <x v="86"/>
    <x v="86"/>
    <s v="M04"/>
    <s v="Federal Grants Fund"/>
    <n v="302244.46999999997"/>
  </r>
  <r>
    <x v="5"/>
    <x v="1"/>
    <x v="14"/>
    <x v="14"/>
    <s v="MM3"/>
    <s v="Federal Grants Fund"/>
    <n v="700.91"/>
  </r>
  <r>
    <x v="5"/>
    <x v="1"/>
    <x v="1"/>
    <x v="1"/>
    <s v="M03"/>
    <s v="General Fund"/>
    <n v="0"/>
  </r>
  <r>
    <x v="5"/>
    <x v="5"/>
    <x v="75"/>
    <x v="75"/>
    <s v="M03"/>
    <s v="Expendable Trust Fund - External"/>
    <n v="15950"/>
  </r>
  <r>
    <x v="0"/>
    <x v="5"/>
    <x v="75"/>
    <x v="75"/>
    <s v="M03"/>
    <s v="General Fund"/>
    <n v="980258.13"/>
  </r>
  <r>
    <x v="2"/>
    <x v="0"/>
    <x v="84"/>
    <x v="84"/>
    <s v="M04"/>
    <s v="Expendable Trust Fund - External"/>
    <n v="50000"/>
  </r>
  <r>
    <x v="3"/>
    <x v="0"/>
    <x v="20"/>
    <x v="20"/>
    <s v="M03"/>
    <s v="General Fund"/>
    <n v="156777.07999999999"/>
  </r>
  <r>
    <x v="3"/>
    <x v="6"/>
    <x v="174"/>
    <x v="171"/>
    <s v="M04"/>
    <s v="Federal Grants Fund"/>
    <n v="19369"/>
  </r>
  <r>
    <x v="3"/>
    <x v="5"/>
    <x v="94"/>
    <x v="94"/>
    <s v="MM3"/>
    <s v="Expendable Trust Fund - External"/>
    <n v="16833.12"/>
  </r>
  <r>
    <x v="3"/>
    <x v="2"/>
    <x v="230"/>
    <x v="228"/>
    <s v="M03"/>
    <s v="General Fund"/>
    <n v="1278366.48"/>
  </r>
  <r>
    <x v="0"/>
    <x v="0"/>
    <x v="88"/>
    <x v="88"/>
    <s v="M04"/>
    <s v="Intragovernmental Services Fund"/>
    <n v="365389.13"/>
  </r>
  <r>
    <x v="1"/>
    <x v="6"/>
    <x v="324"/>
    <x v="327"/>
    <s v="M04"/>
    <s v="General Fund"/>
    <n v="181730.32"/>
  </r>
  <r>
    <x v="5"/>
    <x v="0"/>
    <x v="84"/>
    <x v="84"/>
    <s v="M04"/>
    <s v="Expendable Trust Fund - External"/>
    <n v="165000"/>
  </r>
  <r>
    <x v="5"/>
    <x v="6"/>
    <x v="285"/>
    <x v="287"/>
    <s v="M04"/>
    <s v="Prevention and Wellness Trust Fund"/>
    <n v="7160.35"/>
  </r>
  <r>
    <x v="2"/>
    <x v="6"/>
    <x v="87"/>
    <x v="87"/>
    <s v="M04"/>
    <s v="State Racing Fund"/>
    <n v="110000"/>
  </r>
  <r>
    <x v="2"/>
    <x v="0"/>
    <x v="147"/>
    <x v="146"/>
    <s v="MM3"/>
    <s v="General Fund"/>
    <n v="521494.05"/>
  </r>
  <r>
    <x v="4"/>
    <x v="6"/>
    <x v="152"/>
    <x v="151"/>
    <s v="MM3"/>
    <s v="Substance Abuse Services Fund"/>
    <n v="124056"/>
  </r>
  <r>
    <x v="5"/>
    <x v="5"/>
    <x v="330"/>
    <x v="334"/>
    <s v="M04"/>
    <s v="Expendable Trust Fund - External"/>
    <n v="137362"/>
  </r>
  <r>
    <x v="5"/>
    <x v="5"/>
    <x v="361"/>
    <x v="367"/>
    <s v="MM3"/>
    <s v="General Fund"/>
    <n v="350000"/>
  </r>
  <r>
    <x v="2"/>
    <x v="0"/>
    <x v="52"/>
    <x v="52"/>
    <s v="MM3"/>
    <s v="Expendable Trust Fund - External"/>
    <n v="0"/>
  </r>
  <r>
    <x v="4"/>
    <x v="7"/>
    <x v="127"/>
    <x v="127"/>
    <s v="M03"/>
    <s v="Trust Fund For the Head Injury Treatment Service Fund"/>
    <n v="0"/>
  </r>
  <r>
    <x v="5"/>
    <x v="2"/>
    <x v="457"/>
    <x v="459"/>
    <s v="M03"/>
    <s v="General Fund"/>
    <n v="148673.99"/>
  </r>
  <r>
    <x v="1"/>
    <x v="7"/>
    <x v="465"/>
    <x v="468"/>
    <s v="M03"/>
    <s v="General Fund"/>
    <n v="800"/>
  </r>
  <r>
    <x v="4"/>
    <x v="5"/>
    <x v="75"/>
    <x v="75"/>
    <s v="M03"/>
    <s v="Expendable Trust Fund - External"/>
    <n v="15950"/>
  </r>
  <r>
    <x v="4"/>
    <x v="7"/>
    <x v="323"/>
    <x v="326"/>
    <s v="M03"/>
    <s v="General Fund"/>
    <n v="1647.96"/>
  </r>
  <r>
    <x v="0"/>
    <x v="6"/>
    <x v="466"/>
    <x v="469"/>
    <s v="M04"/>
    <s v="Federal Grants Fund"/>
    <n v="80.87"/>
  </r>
  <r>
    <x v="1"/>
    <x v="6"/>
    <x v="324"/>
    <x v="327"/>
    <s v="M03"/>
    <s v="Federal Grants Fund"/>
    <n v="31422.38"/>
  </r>
  <r>
    <x v="1"/>
    <x v="7"/>
    <x v="446"/>
    <x v="448"/>
    <s v="M03"/>
    <s v="Federal Grants Fund"/>
    <n v="52415.21"/>
  </r>
  <r>
    <x v="0"/>
    <x v="0"/>
    <x v="53"/>
    <x v="53"/>
    <s v="M03"/>
    <s v="Expendable Trust Fund - External"/>
    <n v="0"/>
  </r>
  <r>
    <x v="1"/>
    <x v="0"/>
    <x v="220"/>
    <x v="218"/>
    <s v="M03"/>
    <s v="Expendable Trust Fund - External"/>
    <n v="0"/>
  </r>
  <r>
    <x v="1"/>
    <x v="6"/>
    <x v="83"/>
    <x v="83"/>
    <s v="MM3"/>
    <s v="Substance Abuse Services Fund"/>
    <n v="398364.63"/>
  </r>
  <r>
    <x v="3"/>
    <x v="0"/>
    <x v="403"/>
    <x v="406"/>
    <s v="M03"/>
    <s v="General Fund"/>
    <n v="1803.59"/>
  </r>
  <r>
    <x v="1"/>
    <x v="6"/>
    <x v="467"/>
    <x v="470"/>
    <s v="M04"/>
    <s v="Federal Grants Fund"/>
    <n v="16094"/>
  </r>
  <r>
    <x v="4"/>
    <x v="6"/>
    <x v="285"/>
    <x v="287"/>
    <s v="M04"/>
    <s v="Prevention and Wellness Trust Fund"/>
    <n v="14125"/>
  </r>
  <r>
    <x v="4"/>
    <x v="6"/>
    <x v="174"/>
    <x v="171"/>
    <s v="M04"/>
    <s v="Federal Grants Fund"/>
    <n v="50000"/>
  </r>
  <r>
    <x v="2"/>
    <x v="7"/>
    <x v="348"/>
    <x v="353"/>
    <s v="M03"/>
    <s v="General Fund"/>
    <n v="17218.22"/>
  </r>
  <r>
    <x v="3"/>
    <x v="0"/>
    <x v="150"/>
    <x v="149"/>
    <s v="MM3"/>
    <s v="General Fund"/>
    <n v="0"/>
  </r>
  <r>
    <x v="2"/>
    <x v="6"/>
    <x v="99"/>
    <x v="99"/>
    <s v="MM3"/>
    <s v="General Fund"/>
    <n v="75000"/>
  </r>
  <r>
    <x v="4"/>
    <x v="0"/>
    <x v="299"/>
    <x v="302"/>
    <s v="M04"/>
    <s v="General Fund"/>
    <n v="1645"/>
  </r>
  <r>
    <x v="0"/>
    <x v="0"/>
    <x v="84"/>
    <x v="84"/>
    <s v="M04"/>
    <s v="General Fund"/>
    <n v="256828.24"/>
  </r>
  <r>
    <x v="0"/>
    <x v="6"/>
    <x v="226"/>
    <x v="224"/>
    <s v="MM3"/>
    <s v="General Fund"/>
    <n v="5607.26"/>
  </r>
  <r>
    <x v="0"/>
    <x v="6"/>
    <x v="170"/>
    <x v="168"/>
    <s v="MM3"/>
    <s v="Substance Abuse Services Fund"/>
    <n v="0"/>
  </r>
  <r>
    <x v="2"/>
    <x v="0"/>
    <x v="187"/>
    <x v="184"/>
    <s v="M04"/>
    <s v="Expendable Trust Fund - External"/>
    <n v="0"/>
  </r>
  <r>
    <x v="0"/>
    <x v="8"/>
    <x v="342"/>
    <x v="347"/>
    <s v="M03"/>
    <s v="General Fund"/>
    <n v="27000"/>
  </r>
  <r>
    <x v="0"/>
    <x v="6"/>
    <x v="77"/>
    <x v="77"/>
    <s v="M04"/>
    <s v="General Fund"/>
    <n v="0"/>
  </r>
  <r>
    <x v="1"/>
    <x v="7"/>
    <x v="120"/>
    <x v="120"/>
    <s v="M03"/>
    <s v="Expendable Trust Fund - External"/>
    <n v="3000"/>
  </r>
  <r>
    <x v="1"/>
    <x v="0"/>
    <x v="177"/>
    <x v="174"/>
    <s v="MM3"/>
    <s v="Expendable Trust Fund - External"/>
    <n v="0"/>
  </r>
  <r>
    <x v="3"/>
    <x v="0"/>
    <x v="223"/>
    <x v="221"/>
    <s v="MM3"/>
    <s v="Expendable Trust Fund - External"/>
    <n v="0"/>
  </r>
  <r>
    <x v="1"/>
    <x v="3"/>
    <x v="352"/>
    <x v="358"/>
    <s v="M04"/>
    <s v="General Fund"/>
    <n v="0"/>
  </r>
  <r>
    <x v="2"/>
    <x v="7"/>
    <x v="326"/>
    <x v="330"/>
    <s v="M03"/>
    <s v="Expendable Trust Fund - External"/>
    <n v="0"/>
  </r>
  <r>
    <x v="1"/>
    <x v="0"/>
    <x v="58"/>
    <x v="58"/>
    <s v="M03"/>
    <s v="General Fund"/>
    <n v="183173.28"/>
  </r>
  <r>
    <x v="2"/>
    <x v="0"/>
    <x v="53"/>
    <x v="53"/>
    <s v="M03"/>
    <s v="General Fund"/>
    <n v="649089.93999999994"/>
  </r>
  <r>
    <x v="0"/>
    <x v="13"/>
    <x v="128"/>
    <x v="128"/>
    <s v="M03"/>
    <s v="General Fund"/>
    <n v="9222371.5800000001"/>
  </r>
  <r>
    <x v="2"/>
    <x v="5"/>
    <x v="214"/>
    <x v="211"/>
    <s v="MM3"/>
    <s v="General Fund"/>
    <n v="8065373.1500000004"/>
  </r>
  <r>
    <x v="3"/>
    <x v="6"/>
    <x v="82"/>
    <x v="82"/>
    <s v="MM3"/>
    <s v="General Fund"/>
    <n v="5526100.2300000004"/>
  </r>
  <r>
    <x v="3"/>
    <x v="6"/>
    <x v="152"/>
    <x v="151"/>
    <s v="M03"/>
    <s v="Federal Grants Fund"/>
    <n v="1712597.8"/>
  </r>
  <r>
    <x v="3"/>
    <x v="6"/>
    <x v="137"/>
    <x v="136"/>
    <s v="M03"/>
    <s v="General Fund"/>
    <n v="56923788.479999997"/>
  </r>
  <r>
    <x v="3"/>
    <x v="0"/>
    <x v="215"/>
    <x v="212"/>
    <s v="M03"/>
    <s v="General Fund"/>
    <n v="3040855.8"/>
  </r>
  <r>
    <x v="3"/>
    <x v="6"/>
    <x v="368"/>
    <x v="373"/>
    <s v="M04"/>
    <s v="General Fund"/>
    <n v="237697.17"/>
  </r>
  <r>
    <x v="3"/>
    <x v="9"/>
    <x v="72"/>
    <x v="72"/>
    <s v="M03"/>
    <s v="General Fund"/>
    <n v="20839447.210000001"/>
  </r>
  <r>
    <x v="1"/>
    <x v="6"/>
    <x v="78"/>
    <x v="78"/>
    <s v="M04"/>
    <s v="Federal Grants Fund"/>
    <n v="663144.07999999996"/>
  </r>
  <r>
    <x v="0"/>
    <x v="2"/>
    <x v="282"/>
    <x v="284"/>
    <s v="M03"/>
    <s v="Federal Grants Fund"/>
    <n v="349813.49"/>
  </r>
  <r>
    <x v="1"/>
    <x v="2"/>
    <x v="298"/>
    <x v="301"/>
    <s v="M03"/>
    <s v="Veterans Independence Plus Initiative Fund"/>
    <n v="970126.01"/>
  </r>
  <r>
    <x v="1"/>
    <x v="13"/>
    <x v="132"/>
    <x v="132"/>
    <s v="M03"/>
    <s v="General Fund"/>
    <n v="65555186.600000001"/>
  </r>
  <r>
    <x v="2"/>
    <x v="0"/>
    <x v="31"/>
    <x v="31"/>
    <s v="MM3"/>
    <s v="General Fund"/>
    <n v="2165648.23"/>
  </r>
  <r>
    <x v="2"/>
    <x v="0"/>
    <x v="52"/>
    <x v="52"/>
    <s v="M03"/>
    <s v="General Fund"/>
    <n v="8440385.25"/>
  </r>
  <r>
    <x v="0"/>
    <x v="0"/>
    <x v="210"/>
    <x v="207"/>
    <s v="M03"/>
    <s v="General Fund"/>
    <n v="317978.65000000002"/>
  </r>
  <r>
    <x v="2"/>
    <x v="3"/>
    <x v="29"/>
    <x v="29"/>
    <s v="M03"/>
    <s v="General Fund"/>
    <n v="10225400.279999999"/>
  </r>
  <r>
    <x v="3"/>
    <x v="6"/>
    <x v="468"/>
    <x v="471"/>
    <s v="M03"/>
    <s v="General Fund"/>
    <n v="1140096"/>
  </r>
  <r>
    <x v="3"/>
    <x v="0"/>
    <x v="147"/>
    <x v="256"/>
    <s v="MM3"/>
    <s v="General Fund"/>
    <n v="1011572.99"/>
  </r>
  <r>
    <x v="3"/>
    <x v="6"/>
    <x v="83"/>
    <x v="83"/>
    <s v="MM3"/>
    <s v="General Fund"/>
    <n v="4802656"/>
  </r>
  <r>
    <x v="3"/>
    <x v="0"/>
    <x v="65"/>
    <x v="65"/>
    <s v="M03"/>
    <s v="General Fund"/>
    <n v="8813.81"/>
  </r>
  <r>
    <x v="3"/>
    <x v="6"/>
    <x v="358"/>
    <x v="364"/>
    <s v="M03"/>
    <s v="General Fund"/>
    <n v="668586"/>
  </r>
  <r>
    <x v="0"/>
    <x v="7"/>
    <x v="23"/>
    <x v="23"/>
    <s v="M03"/>
    <s v="Federal Grants Fund"/>
    <n v="1921174.82"/>
  </r>
  <r>
    <x v="1"/>
    <x v="0"/>
    <x v="20"/>
    <x v="20"/>
    <s v="M03"/>
    <s v="General Fund"/>
    <n v="2714725.87"/>
  </r>
  <r>
    <x v="1"/>
    <x v="7"/>
    <x v="34"/>
    <x v="34"/>
    <s v="M03"/>
    <s v="General Fund"/>
    <n v="1710383.7"/>
  </r>
  <r>
    <x v="3"/>
    <x v="9"/>
    <x v="469"/>
    <x v="472"/>
    <s v="M03"/>
    <s v="General Fund"/>
    <n v="575204.23"/>
  </r>
  <r>
    <x v="3"/>
    <x v="6"/>
    <x v="470"/>
    <x v="473"/>
    <s v="MM3"/>
    <s v="General Fund"/>
    <n v="226093.11"/>
  </r>
  <r>
    <x v="1"/>
    <x v="6"/>
    <x v="263"/>
    <x v="263"/>
    <s v="MM3"/>
    <s v="Federal Grants Fund"/>
    <n v="2269394.19"/>
  </r>
  <r>
    <x v="0"/>
    <x v="0"/>
    <x v="25"/>
    <x v="25"/>
    <s v="MM3"/>
    <s v="General Fund"/>
    <n v="3206106.78"/>
  </r>
  <r>
    <x v="0"/>
    <x v="0"/>
    <x v="79"/>
    <x v="79"/>
    <s v="MM3"/>
    <s v="Expendable Trust Fund - External"/>
    <n v="0"/>
  </r>
  <r>
    <x v="0"/>
    <x v="0"/>
    <x v="260"/>
    <x v="260"/>
    <s v="M03"/>
    <s v="General Fund"/>
    <n v="367973.62"/>
  </r>
  <r>
    <x v="2"/>
    <x v="9"/>
    <x v="444"/>
    <x v="446"/>
    <s v="M03"/>
    <s v="General Fund"/>
    <n v="2155056.9700000002"/>
  </r>
  <r>
    <x v="2"/>
    <x v="7"/>
    <x v="454"/>
    <x v="456"/>
    <s v="M03"/>
    <s v="General Fund"/>
    <n v="9301939.9299999997"/>
  </r>
  <r>
    <x v="2"/>
    <x v="6"/>
    <x v="22"/>
    <x v="22"/>
    <s v="MM3"/>
    <s v="Federal Grants Fund"/>
    <n v="344892.39"/>
  </r>
  <r>
    <x v="0"/>
    <x v="3"/>
    <x v="32"/>
    <x v="32"/>
    <s v="M03"/>
    <s v="General Fund"/>
    <n v="243694.41"/>
  </r>
  <r>
    <x v="1"/>
    <x v="1"/>
    <x v="235"/>
    <x v="232"/>
    <s v="M03"/>
    <s v="General Fund"/>
    <n v="437761.02"/>
  </r>
  <r>
    <x v="0"/>
    <x v="6"/>
    <x v="192"/>
    <x v="189"/>
    <s v="MM3"/>
    <s v="Federal Grants Fund"/>
    <n v="403391.6"/>
  </r>
  <r>
    <x v="2"/>
    <x v="6"/>
    <x v="233"/>
    <x v="230"/>
    <s v="MM3"/>
    <s v="Federal Grants Fund"/>
    <n v="4786481.82"/>
  </r>
  <r>
    <x v="0"/>
    <x v="1"/>
    <x v="90"/>
    <x v="90"/>
    <s v="M03"/>
    <s v="General Fund"/>
    <n v="198317"/>
  </r>
  <r>
    <x v="1"/>
    <x v="6"/>
    <x v="365"/>
    <x v="370"/>
    <s v="MM3"/>
    <s v="General Fund"/>
    <n v="1421227.45"/>
  </r>
  <r>
    <x v="2"/>
    <x v="6"/>
    <x v="192"/>
    <x v="189"/>
    <s v="MM3"/>
    <s v="Federal Grants Fund"/>
    <n v="407538.62"/>
  </r>
  <r>
    <x v="4"/>
    <x v="6"/>
    <x v="226"/>
    <x v="224"/>
    <s v="MM3"/>
    <s v="Expendable Trust Fund - External"/>
    <n v="176783.35999999999"/>
  </r>
  <r>
    <x v="0"/>
    <x v="6"/>
    <x v="56"/>
    <x v="56"/>
    <s v="MM3"/>
    <s v="General Fund"/>
    <n v="1970558"/>
  </r>
  <r>
    <x v="4"/>
    <x v="0"/>
    <x v="221"/>
    <x v="219"/>
    <s v="M03"/>
    <s v="General Fund"/>
    <n v="5045368.01"/>
  </r>
  <r>
    <x v="2"/>
    <x v="0"/>
    <x v="223"/>
    <x v="221"/>
    <s v="MM3"/>
    <s v="General Fund"/>
    <n v="3389513.69"/>
  </r>
  <r>
    <x v="0"/>
    <x v="0"/>
    <x v="122"/>
    <x v="346"/>
    <s v="MM3"/>
    <s v="General Fund"/>
    <n v="1559606.55"/>
  </r>
  <r>
    <x v="0"/>
    <x v="2"/>
    <x v="428"/>
    <x v="431"/>
    <s v="M03"/>
    <s v="General Fund"/>
    <n v="11722880.24"/>
  </r>
  <r>
    <x v="1"/>
    <x v="5"/>
    <x v="5"/>
    <x v="5"/>
    <s v="MM3"/>
    <s v="Expendable Trust Fund - External"/>
    <n v="5410743.9299999997"/>
  </r>
  <r>
    <x v="2"/>
    <x v="7"/>
    <x v="379"/>
    <x v="383"/>
    <s v="M03"/>
    <s v="General Fund"/>
    <n v="1305202.3"/>
  </r>
  <r>
    <x v="0"/>
    <x v="0"/>
    <x v="10"/>
    <x v="10"/>
    <s v="MM3"/>
    <s v="General Fund"/>
    <n v="4209166.26"/>
  </r>
  <r>
    <x v="2"/>
    <x v="6"/>
    <x v="19"/>
    <x v="19"/>
    <s v="M03"/>
    <s v="Federal Grants Fund"/>
    <n v="1050536.28"/>
  </r>
  <r>
    <x v="1"/>
    <x v="6"/>
    <x v="149"/>
    <x v="148"/>
    <s v="MM3"/>
    <s v="Federal Grants Fund"/>
    <n v="1464717.92"/>
  </r>
  <r>
    <x v="0"/>
    <x v="7"/>
    <x v="294"/>
    <x v="296"/>
    <s v="M03"/>
    <s v="Federal Grants Fund"/>
    <n v="148597.60999999999"/>
  </r>
  <r>
    <x v="4"/>
    <x v="8"/>
    <x v="391"/>
    <x v="395"/>
    <s v="M03"/>
    <s v="General Fund"/>
    <n v="308246.34000000003"/>
  </r>
  <r>
    <x v="4"/>
    <x v="6"/>
    <x v="109"/>
    <x v="109"/>
    <s v="MM3"/>
    <s v="Federal Grants Fund"/>
    <n v="68479.009999999995"/>
  </r>
  <r>
    <x v="2"/>
    <x v="6"/>
    <x v="77"/>
    <x v="77"/>
    <s v="MM3"/>
    <s v="Federal Grants Fund"/>
    <n v="338184.59"/>
  </r>
  <r>
    <x v="2"/>
    <x v="3"/>
    <x v="313"/>
    <x v="316"/>
    <s v="M03"/>
    <s v="Federal Grants Fund"/>
    <n v="163452.72"/>
  </r>
  <r>
    <x v="0"/>
    <x v="6"/>
    <x v="109"/>
    <x v="109"/>
    <s v="MM3"/>
    <s v="Federal Grants Fund"/>
    <n v="35001.4"/>
  </r>
  <r>
    <x v="2"/>
    <x v="0"/>
    <x v="97"/>
    <x v="97"/>
    <s v="MM3"/>
    <s v="Expendable Trust Fund - External"/>
    <n v="77640.960000000006"/>
  </r>
  <r>
    <x v="1"/>
    <x v="6"/>
    <x v="192"/>
    <x v="189"/>
    <s v="M03"/>
    <s v="Federal Grants Fund"/>
    <n v="313769.99"/>
  </r>
  <r>
    <x v="2"/>
    <x v="5"/>
    <x v="76"/>
    <x v="76"/>
    <s v="M03"/>
    <s v="General Fund"/>
    <n v="138850.29999999999"/>
  </r>
  <r>
    <x v="3"/>
    <x v="0"/>
    <x v="217"/>
    <x v="215"/>
    <s v="M03"/>
    <s v="Expendable Trust Fund - External"/>
    <n v="0"/>
  </r>
  <r>
    <x v="1"/>
    <x v="0"/>
    <x v="44"/>
    <x v="44"/>
    <s v="MM3"/>
    <s v="General Fund"/>
    <n v="3364.35"/>
  </r>
  <r>
    <x v="2"/>
    <x v="6"/>
    <x v="37"/>
    <x v="37"/>
    <s v="MM3"/>
    <s v="General Fund"/>
    <n v="1102800"/>
  </r>
  <r>
    <x v="3"/>
    <x v="5"/>
    <x v="12"/>
    <x v="12"/>
    <s v="MM3"/>
    <s v="General Fund"/>
    <n v="17612716"/>
  </r>
  <r>
    <x v="4"/>
    <x v="6"/>
    <x v="95"/>
    <x v="95"/>
    <s v="MM3"/>
    <s v="General Fund"/>
    <n v="12625570.869999999"/>
  </r>
  <r>
    <x v="3"/>
    <x v="10"/>
    <x v="385"/>
    <x v="389"/>
    <s v="M03"/>
    <s v="General Fund"/>
    <n v="2999390"/>
  </r>
  <r>
    <x v="4"/>
    <x v="0"/>
    <x v="189"/>
    <x v="186"/>
    <s v="MM3"/>
    <s v="General Fund"/>
    <n v="297424.64000000001"/>
  </r>
  <r>
    <x v="0"/>
    <x v="6"/>
    <x v="416"/>
    <x v="419"/>
    <s v="MM3"/>
    <s v="Federal Grants Fund"/>
    <n v="77957.759999999995"/>
  </r>
  <r>
    <x v="2"/>
    <x v="5"/>
    <x v="75"/>
    <x v="75"/>
    <s v="M03"/>
    <s v="Federal Grants Fund"/>
    <n v="32004"/>
  </r>
  <r>
    <x v="3"/>
    <x v="5"/>
    <x v="75"/>
    <x v="75"/>
    <s v="M04"/>
    <s v="General Fund"/>
    <n v="1374771.9"/>
  </r>
  <r>
    <x v="3"/>
    <x v="7"/>
    <x v="344"/>
    <x v="349"/>
    <s v="M03"/>
    <s v="Expendable Trust Fund - External"/>
    <n v="12742"/>
  </r>
  <r>
    <x v="2"/>
    <x v="5"/>
    <x v="76"/>
    <x v="76"/>
    <s v="M04"/>
    <s v="General Fund"/>
    <n v="358000"/>
  </r>
  <r>
    <x v="2"/>
    <x v="1"/>
    <x v="471"/>
    <x v="474"/>
    <s v="MM3"/>
    <s v="General Fund"/>
    <n v="2298.33"/>
  </r>
  <r>
    <x v="4"/>
    <x v="6"/>
    <x v="82"/>
    <x v="82"/>
    <s v="MM3"/>
    <s v="General Fund"/>
    <n v="5489044.6299999999"/>
  </r>
  <r>
    <x v="5"/>
    <x v="5"/>
    <x v="134"/>
    <x v="134"/>
    <s v="MM3"/>
    <s v="Federal Grants Fund"/>
    <n v="5954395.6500000004"/>
  </r>
  <r>
    <x v="5"/>
    <x v="6"/>
    <x v="240"/>
    <x v="238"/>
    <s v="MM3"/>
    <s v="General Fund"/>
    <n v="227369.28"/>
  </r>
  <r>
    <x v="5"/>
    <x v="6"/>
    <x v="237"/>
    <x v="235"/>
    <s v="MM3"/>
    <s v="General Fund"/>
    <n v="3342654"/>
  </r>
  <r>
    <x v="5"/>
    <x v="0"/>
    <x v="116"/>
    <x v="116"/>
    <s v="MM3"/>
    <s v="General Fund"/>
    <n v="966898.91"/>
  </r>
  <r>
    <x v="5"/>
    <x v="1"/>
    <x v="157"/>
    <x v="156"/>
    <s v="M03"/>
    <s v="General Fund"/>
    <n v="51646.5"/>
  </r>
  <r>
    <x v="5"/>
    <x v="6"/>
    <x v="82"/>
    <x v="82"/>
    <s v="MM3"/>
    <s v="Federal Grants Fund"/>
    <n v="1334388.81"/>
  </r>
  <r>
    <x v="5"/>
    <x v="6"/>
    <x v="396"/>
    <x v="466"/>
    <s v="MM3"/>
    <s v="General Fund"/>
    <n v="381213.64"/>
  </r>
  <r>
    <x v="5"/>
    <x v="0"/>
    <x v="48"/>
    <x v="48"/>
    <s v="M03"/>
    <s v="General Fund"/>
    <n v="1219575.32"/>
  </r>
  <r>
    <x v="5"/>
    <x v="6"/>
    <x v="356"/>
    <x v="362"/>
    <s v="M04"/>
    <s v="Federal Grants Fund"/>
    <n v="1017041.67"/>
  </r>
  <r>
    <x v="0"/>
    <x v="8"/>
    <x v="17"/>
    <x v="17"/>
    <s v="M03"/>
    <s v="General Fund"/>
    <n v="447000"/>
  </r>
  <r>
    <x v="5"/>
    <x v="12"/>
    <x v="382"/>
    <x v="385"/>
    <s v="M03"/>
    <s v="General Fund"/>
    <n v="3582190"/>
  </r>
  <r>
    <x v="5"/>
    <x v="0"/>
    <x v="28"/>
    <x v="28"/>
    <s v="MM3"/>
    <s v="General Fund"/>
    <n v="1201440.57"/>
  </r>
  <r>
    <x v="5"/>
    <x v="13"/>
    <x v="128"/>
    <x v="128"/>
    <s v="M03"/>
    <s v="General Fund"/>
    <n v="9197098.4800000004"/>
  </r>
  <r>
    <x v="2"/>
    <x v="5"/>
    <x v="76"/>
    <x v="76"/>
    <s v="M03"/>
    <s v="Federal Grants Fund"/>
    <n v="251076.28"/>
  </r>
  <r>
    <x v="1"/>
    <x v="3"/>
    <x v="453"/>
    <x v="455"/>
    <s v="M03"/>
    <s v="General Fund"/>
    <n v="224911.28"/>
  </r>
  <r>
    <x v="4"/>
    <x v="11"/>
    <x v="244"/>
    <x v="242"/>
    <s v="M04"/>
    <s v="Federal Grants Fund"/>
    <n v="626864.17000000004"/>
  </r>
  <r>
    <x v="5"/>
    <x v="2"/>
    <x v="409"/>
    <x v="412"/>
    <s v="M03"/>
    <s v="General Fund"/>
    <n v="33770300"/>
  </r>
  <r>
    <x v="5"/>
    <x v="6"/>
    <x v="170"/>
    <x v="168"/>
    <s v="MM3"/>
    <s v="Substance Abuse Services Fund"/>
    <n v="122836.36"/>
  </r>
  <r>
    <x v="5"/>
    <x v="0"/>
    <x v="336"/>
    <x v="340"/>
    <s v="M03"/>
    <s v="General Fund"/>
    <n v="70000"/>
  </r>
  <r>
    <x v="5"/>
    <x v="5"/>
    <x v="295"/>
    <x v="297"/>
    <s v="M03"/>
    <s v="General Fund"/>
    <n v="2616937.42"/>
  </r>
  <r>
    <x v="5"/>
    <x v="6"/>
    <x v="355"/>
    <x v="361"/>
    <s v="MM3"/>
    <s v="Federal Grants Fund"/>
    <n v="459067.26"/>
  </r>
  <r>
    <x v="3"/>
    <x v="7"/>
    <x v="40"/>
    <x v="40"/>
    <s v="M03"/>
    <s v="General Fund"/>
    <n v="0"/>
  </r>
  <r>
    <x v="5"/>
    <x v="0"/>
    <x v="189"/>
    <x v="186"/>
    <s v="MM3"/>
    <s v="General Fund"/>
    <n v="258284.12"/>
  </r>
  <r>
    <x v="3"/>
    <x v="7"/>
    <x v="422"/>
    <x v="425"/>
    <s v="M03"/>
    <s v="General Fund"/>
    <n v="0"/>
  </r>
  <r>
    <x v="5"/>
    <x v="6"/>
    <x v="77"/>
    <x v="77"/>
    <s v="M03"/>
    <s v="Federal Grants Fund"/>
    <n v="284297.36"/>
  </r>
  <r>
    <x v="1"/>
    <x v="6"/>
    <x v="176"/>
    <x v="173"/>
    <s v="M04"/>
    <s v="Federal Grants Fund"/>
    <n v="100000"/>
  </r>
  <r>
    <x v="1"/>
    <x v="0"/>
    <x v="84"/>
    <x v="84"/>
    <s v="M03"/>
    <s v="General Fund"/>
    <n v="192500"/>
  </r>
  <r>
    <x v="0"/>
    <x v="3"/>
    <x v="313"/>
    <x v="316"/>
    <s v="M03"/>
    <s v="General Fund"/>
    <n v="74989.88"/>
  </r>
  <r>
    <x v="1"/>
    <x v="6"/>
    <x v="276"/>
    <x v="278"/>
    <s v="M04"/>
    <s v="Federal Grants Fund"/>
    <n v="198404.72"/>
  </r>
  <r>
    <x v="2"/>
    <x v="1"/>
    <x v="370"/>
    <x v="375"/>
    <s v="M03"/>
    <s v="Federal Grants Fund"/>
    <n v="24776"/>
  </r>
  <r>
    <x v="2"/>
    <x v="7"/>
    <x v="379"/>
    <x v="383"/>
    <s v="M03"/>
    <s v="Trust Fund For the Head Injury Treatment Service Fund"/>
    <n v="13999.59"/>
  </r>
  <r>
    <x v="4"/>
    <x v="6"/>
    <x v="236"/>
    <x v="234"/>
    <s v="M04"/>
    <s v="Federal Grants Fund"/>
    <n v="3069767.38"/>
  </r>
  <r>
    <x v="4"/>
    <x v="0"/>
    <x v="221"/>
    <x v="219"/>
    <s v="MM3"/>
    <s v="Expendable Trust Fund - External"/>
    <n v="-32823"/>
  </r>
  <r>
    <x v="4"/>
    <x v="2"/>
    <x v="457"/>
    <x v="459"/>
    <s v="M03"/>
    <s v="General Fund"/>
    <n v="106174"/>
  </r>
  <r>
    <x v="5"/>
    <x v="6"/>
    <x v="50"/>
    <x v="50"/>
    <s v="M03"/>
    <s v="General Fund"/>
    <n v="75000"/>
  </r>
  <r>
    <x v="5"/>
    <x v="0"/>
    <x v="53"/>
    <x v="53"/>
    <s v="M03"/>
    <s v="General Fund"/>
    <n v="1036608.96"/>
  </r>
  <r>
    <x v="5"/>
    <x v="6"/>
    <x v="86"/>
    <x v="86"/>
    <s v="MM3"/>
    <s v="Federal Grants Fund"/>
    <n v="517061.53"/>
  </r>
  <r>
    <x v="5"/>
    <x v="6"/>
    <x v="276"/>
    <x v="278"/>
    <s v="M04"/>
    <s v="Federal Grants Fund"/>
    <n v="180302.61"/>
  </r>
  <r>
    <x v="5"/>
    <x v="6"/>
    <x v="191"/>
    <x v="188"/>
    <s v="MM3"/>
    <s v="General Fund"/>
    <n v="1694802"/>
  </r>
  <r>
    <x v="5"/>
    <x v="6"/>
    <x v="249"/>
    <x v="247"/>
    <s v="MM3"/>
    <s v="Federal Grants Fund"/>
    <n v="220130.53"/>
  </r>
  <r>
    <x v="5"/>
    <x v="7"/>
    <x v="422"/>
    <x v="425"/>
    <s v="M03"/>
    <s v="General Fund"/>
    <n v="35754.239999999998"/>
  </r>
  <r>
    <x v="5"/>
    <x v="6"/>
    <x v="174"/>
    <x v="171"/>
    <s v="M04"/>
    <s v="General Fund"/>
    <n v="246459.41"/>
  </r>
  <r>
    <x v="5"/>
    <x v="0"/>
    <x v="154"/>
    <x v="153"/>
    <s v="MM3"/>
    <s v="Expendable Trust Fund - External"/>
    <n v="-8000"/>
  </r>
  <r>
    <x v="3"/>
    <x v="0"/>
    <x v="115"/>
    <x v="115"/>
    <s v="M03"/>
    <s v="General Fund"/>
    <n v="51247.839999999997"/>
  </r>
  <r>
    <x v="3"/>
    <x v="6"/>
    <x v="236"/>
    <x v="234"/>
    <s v="M04"/>
    <s v="General Fund"/>
    <n v="5172"/>
  </r>
  <r>
    <x v="1"/>
    <x v="3"/>
    <x v="461"/>
    <x v="463"/>
    <s v="M04"/>
    <s v="General Fund"/>
    <n v="90955.63"/>
  </r>
  <r>
    <x v="1"/>
    <x v="0"/>
    <x v="20"/>
    <x v="20"/>
    <s v="M03"/>
    <s v="Expendable Trust Fund - External"/>
    <n v="0"/>
  </r>
  <r>
    <x v="1"/>
    <x v="6"/>
    <x v="305"/>
    <x v="308"/>
    <s v="M04"/>
    <s v="Federal Grants Fund"/>
    <n v="5800126.3600000003"/>
  </r>
  <r>
    <x v="3"/>
    <x v="7"/>
    <x v="296"/>
    <x v="298"/>
    <s v="M03"/>
    <s v="General Fund"/>
    <n v="142280.07999999999"/>
  </r>
  <r>
    <x v="3"/>
    <x v="9"/>
    <x v="293"/>
    <x v="295"/>
    <s v="M03"/>
    <s v="General Fund"/>
    <n v="613794.94999999995"/>
  </r>
  <r>
    <x v="4"/>
    <x v="1"/>
    <x v="54"/>
    <x v="54"/>
    <s v="M04"/>
    <s v="General Fund"/>
    <n v="36107.19"/>
  </r>
  <r>
    <x v="4"/>
    <x v="0"/>
    <x v="84"/>
    <x v="84"/>
    <s v="M04"/>
    <s v="General Fund"/>
    <n v="192453.67"/>
  </r>
  <r>
    <x v="4"/>
    <x v="0"/>
    <x v="104"/>
    <x v="104"/>
    <s v="MM3"/>
    <s v="General Fund"/>
    <n v="0"/>
  </r>
  <r>
    <x v="2"/>
    <x v="0"/>
    <x v="154"/>
    <x v="475"/>
    <s v="MM3"/>
    <s v="Expendable Trust Fund - External"/>
    <n v="104057.60000000001"/>
  </r>
  <r>
    <x v="3"/>
    <x v="0"/>
    <x v="121"/>
    <x v="121"/>
    <s v="M03"/>
    <s v="Expendable Trust Fund - External"/>
    <n v="0"/>
  </r>
  <r>
    <x v="3"/>
    <x v="7"/>
    <x v="173"/>
    <x v="104"/>
    <s v="M03"/>
    <s v="Trust Fund For the Head Injury Treatment Service Fund"/>
    <n v="8245.2900000000009"/>
  </r>
  <r>
    <x v="2"/>
    <x v="0"/>
    <x v="48"/>
    <x v="48"/>
    <s v="M03"/>
    <s v="Expendable Trust Fund - External"/>
    <n v="0"/>
  </r>
  <r>
    <x v="4"/>
    <x v="7"/>
    <x v="363"/>
    <x v="20"/>
    <s v="M03"/>
    <s v="Trust Fund For the Head Injury Treatment Service Fund"/>
    <n v="7259.47"/>
  </r>
  <r>
    <x v="5"/>
    <x v="6"/>
    <x v="252"/>
    <x v="250"/>
    <s v="MM3"/>
    <s v="Federal Grants Fund"/>
    <n v="64132.08"/>
  </r>
  <r>
    <x v="5"/>
    <x v="6"/>
    <x v="38"/>
    <x v="38"/>
    <s v="MM3"/>
    <s v="Federal Grants Fund"/>
    <n v="342339.57"/>
  </r>
  <r>
    <x v="5"/>
    <x v="7"/>
    <x v="312"/>
    <x v="315"/>
    <s v="M04"/>
    <s v="Trust Fund For the Head Injury Treatment Service Fund"/>
    <n v="1304381"/>
  </r>
  <r>
    <x v="5"/>
    <x v="0"/>
    <x v="105"/>
    <x v="105"/>
    <s v="M04"/>
    <s v="General Fund"/>
    <n v="185877.83"/>
  </r>
  <r>
    <x v="1"/>
    <x v="0"/>
    <x v="143"/>
    <x v="142"/>
    <s v="MM3"/>
    <s v="General Fund"/>
    <n v="64552.68"/>
  </r>
  <r>
    <x v="3"/>
    <x v="0"/>
    <x v="84"/>
    <x v="84"/>
    <s v="M04"/>
    <s v="General Fund"/>
    <n v="370478.32"/>
  </r>
  <r>
    <x v="2"/>
    <x v="6"/>
    <x v="226"/>
    <x v="224"/>
    <s v="MM3"/>
    <s v="Expendable Trust Fund - External"/>
    <n v="0"/>
  </r>
  <r>
    <x v="1"/>
    <x v="1"/>
    <x v="250"/>
    <x v="248"/>
    <s v="MM3"/>
    <s v="General Fund"/>
    <n v="59966.96"/>
  </r>
  <r>
    <x v="4"/>
    <x v="6"/>
    <x v="85"/>
    <x v="85"/>
    <s v="MM3"/>
    <s v="General Fund"/>
    <n v="0"/>
  </r>
  <r>
    <x v="4"/>
    <x v="0"/>
    <x v="57"/>
    <x v="57"/>
    <s v="MM3"/>
    <s v="General Fund"/>
    <n v="7343.12"/>
  </r>
  <r>
    <x v="4"/>
    <x v="6"/>
    <x v="174"/>
    <x v="171"/>
    <s v="M04"/>
    <s v="Prevention and Wellness Trust Fund"/>
    <n v="14125"/>
  </r>
  <r>
    <x v="3"/>
    <x v="6"/>
    <x v="358"/>
    <x v="364"/>
    <s v="M03"/>
    <s v="Federal Grants Fund"/>
    <n v="31665.32"/>
  </r>
  <r>
    <x v="5"/>
    <x v="6"/>
    <x v="95"/>
    <x v="95"/>
    <s v="M04"/>
    <s v="Federal Grants Fund"/>
    <n v="49522"/>
  </r>
  <r>
    <x v="5"/>
    <x v="0"/>
    <x v="223"/>
    <x v="221"/>
    <s v="MM3"/>
    <s v="Expendable Trust Fund - External"/>
    <n v="2927.86"/>
  </r>
  <r>
    <x v="0"/>
    <x v="1"/>
    <x v="471"/>
    <x v="474"/>
    <s v="MM3"/>
    <s v="General Fund"/>
    <n v="0"/>
  </r>
  <r>
    <x v="4"/>
    <x v="0"/>
    <x v="26"/>
    <x v="26"/>
    <s v="M03"/>
    <s v="General Fund"/>
    <n v="0"/>
  </r>
  <r>
    <x v="2"/>
    <x v="0"/>
    <x v="159"/>
    <x v="62"/>
    <s v="M03"/>
    <s v="General Fund"/>
    <n v="1293.1199999999999"/>
  </r>
  <r>
    <x v="5"/>
    <x v="11"/>
    <x v="244"/>
    <x v="242"/>
    <s v="M04"/>
    <s v="Federal Grants Fund"/>
    <n v="309586.77"/>
  </r>
  <r>
    <x v="4"/>
    <x v="2"/>
    <x v="269"/>
    <x v="269"/>
    <s v="M03"/>
    <s v="General Fund"/>
    <n v="0"/>
  </r>
  <r>
    <x v="1"/>
    <x v="0"/>
    <x v="186"/>
    <x v="183"/>
    <s v="M03"/>
    <s v="General Fund"/>
    <n v="97993.37"/>
  </r>
  <r>
    <x v="1"/>
    <x v="5"/>
    <x v="30"/>
    <x v="30"/>
    <s v="M03"/>
    <s v="General Fund"/>
    <n v="0"/>
  </r>
  <r>
    <x v="1"/>
    <x v="1"/>
    <x v="291"/>
    <x v="293"/>
    <s v="M03"/>
    <s v="Expendable Trust Fund - External"/>
    <n v="3570"/>
  </r>
  <r>
    <x v="4"/>
    <x v="12"/>
    <x v="472"/>
    <x v="476"/>
    <s v="M03"/>
    <s v="General Fund"/>
    <n v="339590"/>
  </r>
  <r>
    <x v="2"/>
    <x v="0"/>
    <x v="57"/>
    <x v="57"/>
    <s v="M03"/>
    <s v="Expendable Trust Fund - External"/>
    <n v="235.2"/>
  </r>
  <r>
    <x v="4"/>
    <x v="0"/>
    <x v="168"/>
    <x v="166"/>
    <s v="M04"/>
    <s v="General Fund"/>
    <n v="30294.880000000001"/>
  </r>
  <r>
    <x v="0"/>
    <x v="6"/>
    <x v="287"/>
    <x v="289"/>
    <s v="M04"/>
    <s v="Expendable Trust Fund - External"/>
    <n v="43848.480000000003"/>
  </r>
  <r>
    <x v="1"/>
    <x v="1"/>
    <x v="250"/>
    <x v="248"/>
    <s v="MM3"/>
    <s v="Federal Grants Fund"/>
    <n v="0"/>
  </r>
  <r>
    <x v="0"/>
    <x v="0"/>
    <x v="179"/>
    <x v="176"/>
    <s v="MM3"/>
    <s v="Expendable Trust Fund - External"/>
    <n v="0"/>
  </r>
  <r>
    <x v="5"/>
    <x v="0"/>
    <x v="339"/>
    <x v="343"/>
    <s v="M03"/>
    <s v="Expendable Trust Fund - External"/>
    <n v="0"/>
  </r>
  <r>
    <x v="1"/>
    <x v="1"/>
    <x v="228"/>
    <x v="226"/>
    <s v="M03"/>
    <s v="Federal Grants Fund"/>
    <n v="0"/>
  </r>
  <r>
    <x v="3"/>
    <x v="6"/>
    <x v="301"/>
    <x v="304"/>
    <s v="M04"/>
    <s v="Federal Grants Fund"/>
    <n v="34539.620000000003"/>
  </r>
  <r>
    <x v="4"/>
    <x v="6"/>
    <x v="87"/>
    <x v="87"/>
    <s v="M04"/>
    <s v="State Racing Fund"/>
    <n v="70000"/>
  </r>
  <r>
    <x v="4"/>
    <x v="1"/>
    <x v="101"/>
    <x v="101"/>
    <s v="M03"/>
    <s v="Federal Grants Fund"/>
    <n v="0"/>
  </r>
  <r>
    <x v="3"/>
    <x v="0"/>
    <x v="336"/>
    <x v="340"/>
    <s v="M04"/>
    <s v="General Fund"/>
    <n v="0"/>
  </r>
  <r>
    <x v="5"/>
    <x v="0"/>
    <x v="79"/>
    <x v="79"/>
    <s v="M03"/>
    <s v="Expendable Trust Fund - External"/>
    <n v="0"/>
  </r>
  <r>
    <x v="4"/>
    <x v="0"/>
    <x v="0"/>
    <x v="0"/>
    <s v="MM3"/>
    <s v="Expendable Trust Fund - External"/>
    <n v="0"/>
  </r>
  <r>
    <x v="5"/>
    <x v="6"/>
    <x v="204"/>
    <x v="201"/>
    <s v="M04"/>
    <s v="Catastrophic Illness in Children Relief Fund"/>
    <n v="0"/>
  </r>
  <r>
    <x v="5"/>
    <x v="0"/>
    <x v="84"/>
    <x v="84"/>
    <s v="M04"/>
    <s v="General Fund"/>
    <n v="174999.53"/>
  </r>
  <r>
    <x v="4"/>
    <x v="6"/>
    <x v="165"/>
    <x v="163"/>
    <s v="MM3"/>
    <s v="Federal Grants Fund"/>
    <n v="0"/>
  </r>
  <r>
    <x v="3"/>
    <x v="6"/>
    <x v="87"/>
    <x v="87"/>
    <s v="M04"/>
    <s v="Substance Abuse Services Fund"/>
    <n v="0"/>
  </r>
  <r>
    <x v="4"/>
    <x v="3"/>
    <x v="225"/>
    <x v="223"/>
    <s v="M03"/>
    <s v="General Fund"/>
    <n v="0"/>
  </r>
  <r>
    <x v="4"/>
    <x v="0"/>
    <x v="116"/>
    <x v="116"/>
    <s v="M03"/>
    <s v="Expendable Trust Fund - External"/>
    <n v="0"/>
  </r>
  <r>
    <x v="0"/>
    <x v="5"/>
    <x v="209"/>
    <x v="206"/>
    <s v="MM3"/>
    <s v="Federal Grants Fund"/>
    <n v="0"/>
  </r>
  <r>
    <x v="1"/>
    <x v="1"/>
    <x v="395"/>
    <x v="399"/>
    <s v="M04"/>
    <s v="General Fund"/>
    <n v="41415"/>
  </r>
  <r>
    <x v="1"/>
    <x v="0"/>
    <x v="458"/>
    <x v="460"/>
    <s v="M03"/>
    <s v="General Fund"/>
    <n v="0"/>
  </r>
  <r>
    <x v="0"/>
    <x v="7"/>
    <x v="15"/>
    <x v="15"/>
    <s v="M03"/>
    <s v="Expendable Trust Fund - External"/>
    <n v="336869.21"/>
  </r>
  <r>
    <x v="0"/>
    <x v="0"/>
    <x v="20"/>
    <x v="20"/>
    <s v="M03"/>
    <s v="General Fund"/>
    <n v="4693368.7699999996"/>
  </r>
  <r>
    <x v="0"/>
    <x v="0"/>
    <x v="52"/>
    <x v="52"/>
    <s v="MM3"/>
    <s v="General Fund"/>
    <n v="3670474.72"/>
  </r>
  <r>
    <x v="2"/>
    <x v="0"/>
    <x v="20"/>
    <x v="20"/>
    <s v="M03"/>
    <s v="General Fund"/>
    <n v="4580264.67"/>
  </r>
  <r>
    <x v="2"/>
    <x v="3"/>
    <x v="265"/>
    <x v="265"/>
    <s v="M03"/>
    <s v="General Fund"/>
    <n v="137595340.80000001"/>
  </r>
  <r>
    <x v="0"/>
    <x v="6"/>
    <x v="37"/>
    <x v="37"/>
    <s v="MM3"/>
    <s v="Federal Grants Fund"/>
    <n v="1072810.51"/>
  </r>
  <r>
    <x v="1"/>
    <x v="0"/>
    <x v="278"/>
    <x v="280"/>
    <s v="MM3"/>
    <s v="General Fund"/>
    <n v="10188828.119999999"/>
  </r>
  <r>
    <x v="3"/>
    <x v="2"/>
    <x v="384"/>
    <x v="387"/>
    <s v="M03"/>
    <s v="General Fund"/>
    <n v="4965849.7300000004"/>
  </r>
  <r>
    <x v="3"/>
    <x v="2"/>
    <x v="473"/>
    <x v="477"/>
    <s v="M03"/>
    <s v="Federal Grants Fund"/>
    <n v="398813.39"/>
  </r>
  <r>
    <x v="3"/>
    <x v="0"/>
    <x v="52"/>
    <x v="52"/>
    <s v="M03"/>
    <s v="General Fund"/>
    <n v="14897433.43"/>
  </r>
  <r>
    <x v="3"/>
    <x v="6"/>
    <x v="350"/>
    <x v="355"/>
    <s v="MM3"/>
    <s v="Federal Grants Fund"/>
    <n v="1080078.8400000001"/>
  </r>
  <r>
    <x v="3"/>
    <x v="6"/>
    <x v="468"/>
    <x v="471"/>
    <s v="M03"/>
    <s v="Federal Grants Fund"/>
    <n v="153780"/>
  </r>
  <r>
    <x v="1"/>
    <x v="13"/>
    <x v="128"/>
    <x v="128"/>
    <s v="M03"/>
    <s v="General Fund"/>
    <n v="9087017.9900000002"/>
  </r>
  <r>
    <x v="1"/>
    <x v="0"/>
    <x v="122"/>
    <x v="346"/>
    <s v="M03"/>
    <s v="General Fund"/>
    <n v="59600"/>
  </r>
  <r>
    <x v="2"/>
    <x v="6"/>
    <x v="192"/>
    <x v="189"/>
    <s v="MM3"/>
    <s v="General Fund"/>
    <n v="904544.48"/>
  </r>
  <r>
    <x v="3"/>
    <x v="1"/>
    <x v="266"/>
    <x v="300"/>
    <s v="M04"/>
    <s v="General Fund"/>
    <n v="541270.81000000006"/>
  </r>
  <r>
    <x v="3"/>
    <x v="6"/>
    <x v="474"/>
    <x v="478"/>
    <s v="MM3"/>
    <s v="Federal Grants Fund"/>
    <n v="4625795.5599999996"/>
  </r>
  <r>
    <x v="0"/>
    <x v="6"/>
    <x v="61"/>
    <x v="61"/>
    <s v="M04"/>
    <s v="Federal Grants Fund"/>
    <n v="1105664.07"/>
  </r>
  <r>
    <x v="1"/>
    <x v="6"/>
    <x v="368"/>
    <x v="373"/>
    <s v="M03"/>
    <s v="General Fund"/>
    <n v="311105.2"/>
  </r>
  <r>
    <x v="0"/>
    <x v="5"/>
    <x v="353"/>
    <x v="359"/>
    <s v="M04"/>
    <s v="General Fund"/>
    <n v="1269264.07"/>
  </r>
  <r>
    <x v="3"/>
    <x v="6"/>
    <x v="325"/>
    <x v="328"/>
    <s v="M04"/>
    <s v="Federal Grants Fund"/>
    <n v="733385.35"/>
  </r>
  <r>
    <x v="3"/>
    <x v="6"/>
    <x v="87"/>
    <x v="87"/>
    <s v="M04"/>
    <s v="General Fund"/>
    <n v="8787569.2400000002"/>
  </r>
  <r>
    <x v="3"/>
    <x v="13"/>
    <x v="475"/>
    <x v="479"/>
    <s v="M03"/>
    <s v="General Fund"/>
    <n v="6885487.6100000003"/>
  </r>
  <r>
    <x v="3"/>
    <x v="7"/>
    <x v="343"/>
    <x v="348"/>
    <s v="M03"/>
    <s v="General Fund"/>
    <n v="1264.55"/>
  </r>
  <r>
    <x v="0"/>
    <x v="6"/>
    <x v="22"/>
    <x v="22"/>
    <s v="MM3"/>
    <s v="Federal Grants Fund"/>
    <n v="253457.29"/>
  </r>
  <r>
    <x v="2"/>
    <x v="1"/>
    <x v="213"/>
    <x v="273"/>
    <s v="M03"/>
    <s v="General Fund"/>
    <n v="1493735.89"/>
  </r>
  <r>
    <x v="0"/>
    <x v="6"/>
    <x v="21"/>
    <x v="21"/>
    <s v="MM3"/>
    <s v="General Fund"/>
    <n v="275000"/>
  </r>
  <r>
    <x v="1"/>
    <x v="10"/>
    <x v="162"/>
    <x v="160"/>
    <s v="M03"/>
    <s v="General Fund"/>
    <n v="123899444.16"/>
  </r>
  <r>
    <x v="4"/>
    <x v="0"/>
    <x v="154"/>
    <x v="153"/>
    <s v="M03"/>
    <s v="General Fund"/>
    <n v="33217998.760000002"/>
  </r>
  <r>
    <x v="2"/>
    <x v="7"/>
    <x v="23"/>
    <x v="23"/>
    <s v="M03"/>
    <s v="Federal Grants Fund"/>
    <n v="2518507.08"/>
  </r>
  <r>
    <x v="1"/>
    <x v="8"/>
    <x v="391"/>
    <x v="395"/>
    <s v="M03"/>
    <s v="General Fund"/>
    <n v="288008.84999999998"/>
  </r>
  <r>
    <x v="4"/>
    <x v="7"/>
    <x v="326"/>
    <x v="330"/>
    <s v="M03"/>
    <s v="Federal Grants Fund"/>
    <n v="-16849.54"/>
  </r>
  <r>
    <x v="1"/>
    <x v="6"/>
    <x v="218"/>
    <x v="216"/>
    <s v="MM3"/>
    <s v="Federal Grants Fund"/>
    <n v="3302736.67"/>
  </r>
  <r>
    <x v="2"/>
    <x v="1"/>
    <x v="286"/>
    <x v="288"/>
    <s v="M03"/>
    <s v="General Fund"/>
    <n v="197159.84"/>
  </r>
  <r>
    <x v="2"/>
    <x v="0"/>
    <x v="13"/>
    <x v="13"/>
    <s v="M03"/>
    <s v="General Fund"/>
    <n v="87942.38"/>
  </r>
  <r>
    <x v="1"/>
    <x v="7"/>
    <x v="34"/>
    <x v="34"/>
    <s v="M03"/>
    <s v="Federal Grants Fund"/>
    <n v="510356.95"/>
  </r>
  <r>
    <x v="0"/>
    <x v="5"/>
    <x v="76"/>
    <x v="76"/>
    <s v="MM3"/>
    <s v="General Fund"/>
    <n v="1588987.23"/>
  </r>
  <r>
    <x v="4"/>
    <x v="0"/>
    <x v="52"/>
    <x v="52"/>
    <s v="M03"/>
    <s v="General Fund"/>
    <n v="13764439.25"/>
  </r>
  <r>
    <x v="0"/>
    <x v="6"/>
    <x v="240"/>
    <x v="238"/>
    <s v="M04"/>
    <s v="General Fund"/>
    <n v="4755.01"/>
  </r>
  <r>
    <x v="2"/>
    <x v="0"/>
    <x v="79"/>
    <x v="79"/>
    <s v="M03"/>
    <s v="Expendable Trust Fund - External"/>
    <n v="34989.15"/>
  </r>
  <r>
    <x v="2"/>
    <x v="7"/>
    <x v="422"/>
    <x v="425"/>
    <s v="M03"/>
    <s v="General Fund"/>
    <n v="94077.57"/>
  </r>
  <r>
    <x v="1"/>
    <x v="0"/>
    <x v="339"/>
    <x v="343"/>
    <s v="MM3"/>
    <s v="General Fund"/>
    <n v="572155.19999999995"/>
  </r>
  <r>
    <x v="2"/>
    <x v="2"/>
    <x v="114"/>
    <x v="114"/>
    <s v="M03"/>
    <s v="General Fund"/>
    <n v="80000"/>
  </r>
  <r>
    <x v="0"/>
    <x v="5"/>
    <x v="209"/>
    <x v="206"/>
    <s v="MM3"/>
    <s v="General Fund"/>
    <n v="8167265.3399999999"/>
  </r>
  <r>
    <x v="2"/>
    <x v="0"/>
    <x v="115"/>
    <x v="115"/>
    <s v="M03"/>
    <s v="General Fund"/>
    <n v="133680.76"/>
  </r>
  <r>
    <x v="0"/>
    <x v="5"/>
    <x v="76"/>
    <x v="76"/>
    <s v="M03"/>
    <s v="General Fund"/>
    <n v="275168.78999999998"/>
  </r>
  <r>
    <x v="1"/>
    <x v="0"/>
    <x v="10"/>
    <x v="10"/>
    <s v="MM3"/>
    <s v="General Fund"/>
    <n v="4269649.47"/>
  </r>
  <r>
    <x v="2"/>
    <x v="3"/>
    <x v="307"/>
    <x v="310"/>
    <s v="M03"/>
    <s v="General Fund"/>
    <n v="1602993"/>
  </r>
  <r>
    <x v="0"/>
    <x v="6"/>
    <x v="301"/>
    <x v="304"/>
    <s v="M04"/>
    <s v="General Fund"/>
    <n v="420000"/>
  </r>
  <r>
    <x v="4"/>
    <x v="0"/>
    <x v="28"/>
    <x v="28"/>
    <s v="M03"/>
    <s v="General Fund"/>
    <n v="1083745.42"/>
  </r>
  <r>
    <x v="1"/>
    <x v="0"/>
    <x v="66"/>
    <x v="66"/>
    <s v="M03"/>
    <s v="Intragovernmental Services Fund"/>
    <n v="2378655.1"/>
  </r>
  <r>
    <x v="0"/>
    <x v="1"/>
    <x v="54"/>
    <x v="54"/>
    <s v="M04"/>
    <s v="General Fund"/>
    <n v="48142.92"/>
  </r>
  <r>
    <x v="1"/>
    <x v="0"/>
    <x v="48"/>
    <x v="48"/>
    <s v="M03"/>
    <s v="Expendable Trust Fund - External"/>
    <n v="0"/>
  </r>
  <r>
    <x v="1"/>
    <x v="5"/>
    <x v="361"/>
    <x v="367"/>
    <s v="MM3"/>
    <s v="General Fund"/>
    <n v="337000"/>
  </r>
  <r>
    <x v="2"/>
    <x v="0"/>
    <x v="26"/>
    <x v="26"/>
    <s v="M03"/>
    <s v="General Fund"/>
    <n v="490900.86"/>
  </r>
  <r>
    <x v="3"/>
    <x v="6"/>
    <x v="77"/>
    <x v="77"/>
    <s v="M03"/>
    <s v="Federal Grants Fund"/>
    <n v="255000"/>
  </r>
  <r>
    <x v="3"/>
    <x v="0"/>
    <x v="66"/>
    <x v="66"/>
    <s v="M03"/>
    <s v="Intragovernmental Services Fund"/>
    <n v="1177511.18"/>
  </r>
  <r>
    <x v="3"/>
    <x v="5"/>
    <x v="330"/>
    <x v="334"/>
    <s v="M04"/>
    <s v="General Fund"/>
    <n v="1926564.44"/>
  </r>
  <r>
    <x v="3"/>
    <x v="0"/>
    <x v="261"/>
    <x v="261"/>
    <s v="M03"/>
    <s v="General Fund"/>
    <n v="25701.7"/>
  </r>
  <r>
    <x v="2"/>
    <x v="6"/>
    <x v="174"/>
    <x v="171"/>
    <s v="M04"/>
    <s v="Federal Grants Fund"/>
    <n v="278459.33"/>
  </r>
  <r>
    <x v="3"/>
    <x v="6"/>
    <x v="285"/>
    <x v="287"/>
    <s v="M04"/>
    <s v="Federal Grants Fund"/>
    <n v="520063.33"/>
  </r>
  <r>
    <x v="3"/>
    <x v="2"/>
    <x v="338"/>
    <x v="342"/>
    <s v="M03"/>
    <s v="Federal Grants Fund"/>
    <n v="1658828.3"/>
  </r>
  <r>
    <x v="3"/>
    <x v="6"/>
    <x v="35"/>
    <x v="35"/>
    <s v="M03"/>
    <s v="General Fund"/>
    <n v="300000"/>
  </r>
  <r>
    <x v="3"/>
    <x v="5"/>
    <x v="67"/>
    <x v="67"/>
    <s v="M03"/>
    <s v="General Fund"/>
    <n v="1214434"/>
  </r>
  <r>
    <x v="3"/>
    <x v="6"/>
    <x v="285"/>
    <x v="287"/>
    <s v="M04"/>
    <s v="General Fund"/>
    <n v="954369.99"/>
  </r>
  <r>
    <x v="4"/>
    <x v="9"/>
    <x v="46"/>
    <x v="46"/>
    <s v="M03"/>
    <s v="General Fund"/>
    <n v="1139425.28"/>
  </r>
  <r>
    <x v="0"/>
    <x v="6"/>
    <x v="166"/>
    <x v="164"/>
    <s v="MM3"/>
    <s v="General Fund"/>
    <n v="961150"/>
  </r>
  <r>
    <x v="4"/>
    <x v="0"/>
    <x v="419"/>
    <x v="422"/>
    <s v="MM3"/>
    <s v="General Fund"/>
    <n v="220778.37"/>
  </r>
  <r>
    <x v="0"/>
    <x v="6"/>
    <x v="277"/>
    <x v="279"/>
    <s v="M03"/>
    <s v="General Fund"/>
    <n v="662085.04"/>
  </r>
  <r>
    <x v="1"/>
    <x v="3"/>
    <x v="225"/>
    <x v="223"/>
    <s v="M03"/>
    <s v="General Fund"/>
    <n v="209489.6"/>
  </r>
  <r>
    <x v="2"/>
    <x v="6"/>
    <x v="62"/>
    <x v="62"/>
    <s v="MM3"/>
    <s v="General Fund"/>
    <n v="8395134.4399999995"/>
  </r>
  <r>
    <x v="1"/>
    <x v="3"/>
    <x v="29"/>
    <x v="29"/>
    <s v="M03"/>
    <s v="General Fund"/>
    <n v="0"/>
  </r>
  <r>
    <x v="1"/>
    <x v="7"/>
    <x v="208"/>
    <x v="214"/>
    <s v="M03"/>
    <s v="Trust Fund For the Head Injury Treatment Service Fund"/>
    <n v="1351185.66"/>
  </r>
  <r>
    <x v="4"/>
    <x v="5"/>
    <x v="387"/>
    <x v="391"/>
    <s v="MM3"/>
    <s v="General Fund"/>
    <n v="9348628.5299999993"/>
  </r>
  <r>
    <x v="1"/>
    <x v="0"/>
    <x v="141"/>
    <x v="357"/>
    <s v="MM3"/>
    <s v="General Fund"/>
    <n v="73199.37"/>
  </r>
  <r>
    <x v="3"/>
    <x v="0"/>
    <x v="187"/>
    <x v="184"/>
    <s v="M04"/>
    <s v="General Fund"/>
    <n v="3000"/>
  </r>
  <r>
    <x v="0"/>
    <x v="1"/>
    <x v="395"/>
    <x v="399"/>
    <s v="M04"/>
    <s v="Federal Grants Fund"/>
    <n v="187999.45"/>
  </r>
  <r>
    <x v="0"/>
    <x v="12"/>
    <x v="319"/>
    <x v="322"/>
    <s v="M03"/>
    <s v="General Fund"/>
    <n v="37113.96"/>
  </r>
  <r>
    <x v="4"/>
    <x v="6"/>
    <x v="123"/>
    <x v="123"/>
    <s v="M04"/>
    <s v="General Fund"/>
    <n v="1532699.26"/>
  </r>
  <r>
    <x v="4"/>
    <x v="6"/>
    <x v="396"/>
    <x v="400"/>
    <s v="MM3"/>
    <s v="General Fund"/>
    <n v="1043307.17"/>
  </r>
  <r>
    <x v="4"/>
    <x v="0"/>
    <x v="11"/>
    <x v="11"/>
    <s v="M03"/>
    <s v="Intragovernmental Services Fund"/>
    <n v="579855.19999999995"/>
  </r>
  <r>
    <x v="5"/>
    <x v="0"/>
    <x v="221"/>
    <x v="219"/>
    <s v="MM3"/>
    <s v="General Fund"/>
    <n v="883327670.29999995"/>
  </r>
  <r>
    <x v="5"/>
    <x v="13"/>
    <x v="212"/>
    <x v="209"/>
    <s v="M03"/>
    <s v="General Fund"/>
    <n v="81241772.769999996"/>
  </r>
  <r>
    <x v="5"/>
    <x v="0"/>
    <x v="52"/>
    <x v="52"/>
    <s v="M03"/>
    <s v="General Fund"/>
    <n v="14045838.119999999"/>
  </r>
  <r>
    <x v="5"/>
    <x v="0"/>
    <x v="97"/>
    <x v="97"/>
    <s v="MM3"/>
    <s v="General Fund"/>
    <n v="13140091.16"/>
  </r>
  <r>
    <x v="5"/>
    <x v="7"/>
    <x v="34"/>
    <x v="34"/>
    <s v="M03"/>
    <s v="General Fund"/>
    <n v="1725378.4"/>
  </r>
  <r>
    <x v="5"/>
    <x v="0"/>
    <x v="11"/>
    <x v="11"/>
    <s v="MM3"/>
    <s v="Intragovernmental Services Fund"/>
    <n v="240688.32"/>
  </r>
  <r>
    <x v="5"/>
    <x v="6"/>
    <x v="180"/>
    <x v="177"/>
    <s v="M04"/>
    <s v="Suspense Fund"/>
    <n v="69103.81"/>
  </r>
  <r>
    <x v="5"/>
    <x v="9"/>
    <x v="410"/>
    <x v="413"/>
    <s v="M03"/>
    <s v="General Fund"/>
    <n v="7893971.7300000004"/>
  </r>
  <r>
    <x v="5"/>
    <x v="6"/>
    <x v="171"/>
    <x v="169"/>
    <s v="M03"/>
    <s v="Federal Grants Fund"/>
    <n v="582676.63"/>
  </r>
  <r>
    <x v="1"/>
    <x v="6"/>
    <x v="192"/>
    <x v="189"/>
    <s v="MM3"/>
    <s v="Federal Grants Fund"/>
    <n v="264766.56"/>
  </r>
  <r>
    <x v="5"/>
    <x v="8"/>
    <x v="17"/>
    <x v="17"/>
    <s v="M03"/>
    <s v="Federal Grants Fund"/>
    <n v="1877538.3"/>
  </r>
  <r>
    <x v="1"/>
    <x v="2"/>
    <x v="459"/>
    <x v="461"/>
    <s v="M03"/>
    <s v="General Fund"/>
    <n v="83820"/>
  </r>
  <r>
    <x v="4"/>
    <x v="0"/>
    <x v="147"/>
    <x v="256"/>
    <s v="MM3"/>
    <s v="General Fund"/>
    <n v="920973.72"/>
  </r>
  <r>
    <x v="0"/>
    <x v="8"/>
    <x v="342"/>
    <x v="347"/>
    <s v="M03"/>
    <s v="Expendable Trust Fund - External"/>
    <n v="326819.95"/>
  </r>
  <r>
    <x v="2"/>
    <x v="5"/>
    <x v="441"/>
    <x v="442"/>
    <s v="MM3"/>
    <s v="General Fund"/>
    <n v="5380"/>
  </r>
  <r>
    <x v="4"/>
    <x v="2"/>
    <x v="224"/>
    <x v="222"/>
    <s v="M03"/>
    <s v="Federal Grants Fund"/>
    <n v="1825098.4"/>
  </r>
  <r>
    <x v="4"/>
    <x v="6"/>
    <x v="345"/>
    <x v="350"/>
    <s v="M03"/>
    <s v="Federal Grants Fund"/>
    <n v="121643.02"/>
  </r>
  <r>
    <x v="4"/>
    <x v="7"/>
    <x v="294"/>
    <x v="296"/>
    <s v="M03"/>
    <s v="General Fund"/>
    <n v="305645.21000000002"/>
  </r>
  <r>
    <x v="4"/>
    <x v="6"/>
    <x v="357"/>
    <x v="363"/>
    <s v="MM3"/>
    <s v="General Fund"/>
    <n v="676564.87"/>
  </r>
  <r>
    <x v="5"/>
    <x v="0"/>
    <x v="41"/>
    <x v="41"/>
    <s v="MM3"/>
    <s v="General Fund"/>
    <n v="2066108.03"/>
  </r>
  <r>
    <x v="5"/>
    <x v="9"/>
    <x v="469"/>
    <x v="472"/>
    <s v="M03"/>
    <s v="General Fund"/>
    <n v="775974.81"/>
  </r>
  <r>
    <x v="5"/>
    <x v="6"/>
    <x v="123"/>
    <x v="123"/>
    <s v="M04"/>
    <s v="General Fund"/>
    <n v="1495029.81"/>
  </r>
  <r>
    <x v="5"/>
    <x v="0"/>
    <x v="18"/>
    <x v="18"/>
    <s v="M03"/>
    <s v="General Fund"/>
    <n v="558778.48"/>
  </r>
  <r>
    <x v="5"/>
    <x v="5"/>
    <x v="295"/>
    <x v="297"/>
    <s v="M03"/>
    <s v="Housing Preservation and Stabilizaion Fund"/>
    <n v="895963.53"/>
  </r>
  <r>
    <x v="5"/>
    <x v="0"/>
    <x v="48"/>
    <x v="48"/>
    <s v="MM3"/>
    <s v="General Fund"/>
    <n v="95604"/>
  </r>
  <r>
    <x v="5"/>
    <x v="1"/>
    <x v="259"/>
    <x v="259"/>
    <s v="M03"/>
    <s v="General Fund"/>
    <n v="52874.52"/>
  </r>
  <r>
    <x v="4"/>
    <x v="6"/>
    <x v="325"/>
    <x v="328"/>
    <s v="M04"/>
    <s v="General Fund"/>
    <n v="576844.93000000005"/>
  </r>
  <r>
    <x v="4"/>
    <x v="6"/>
    <x v="253"/>
    <x v="251"/>
    <s v="MM3"/>
    <s v="Federal Grants Fund"/>
    <n v="853480.45"/>
  </r>
  <r>
    <x v="3"/>
    <x v="5"/>
    <x v="239"/>
    <x v="237"/>
    <s v="MM3"/>
    <s v="General Fund"/>
    <n v="304194"/>
  </r>
  <r>
    <x v="3"/>
    <x v="6"/>
    <x v="226"/>
    <x v="224"/>
    <s v="MM3"/>
    <s v="Federal Grants Fund"/>
    <n v="0"/>
  </r>
  <r>
    <x v="0"/>
    <x v="6"/>
    <x v="99"/>
    <x v="99"/>
    <s v="MM3"/>
    <s v="General Fund"/>
    <n v="75000"/>
  </r>
  <r>
    <x v="1"/>
    <x v="8"/>
    <x v="331"/>
    <x v="335"/>
    <s v="M03"/>
    <s v="Federal Grants Fund"/>
    <n v="101273.95"/>
  </r>
  <r>
    <x v="4"/>
    <x v="6"/>
    <x v="83"/>
    <x v="83"/>
    <s v="MM3"/>
    <s v="Federal Grants Fund"/>
    <n v="723180.78"/>
  </r>
  <r>
    <x v="1"/>
    <x v="6"/>
    <x v="285"/>
    <x v="287"/>
    <s v="M04"/>
    <s v="General Fund"/>
    <n v="575093.01"/>
  </r>
  <r>
    <x v="0"/>
    <x v="6"/>
    <x v="170"/>
    <x v="168"/>
    <s v="M04"/>
    <s v="Federal Grants Fund"/>
    <n v="140349.16"/>
  </r>
  <r>
    <x v="1"/>
    <x v="7"/>
    <x v="446"/>
    <x v="448"/>
    <s v="M03"/>
    <s v="General Fund"/>
    <n v="12724.02"/>
  </r>
  <r>
    <x v="0"/>
    <x v="0"/>
    <x v="57"/>
    <x v="57"/>
    <s v="M03"/>
    <s v="Expendable Trust Fund - External"/>
    <n v="0"/>
  </r>
  <r>
    <x v="2"/>
    <x v="0"/>
    <x v="52"/>
    <x v="52"/>
    <s v="M03"/>
    <s v="Expendable Trust Fund - External"/>
    <n v="0"/>
  </r>
  <r>
    <x v="4"/>
    <x v="0"/>
    <x v="178"/>
    <x v="175"/>
    <s v="MM3"/>
    <s v="General Fund"/>
    <n v="202745"/>
  </r>
  <r>
    <x v="4"/>
    <x v="1"/>
    <x v="392"/>
    <x v="396"/>
    <s v="M03"/>
    <s v="General Fund"/>
    <n v="26937.35"/>
  </r>
  <r>
    <x v="4"/>
    <x v="6"/>
    <x v="170"/>
    <x v="168"/>
    <s v="M04"/>
    <s v="General Fund"/>
    <n v="825467.26"/>
  </r>
  <r>
    <x v="4"/>
    <x v="9"/>
    <x v="407"/>
    <x v="410"/>
    <s v="M03"/>
    <s v="General Fund"/>
    <n v="30941.25"/>
  </r>
  <r>
    <x v="1"/>
    <x v="0"/>
    <x v="105"/>
    <x v="105"/>
    <s v="M04"/>
    <s v="General Fund"/>
    <n v="279445.89"/>
  </r>
  <r>
    <x v="5"/>
    <x v="0"/>
    <x v="150"/>
    <x v="149"/>
    <s v="MM3"/>
    <s v="General Fund"/>
    <n v="178303.99"/>
  </r>
  <r>
    <x v="5"/>
    <x v="7"/>
    <x v="326"/>
    <x v="330"/>
    <s v="M03"/>
    <s v="Federal Grants Fund"/>
    <n v="49675.64"/>
  </r>
  <r>
    <x v="5"/>
    <x v="0"/>
    <x v="167"/>
    <x v="165"/>
    <s v="M04"/>
    <s v="General Fund"/>
    <n v="618133.06999999995"/>
  </r>
  <r>
    <x v="5"/>
    <x v="10"/>
    <x v="232"/>
    <x v="229"/>
    <s v="M04"/>
    <s v="General Fund"/>
    <n v="586178.54"/>
  </r>
  <r>
    <x v="1"/>
    <x v="5"/>
    <x v="362"/>
    <x v="368"/>
    <s v="MM3"/>
    <s v="Expendable Trust Fund - External"/>
    <n v="935934.37"/>
  </r>
  <r>
    <x v="1"/>
    <x v="6"/>
    <x v="252"/>
    <x v="250"/>
    <s v="MM3"/>
    <s v="General Fund"/>
    <n v="1094006.82"/>
  </r>
  <r>
    <x v="4"/>
    <x v="6"/>
    <x v="289"/>
    <x v="291"/>
    <s v="M04"/>
    <s v="Federal Grants Fund"/>
    <n v="0"/>
  </r>
  <r>
    <x v="2"/>
    <x v="6"/>
    <x v="237"/>
    <x v="235"/>
    <s v="MM3"/>
    <s v="Substance Abuse Services Fund"/>
    <n v="1200000"/>
  </r>
  <r>
    <x v="1"/>
    <x v="6"/>
    <x v="204"/>
    <x v="201"/>
    <s v="M04"/>
    <s v="General Fund"/>
    <n v="47921.63"/>
  </r>
  <r>
    <x v="3"/>
    <x v="1"/>
    <x v="14"/>
    <x v="14"/>
    <s v="MM3"/>
    <s v="Federal Grants Fund"/>
    <n v="1055.24"/>
  </r>
  <r>
    <x v="5"/>
    <x v="6"/>
    <x v="285"/>
    <x v="287"/>
    <s v="M04"/>
    <s v="Federal Grants Fund"/>
    <n v="236623.74"/>
  </r>
  <r>
    <x v="1"/>
    <x v="5"/>
    <x v="94"/>
    <x v="94"/>
    <s v="MM3"/>
    <s v="Expendable Trust Fund - External"/>
    <n v="69316.55"/>
  </r>
  <r>
    <x v="1"/>
    <x v="6"/>
    <x v="226"/>
    <x v="224"/>
    <s v="MM3"/>
    <s v="General Fund"/>
    <n v="11914.79"/>
  </r>
  <r>
    <x v="4"/>
    <x v="11"/>
    <x v="376"/>
    <x v="381"/>
    <s v="M04"/>
    <s v="Community First Trust Fund - Non-Budgeted"/>
    <n v="854001"/>
  </r>
  <r>
    <x v="0"/>
    <x v="6"/>
    <x v="253"/>
    <x v="251"/>
    <s v="MM3"/>
    <s v="Federal Grants Fund"/>
    <n v="986250.62"/>
  </r>
  <r>
    <x v="0"/>
    <x v="1"/>
    <x v="14"/>
    <x v="14"/>
    <s v="MM3"/>
    <s v="Federal Grants Fund"/>
    <n v="531.16999999999996"/>
  </r>
  <r>
    <x v="2"/>
    <x v="0"/>
    <x v="315"/>
    <x v="318"/>
    <s v="MM3"/>
    <s v="General Fund"/>
    <n v="34869.379999999997"/>
  </r>
  <r>
    <x v="4"/>
    <x v="9"/>
    <x v="469"/>
    <x v="472"/>
    <s v="M03"/>
    <s v="General Fund"/>
    <n v="451748.88"/>
  </r>
  <r>
    <x v="5"/>
    <x v="0"/>
    <x v="41"/>
    <x v="41"/>
    <s v="MM3"/>
    <s v="Money Follows the Person Rebalancing Demonstration Grant Tr"/>
    <n v="34837.64"/>
  </r>
  <r>
    <x v="5"/>
    <x v="6"/>
    <x v="226"/>
    <x v="224"/>
    <s v="MM3"/>
    <s v="General Fund"/>
    <n v="21260"/>
  </r>
  <r>
    <x v="3"/>
    <x v="0"/>
    <x v="25"/>
    <x v="25"/>
    <s v="MM3"/>
    <s v="Expendable Trust Fund - External"/>
    <n v="-13455"/>
  </r>
  <r>
    <x v="2"/>
    <x v="2"/>
    <x v="347"/>
    <x v="352"/>
    <s v="M03"/>
    <s v="General Fund"/>
    <n v="317049.95"/>
  </r>
  <r>
    <x v="1"/>
    <x v="6"/>
    <x v="226"/>
    <x v="224"/>
    <s v="M04"/>
    <s v="Federal Grants Fund"/>
    <n v="14686.08"/>
  </r>
  <r>
    <x v="4"/>
    <x v="7"/>
    <x v="127"/>
    <x v="127"/>
    <s v="M03"/>
    <s v="Federal Grants Fund"/>
    <n v="2190.7199999999998"/>
  </r>
  <r>
    <x v="2"/>
    <x v="6"/>
    <x v="194"/>
    <x v="191"/>
    <s v="MM3"/>
    <s v="Federal Grants Fund"/>
    <n v="32249"/>
  </r>
  <r>
    <x v="0"/>
    <x v="0"/>
    <x v="31"/>
    <x v="31"/>
    <s v="M03"/>
    <s v="General Fund"/>
    <n v="0"/>
  </r>
  <r>
    <x v="4"/>
    <x v="6"/>
    <x v="35"/>
    <x v="35"/>
    <s v="MM3"/>
    <s v="Federal Grants Fund"/>
    <n v="0"/>
  </r>
  <r>
    <x v="5"/>
    <x v="2"/>
    <x v="282"/>
    <x v="284"/>
    <s v="M03"/>
    <s v="Federal Grants Fund"/>
    <n v="0"/>
  </r>
  <r>
    <x v="0"/>
    <x v="6"/>
    <x v="166"/>
    <x v="164"/>
    <s v="M04"/>
    <s v="General Fund"/>
    <n v="100000"/>
  </r>
  <r>
    <x v="3"/>
    <x v="6"/>
    <x v="170"/>
    <x v="168"/>
    <s v="M04"/>
    <s v="Federal Grants Fund"/>
    <n v="82999.960000000006"/>
  </r>
  <r>
    <x v="2"/>
    <x v="0"/>
    <x v="53"/>
    <x v="53"/>
    <s v="M03"/>
    <s v="Expendable Trust Fund - External"/>
    <n v="17691.169999999998"/>
  </r>
  <r>
    <x v="4"/>
    <x v="6"/>
    <x v="191"/>
    <x v="188"/>
    <s v="MM3"/>
    <s v="Federal Grants Fund"/>
    <n v="159593.73000000001"/>
  </r>
  <r>
    <x v="5"/>
    <x v="7"/>
    <x v="198"/>
    <x v="195"/>
    <s v="M03"/>
    <s v="General Fund"/>
    <n v="34000"/>
  </r>
  <r>
    <x v="5"/>
    <x v="0"/>
    <x v="105"/>
    <x v="105"/>
    <s v="M03"/>
    <s v="General Fund"/>
    <n v="0"/>
  </r>
  <r>
    <x v="5"/>
    <x v="0"/>
    <x v="44"/>
    <x v="44"/>
    <s v="M03"/>
    <s v="General Fund"/>
    <n v="7478.08"/>
  </r>
  <r>
    <x v="5"/>
    <x v="6"/>
    <x v="118"/>
    <x v="118"/>
    <s v="M04"/>
    <s v="General Fund"/>
    <n v="168123.92"/>
  </r>
  <r>
    <x v="3"/>
    <x v="6"/>
    <x v="476"/>
    <x v="480"/>
    <s v="M04"/>
    <s v="General Fund"/>
    <n v="656000"/>
  </r>
  <r>
    <x v="4"/>
    <x v="5"/>
    <x v="5"/>
    <x v="5"/>
    <s v="M03"/>
    <s v="General Fund"/>
    <n v="0"/>
  </r>
  <r>
    <x v="5"/>
    <x v="6"/>
    <x v="170"/>
    <x v="168"/>
    <s v="M04"/>
    <s v="General Fund"/>
    <n v="0"/>
  </r>
  <r>
    <x v="0"/>
    <x v="0"/>
    <x v="65"/>
    <x v="65"/>
    <s v="M03"/>
    <s v="General Fund"/>
    <n v="1020"/>
  </r>
  <r>
    <x v="4"/>
    <x v="0"/>
    <x v="84"/>
    <x v="84"/>
    <s v="M03"/>
    <s v="General Fund"/>
    <n v="0"/>
  </r>
  <r>
    <x v="1"/>
    <x v="9"/>
    <x v="293"/>
    <x v="295"/>
    <s v="M03"/>
    <s v="General Fund"/>
    <n v="13078"/>
  </r>
  <r>
    <x v="0"/>
    <x v="6"/>
    <x v="71"/>
    <x v="71"/>
    <s v="M04"/>
    <s v="Federal Grants Fund"/>
    <n v="10328.81"/>
  </r>
  <r>
    <x v="0"/>
    <x v="0"/>
    <x v="273"/>
    <x v="274"/>
    <s v="M03"/>
    <s v="Expendable Trust Fund - External"/>
    <n v="0"/>
  </r>
  <r>
    <x v="1"/>
    <x v="0"/>
    <x v="193"/>
    <x v="190"/>
    <s v="M03"/>
    <s v="General Fund"/>
    <n v="0"/>
  </r>
  <r>
    <x v="3"/>
    <x v="5"/>
    <x v="362"/>
    <x v="368"/>
    <s v="MM3"/>
    <s v="General Fund"/>
    <n v="0"/>
  </r>
  <r>
    <x v="4"/>
    <x v="6"/>
    <x v="305"/>
    <x v="308"/>
    <s v="M04"/>
    <s v="Federal Grants Fund"/>
    <n v="23598.75"/>
  </r>
  <r>
    <x v="0"/>
    <x v="0"/>
    <x v="104"/>
    <x v="104"/>
    <s v="MM3"/>
    <s v="Expendable Trust Fund - External"/>
    <n v="0"/>
  </r>
  <r>
    <x v="4"/>
    <x v="16"/>
    <x v="310"/>
    <x v="313"/>
    <s v="M04"/>
    <s v="Federal Highway Construction Program Capital Projects Fund"/>
    <n v="-104769.9"/>
  </r>
  <r>
    <x v="3"/>
    <x v="0"/>
    <x v="103"/>
    <x v="103"/>
    <s v="M04"/>
    <s v="Expendable Trust Fund - External"/>
    <n v="0"/>
  </r>
  <r>
    <x v="0"/>
    <x v="0"/>
    <x v="186"/>
    <x v="183"/>
    <s v="M04"/>
    <s v="Expendable Trust Fund - External"/>
    <n v="0"/>
  </r>
  <r>
    <x v="1"/>
    <x v="6"/>
    <x v="477"/>
    <x v="481"/>
    <s v="M04"/>
    <s v="General Fund"/>
    <n v="0"/>
  </r>
  <r>
    <x v="2"/>
    <x v="0"/>
    <x v="273"/>
    <x v="274"/>
    <s v="M03"/>
    <s v="General Fund"/>
    <n v="14978418.710000001"/>
  </r>
  <r>
    <x v="0"/>
    <x v="3"/>
    <x v="27"/>
    <x v="27"/>
    <s v="M03"/>
    <s v="General Fund"/>
    <n v="10487131.880000001"/>
  </r>
  <r>
    <x v="0"/>
    <x v="0"/>
    <x v="121"/>
    <x v="121"/>
    <s v="M03"/>
    <s v="General Fund"/>
    <n v="23138912.84"/>
  </r>
  <r>
    <x v="0"/>
    <x v="6"/>
    <x v="263"/>
    <x v="263"/>
    <s v="MM3"/>
    <s v="Federal Grants Fund"/>
    <n v="1234780.03"/>
  </r>
  <r>
    <x v="2"/>
    <x v="5"/>
    <x v="5"/>
    <x v="5"/>
    <s v="MM3"/>
    <s v="General Fund"/>
    <n v="242454727.36000001"/>
  </r>
  <r>
    <x v="3"/>
    <x v="2"/>
    <x v="2"/>
    <x v="2"/>
    <s v="M03"/>
    <s v="General Fund"/>
    <n v="7159943.3600000003"/>
  </r>
  <r>
    <x v="3"/>
    <x v="7"/>
    <x v="363"/>
    <x v="20"/>
    <s v="M03"/>
    <s v="General Fund"/>
    <n v="393289.48"/>
  </r>
  <r>
    <x v="3"/>
    <x v="5"/>
    <x v="130"/>
    <x v="233"/>
    <s v="MM3"/>
    <s v="General Fund"/>
    <n v="9738986.1400000006"/>
  </r>
  <r>
    <x v="3"/>
    <x v="0"/>
    <x v="223"/>
    <x v="221"/>
    <s v="MM3"/>
    <s v="General Fund"/>
    <n v="4406816.58"/>
  </r>
  <r>
    <x v="3"/>
    <x v="0"/>
    <x v="260"/>
    <x v="260"/>
    <s v="M03"/>
    <s v="General Fund"/>
    <n v="415608.94"/>
  </r>
  <r>
    <x v="4"/>
    <x v="0"/>
    <x v="121"/>
    <x v="121"/>
    <s v="MM3"/>
    <s v="General Fund"/>
    <n v="33346546.969999999"/>
  </r>
  <r>
    <x v="1"/>
    <x v="3"/>
    <x v="404"/>
    <x v="407"/>
    <s v="M03"/>
    <s v="General Fund"/>
    <n v="52912881.350000001"/>
  </r>
  <r>
    <x v="2"/>
    <x v="7"/>
    <x v="238"/>
    <x v="236"/>
    <s v="M03"/>
    <s v="Trust Fund For the Head Injury Treatment Service Fund"/>
    <n v="2020409.67"/>
  </r>
  <r>
    <x v="2"/>
    <x v="3"/>
    <x v="7"/>
    <x v="7"/>
    <s v="M03"/>
    <s v="General Fund"/>
    <n v="67058727.399999999"/>
  </r>
  <r>
    <x v="1"/>
    <x v="0"/>
    <x v="97"/>
    <x v="97"/>
    <s v="MM3"/>
    <s v="General Fund"/>
    <n v="10169025.82"/>
  </r>
  <r>
    <x v="0"/>
    <x v="6"/>
    <x v="345"/>
    <x v="350"/>
    <s v="M03"/>
    <s v="Federal Grants Fund"/>
    <n v="135374.6"/>
  </r>
  <r>
    <x v="0"/>
    <x v="7"/>
    <x v="208"/>
    <x v="214"/>
    <s v="M03"/>
    <s v="General Fund"/>
    <n v="818480.27"/>
  </r>
  <r>
    <x v="2"/>
    <x v="5"/>
    <x v="214"/>
    <x v="211"/>
    <s v="MM3"/>
    <s v="Federal Grants Fund"/>
    <n v="207663.95"/>
  </r>
  <r>
    <x v="1"/>
    <x v="6"/>
    <x v="82"/>
    <x v="82"/>
    <s v="MM3"/>
    <s v="General Fund"/>
    <n v="4977881.6399999997"/>
  </r>
  <r>
    <x v="3"/>
    <x v="6"/>
    <x v="99"/>
    <x v="99"/>
    <s v="M04"/>
    <s v="Federal Grants Fund"/>
    <n v="2972020.75"/>
  </r>
  <r>
    <x v="3"/>
    <x v="7"/>
    <x v="34"/>
    <x v="34"/>
    <s v="M03"/>
    <s v="General Fund"/>
    <n v="1645519.84"/>
  </r>
  <r>
    <x v="1"/>
    <x v="0"/>
    <x v="0"/>
    <x v="0"/>
    <s v="M03"/>
    <s v="General Fund"/>
    <n v="17034233.469999999"/>
  </r>
  <r>
    <x v="2"/>
    <x v="0"/>
    <x v="154"/>
    <x v="475"/>
    <s v="MM3"/>
    <s v="General Fund"/>
    <n v="22544878.609999999"/>
  </r>
  <r>
    <x v="2"/>
    <x v="9"/>
    <x v="410"/>
    <x v="443"/>
    <s v="M03"/>
    <s v="General Fund"/>
    <n v="5718209.8899999997"/>
  </r>
  <r>
    <x v="4"/>
    <x v="5"/>
    <x v="447"/>
    <x v="449"/>
    <s v="MM3"/>
    <s v="General Fund"/>
    <n v="6086152.9400000004"/>
  </r>
  <r>
    <x v="3"/>
    <x v="0"/>
    <x v="150"/>
    <x v="149"/>
    <s v="M04"/>
    <s v="General Fund"/>
    <n v="533910.06999999995"/>
  </r>
  <r>
    <x v="1"/>
    <x v="7"/>
    <x v="327"/>
    <x v="331"/>
    <s v="M03"/>
    <s v="Federal Grants Fund"/>
    <n v="5004416.3099999996"/>
  </r>
  <r>
    <x v="1"/>
    <x v="0"/>
    <x v="11"/>
    <x v="11"/>
    <s v="M03"/>
    <s v="Intragovernmental Services Fund"/>
    <n v="605322.48"/>
  </r>
  <r>
    <x v="3"/>
    <x v="6"/>
    <x v="350"/>
    <x v="355"/>
    <s v="M03"/>
    <s v="Federal Grants Fund"/>
    <n v="701792.88"/>
  </r>
  <r>
    <x v="3"/>
    <x v="0"/>
    <x v="246"/>
    <x v="244"/>
    <s v="MM3"/>
    <s v="General Fund"/>
    <n v="279271.3"/>
  </r>
  <r>
    <x v="0"/>
    <x v="6"/>
    <x v="95"/>
    <x v="95"/>
    <s v="MM3"/>
    <s v="Federal Grants Fund"/>
    <n v="4910967.03"/>
  </r>
  <r>
    <x v="1"/>
    <x v="5"/>
    <x v="390"/>
    <x v="394"/>
    <s v="MM3"/>
    <s v="General Fund"/>
    <n v="6958409.6299999999"/>
  </r>
  <r>
    <x v="0"/>
    <x v="6"/>
    <x v="95"/>
    <x v="95"/>
    <s v="MM3"/>
    <s v="General Fund"/>
    <n v="13294386.970000001"/>
  </r>
  <r>
    <x v="1"/>
    <x v="7"/>
    <x v="478"/>
    <x v="482"/>
    <s v="M03"/>
    <s v="General Fund"/>
    <n v="0"/>
  </r>
  <r>
    <x v="1"/>
    <x v="2"/>
    <x v="429"/>
    <x v="432"/>
    <s v="M03"/>
    <s v="Federal Grants Fund"/>
    <n v="37043.1"/>
  </r>
  <r>
    <x v="0"/>
    <x v="6"/>
    <x v="356"/>
    <x v="362"/>
    <s v="M04"/>
    <s v="Federal Grants Fund"/>
    <n v="874542.78"/>
  </r>
  <r>
    <x v="2"/>
    <x v="5"/>
    <x v="76"/>
    <x v="76"/>
    <s v="MM3"/>
    <s v="Federal Grants Fund"/>
    <n v="741505.57"/>
  </r>
  <r>
    <x v="0"/>
    <x v="5"/>
    <x v="138"/>
    <x v="137"/>
    <s v="MM3"/>
    <s v="General Fund"/>
    <n v="3590447.6"/>
  </r>
  <r>
    <x v="2"/>
    <x v="5"/>
    <x v="188"/>
    <x v="185"/>
    <s v="MM3"/>
    <s v="General Fund"/>
    <n v="11201007.77"/>
  </r>
  <r>
    <x v="2"/>
    <x v="12"/>
    <x v="124"/>
    <x v="124"/>
    <s v="M03"/>
    <s v="Federal Grants Fund"/>
    <n v="1114351.56"/>
  </r>
  <r>
    <x v="2"/>
    <x v="7"/>
    <x v="208"/>
    <x v="214"/>
    <s v="M03"/>
    <s v="General Fund"/>
    <n v="142024.07999999999"/>
  </r>
  <r>
    <x v="2"/>
    <x v="0"/>
    <x v="106"/>
    <x v="106"/>
    <s v="MM3"/>
    <s v="General Fund"/>
    <n v="1750"/>
  </r>
  <r>
    <x v="1"/>
    <x v="5"/>
    <x v="353"/>
    <x v="359"/>
    <s v="M04"/>
    <s v="General Fund"/>
    <n v="1691489.31"/>
  </r>
  <r>
    <x v="0"/>
    <x v="1"/>
    <x v="101"/>
    <x v="101"/>
    <s v="M03"/>
    <s v="General Fund"/>
    <n v="37157.4"/>
  </r>
  <r>
    <x v="2"/>
    <x v="0"/>
    <x v="66"/>
    <x v="66"/>
    <s v="MM3"/>
    <s v="Intragovernmental Services Fund"/>
    <n v="1358412.48"/>
  </r>
  <r>
    <x v="2"/>
    <x v="0"/>
    <x v="58"/>
    <x v="58"/>
    <s v="M03"/>
    <s v="General Fund"/>
    <n v="200127.84"/>
  </r>
  <r>
    <x v="2"/>
    <x v="7"/>
    <x v="268"/>
    <x v="268"/>
    <s v="M03"/>
    <s v="General Fund"/>
    <n v="5311117.58"/>
  </r>
  <r>
    <x v="0"/>
    <x v="11"/>
    <x v="316"/>
    <x v="319"/>
    <s v="M03"/>
    <s v="General Fund"/>
    <n v="9647511.4199999999"/>
  </r>
  <r>
    <x v="2"/>
    <x v="2"/>
    <x v="272"/>
    <x v="272"/>
    <s v="M03"/>
    <s v="Federal Grants Fund"/>
    <n v="5663955.8799999999"/>
  </r>
  <r>
    <x v="1"/>
    <x v="5"/>
    <x v="75"/>
    <x v="75"/>
    <s v="M03"/>
    <s v="Expendable Trust Fund - External"/>
    <n v="24950"/>
  </r>
  <r>
    <x v="1"/>
    <x v="6"/>
    <x v="357"/>
    <x v="363"/>
    <s v="MM3"/>
    <s v="General Fund"/>
    <n v="1271267.4099999999"/>
  </r>
  <r>
    <x v="0"/>
    <x v="0"/>
    <x v="115"/>
    <x v="115"/>
    <s v="M03"/>
    <s v="General Fund"/>
    <n v="153402.51999999999"/>
  </r>
  <r>
    <x v="1"/>
    <x v="9"/>
    <x v="72"/>
    <x v="72"/>
    <s v="M03"/>
    <s v="General Fund"/>
    <n v="19367186.879999999"/>
  </r>
  <r>
    <x v="2"/>
    <x v="13"/>
    <x v="475"/>
    <x v="479"/>
    <s v="M03"/>
    <s v="General Fund"/>
    <n v="5226424.29"/>
  </r>
  <r>
    <x v="2"/>
    <x v="6"/>
    <x v="263"/>
    <x v="263"/>
    <s v="MM3"/>
    <s v="Federal Grants Fund"/>
    <n v="1803287.17"/>
  </r>
  <r>
    <x v="1"/>
    <x v="6"/>
    <x v="355"/>
    <x v="361"/>
    <s v="MM3"/>
    <s v="Federal Grants Fund"/>
    <n v="623779.05000000005"/>
  </r>
  <r>
    <x v="4"/>
    <x v="0"/>
    <x v="273"/>
    <x v="274"/>
    <s v="M03"/>
    <s v="General Fund"/>
    <n v="3551496.8"/>
  </r>
  <r>
    <x v="4"/>
    <x v="7"/>
    <x v="329"/>
    <x v="333"/>
    <s v="M03"/>
    <s v="General Fund"/>
    <n v="2692767.67"/>
  </r>
  <r>
    <x v="1"/>
    <x v="7"/>
    <x v="208"/>
    <x v="214"/>
    <s v="M04"/>
    <s v="General Fund"/>
    <n v="78465.45"/>
  </r>
  <r>
    <x v="1"/>
    <x v="0"/>
    <x v="52"/>
    <x v="52"/>
    <s v="MM3"/>
    <s v="Expendable Trust Fund - External"/>
    <n v="0"/>
  </r>
  <r>
    <x v="4"/>
    <x v="5"/>
    <x v="188"/>
    <x v="185"/>
    <s v="MM3"/>
    <s v="General Fund"/>
    <n v="14009084.83"/>
  </r>
  <r>
    <x v="2"/>
    <x v="7"/>
    <x v="40"/>
    <x v="40"/>
    <s v="M03"/>
    <s v="General Fund"/>
    <n v="734216.59"/>
  </r>
  <r>
    <x v="1"/>
    <x v="2"/>
    <x v="338"/>
    <x v="342"/>
    <s v="M03"/>
    <s v="Federal Grants Fund"/>
    <n v="2572729.06"/>
  </r>
  <r>
    <x v="4"/>
    <x v="5"/>
    <x v="424"/>
    <x v="427"/>
    <s v="MM3"/>
    <s v="General Fund"/>
    <n v="968446.82"/>
  </r>
  <r>
    <x v="1"/>
    <x v="6"/>
    <x v="237"/>
    <x v="235"/>
    <s v="MM3"/>
    <s v="General Fund"/>
    <n v="3511004.64"/>
  </r>
  <r>
    <x v="2"/>
    <x v="3"/>
    <x v="89"/>
    <x v="89"/>
    <s v="M04"/>
    <s v="General Fund"/>
    <n v="149820.04"/>
  </r>
  <r>
    <x v="1"/>
    <x v="3"/>
    <x v="3"/>
    <x v="3"/>
    <s v="M03"/>
    <s v="Federal Grants Fund"/>
    <n v="267542.11"/>
  </r>
  <r>
    <x v="2"/>
    <x v="3"/>
    <x v="113"/>
    <x v="113"/>
    <s v="M04"/>
    <s v="General Fund"/>
    <n v="0"/>
  </r>
  <r>
    <x v="4"/>
    <x v="7"/>
    <x v="327"/>
    <x v="331"/>
    <s v="M03"/>
    <s v="Federal Grants Fund"/>
    <n v="0"/>
  </r>
  <r>
    <x v="1"/>
    <x v="0"/>
    <x v="202"/>
    <x v="199"/>
    <s v="MM3"/>
    <s v="General Fund"/>
    <n v="22729.84"/>
  </r>
  <r>
    <x v="2"/>
    <x v="7"/>
    <x v="446"/>
    <x v="448"/>
    <s v="M03"/>
    <s v="General Fund"/>
    <n v="96594.83"/>
  </r>
  <r>
    <x v="2"/>
    <x v="7"/>
    <x v="271"/>
    <x v="271"/>
    <s v="M03"/>
    <s v="General Fund"/>
    <n v="834218.24"/>
  </r>
  <r>
    <x v="2"/>
    <x v="0"/>
    <x v="186"/>
    <x v="183"/>
    <s v="M03"/>
    <s v="General Fund"/>
    <n v="1604103.92"/>
  </r>
  <r>
    <x v="0"/>
    <x v="5"/>
    <x v="242"/>
    <x v="240"/>
    <s v="MM3"/>
    <s v="Federal Grants Fund"/>
    <n v="534244.62"/>
  </r>
  <r>
    <x v="2"/>
    <x v="5"/>
    <x v="12"/>
    <x v="12"/>
    <s v="MM3"/>
    <s v="General Fund"/>
    <n v="14930523.84"/>
  </r>
  <r>
    <x v="0"/>
    <x v="5"/>
    <x v="133"/>
    <x v="133"/>
    <s v="MM3"/>
    <s v="General Fund"/>
    <n v="0"/>
  </r>
  <r>
    <x v="0"/>
    <x v="1"/>
    <x v="1"/>
    <x v="1"/>
    <s v="M03"/>
    <s v="General Fund"/>
    <n v="64935.16"/>
  </r>
  <r>
    <x v="1"/>
    <x v="6"/>
    <x v="357"/>
    <x v="363"/>
    <s v="MM3"/>
    <s v="Federal Grants Fund"/>
    <n v="178355.47"/>
  </r>
  <r>
    <x v="3"/>
    <x v="0"/>
    <x v="88"/>
    <x v="88"/>
    <s v="M04"/>
    <s v="Intragovernmental Services Fund"/>
    <n v="170003.76"/>
  </r>
  <r>
    <x v="3"/>
    <x v="5"/>
    <x v="214"/>
    <x v="286"/>
    <s v="MM3"/>
    <s v="General Fund"/>
    <n v="3370328.54"/>
  </r>
  <r>
    <x v="3"/>
    <x v="0"/>
    <x v="126"/>
    <x v="126"/>
    <s v="MM3"/>
    <s v="General Fund"/>
    <n v="191798.15"/>
  </r>
  <r>
    <x v="2"/>
    <x v="10"/>
    <x v="385"/>
    <x v="389"/>
    <s v="M04"/>
    <s v="General Fund"/>
    <n v="46508707.82"/>
  </r>
  <r>
    <x v="0"/>
    <x v="1"/>
    <x v="157"/>
    <x v="156"/>
    <s v="M03"/>
    <s v="General Fund"/>
    <n v="7450"/>
  </r>
  <r>
    <x v="2"/>
    <x v="0"/>
    <x v="189"/>
    <x v="186"/>
    <s v="MM3"/>
    <s v="General Fund"/>
    <n v="325627.92"/>
  </r>
  <r>
    <x v="3"/>
    <x v="7"/>
    <x v="55"/>
    <x v="55"/>
    <s v="M03"/>
    <s v="Trust Fund For the Head Injury Treatment Service Fund"/>
    <n v="6232.5"/>
  </r>
  <r>
    <x v="3"/>
    <x v="6"/>
    <x v="252"/>
    <x v="253"/>
    <s v="M03"/>
    <s v="General Fund"/>
    <n v="2698563.92"/>
  </r>
  <r>
    <x v="3"/>
    <x v="0"/>
    <x v="419"/>
    <x v="422"/>
    <s v="MM3"/>
    <s v="General Fund"/>
    <n v="222269.4"/>
  </r>
  <r>
    <x v="0"/>
    <x v="6"/>
    <x v="324"/>
    <x v="327"/>
    <s v="M03"/>
    <s v="General Fund"/>
    <n v="336853.26"/>
  </r>
  <r>
    <x v="3"/>
    <x v="5"/>
    <x v="94"/>
    <x v="94"/>
    <s v="M04"/>
    <s v="General Fund"/>
    <n v="627856.68000000005"/>
  </r>
  <r>
    <x v="1"/>
    <x v="7"/>
    <x v="120"/>
    <x v="120"/>
    <s v="M03"/>
    <s v="General Fund"/>
    <n v="0"/>
  </r>
  <r>
    <x v="2"/>
    <x v="6"/>
    <x v="35"/>
    <x v="35"/>
    <s v="MM3"/>
    <s v="Federal Grants Fund"/>
    <n v="279902.90999999997"/>
  </r>
  <r>
    <x v="2"/>
    <x v="0"/>
    <x v="336"/>
    <x v="340"/>
    <s v="M03"/>
    <s v="General Fund"/>
    <n v="221449.56"/>
  </r>
  <r>
    <x v="1"/>
    <x v="0"/>
    <x v="369"/>
    <x v="374"/>
    <s v="M03"/>
    <s v="General Fund"/>
    <n v="26668.04"/>
  </r>
  <r>
    <x v="3"/>
    <x v="6"/>
    <x v="252"/>
    <x v="253"/>
    <s v="MM3"/>
    <s v="General Fund"/>
    <n v="621047.21"/>
  </r>
  <r>
    <x v="4"/>
    <x v="6"/>
    <x v="252"/>
    <x v="250"/>
    <s v="MM3"/>
    <s v="General Fund"/>
    <n v="1167081.08"/>
  </r>
  <r>
    <x v="0"/>
    <x v="3"/>
    <x v="307"/>
    <x v="310"/>
    <s v="M03"/>
    <s v="General Fund"/>
    <n v="1625430"/>
  </r>
  <r>
    <x v="0"/>
    <x v="3"/>
    <x v="302"/>
    <x v="305"/>
    <s v="MM3"/>
    <s v="General Fund"/>
    <n v="226799.88"/>
  </r>
  <r>
    <x v="3"/>
    <x v="6"/>
    <x v="37"/>
    <x v="37"/>
    <s v="MM3"/>
    <s v="Federal Grants Fund"/>
    <n v="281546.71000000002"/>
  </r>
  <r>
    <x v="0"/>
    <x v="0"/>
    <x v="167"/>
    <x v="165"/>
    <s v="M04"/>
    <s v="General Fund"/>
    <n v="662152.9"/>
  </r>
  <r>
    <x v="4"/>
    <x v="6"/>
    <x v="274"/>
    <x v="275"/>
    <s v="MM3"/>
    <s v="General Fund"/>
    <n v="728561.34"/>
  </r>
  <r>
    <x v="5"/>
    <x v="13"/>
    <x v="132"/>
    <x v="132"/>
    <s v="M03"/>
    <s v="General Fund"/>
    <n v="62434603.75"/>
  </r>
  <r>
    <x v="5"/>
    <x v="0"/>
    <x v="41"/>
    <x v="41"/>
    <s v="M03"/>
    <s v="General Fund"/>
    <n v="3454792.94"/>
  </r>
  <r>
    <x v="5"/>
    <x v="3"/>
    <x v="113"/>
    <x v="113"/>
    <s v="M04"/>
    <s v="Federal Grants Fund"/>
    <n v="301008.95"/>
  </r>
  <r>
    <x v="2"/>
    <x v="7"/>
    <x v="294"/>
    <x v="296"/>
    <s v="M03"/>
    <s v="Federal Grants Fund"/>
    <n v="149423.28"/>
  </r>
  <r>
    <x v="5"/>
    <x v="8"/>
    <x v="406"/>
    <x v="409"/>
    <s v="M03"/>
    <s v="Federal Grants Fund"/>
    <n v="622170.68000000005"/>
  </r>
  <r>
    <x v="0"/>
    <x v="5"/>
    <x v="270"/>
    <x v="270"/>
    <s v="MM3"/>
    <s v="General Fund"/>
    <n v="646623.69999999995"/>
  </r>
  <r>
    <x v="5"/>
    <x v="0"/>
    <x v="88"/>
    <x v="88"/>
    <s v="MM3"/>
    <s v="General Fund"/>
    <n v="8997444.3699999992"/>
  </r>
  <r>
    <x v="1"/>
    <x v="1"/>
    <x v="90"/>
    <x v="90"/>
    <s v="M03"/>
    <s v="Federal Grants Fund"/>
    <n v="63699.06"/>
  </r>
  <r>
    <x v="4"/>
    <x v="6"/>
    <x v="8"/>
    <x v="8"/>
    <s v="M03"/>
    <s v="General Fund"/>
    <n v="10166555"/>
  </r>
  <r>
    <x v="4"/>
    <x v="10"/>
    <x v="68"/>
    <x v="68"/>
    <s v="M03"/>
    <s v="Housing Preservation and Stabilizaion Fund"/>
    <n v="0"/>
  </r>
  <r>
    <x v="0"/>
    <x v="0"/>
    <x v="217"/>
    <x v="215"/>
    <s v="M03"/>
    <s v="Expendable Trust Fund - External"/>
    <n v="0"/>
  </r>
  <r>
    <x v="2"/>
    <x v="6"/>
    <x v="334"/>
    <x v="338"/>
    <s v="M04"/>
    <s v="Federal Grants Fund"/>
    <n v="97376"/>
  </r>
  <r>
    <x v="4"/>
    <x v="6"/>
    <x v="62"/>
    <x v="62"/>
    <s v="MM3"/>
    <s v="Federal Grants Fund"/>
    <n v="1089759.04"/>
  </r>
  <r>
    <x v="2"/>
    <x v="6"/>
    <x v="408"/>
    <x v="411"/>
    <s v="M03"/>
    <s v="General Fund"/>
    <n v="855371.33"/>
  </r>
  <r>
    <x v="1"/>
    <x v="10"/>
    <x v="68"/>
    <x v="68"/>
    <s v="M03"/>
    <s v="Housing Preservation and Stabilizaion Fund"/>
    <n v="2142819.4"/>
  </r>
  <r>
    <x v="1"/>
    <x v="6"/>
    <x v="170"/>
    <x v="168"/>
    <s v="M04"/>
    <s v="Federal Grants Fund"/>
    <n v="106592.42"/>
  </r>
  <r>
    <x v="2"/>
    <x v="5"/>
    <x v="74"/>
    <x v="74"/>
    <s v="MM3"/>
    <s v="General Fund"/>
    <n v="235157.52"/>
  </r>
  <r>
    <x v="1"/>
    <x v="3"/>
    <x v="373"/>
    <x v="378"/>
    <s v="M03"/>
    <s v="General Fund"/>
    <n v="0"/>
  </r>
  <r>
    <x v="4"/>
    <x v="0"/>
    <x v="103"/>
    <x v="103"/>
    <s v="M04"/>
    <s v="General Fund"/>
    <n v="814463.62"/>
  </r>
  <r>
    <x v="4"/>
    <x v="8"/>
    <x v="45"/>
    <x v="45"/>
    <s v="M03"/>
    <s v="Federal Grants Fund"/>
    <n v="504015.35"/>
  </r>
  <r>
    <x v="4"/>
    <x v="0"/>
    <x v="88"/>
    <x v="88"/>
    <s v="MM3"/>
    <s v="General Fund"/>
    <n v="9046001.1899999995"/>
  </r>
  <r>
    <x v="4"/>
    <x v="15"/>
    <x v="275"/>
    <x v="276"/>
    <s v="M03"/>
    <s v="General Fund"/>
    <n v="1494450.68"/>
  </r>
  <r>
    <x v="5"/>
    <x v="7"/>
    <x v="271"/>
    <x v="271"/>
    <s v="M03"/>
    <s v="General Fund"/>
    <n v="1070330.8500000001"/>
  </r>
  <r>
    <x v="5"/>
    <x v="0"/>
    <x v="479"/>
    <x v="483"/>
    <s v="MM3"/>
    <s v="General Fund"/>
    <n v="16287.75"/>
  </r>
  <r>
    <x v="5"/>
    <x v="5"/>
    <x v="242"/>
    <x v="240"/>
    <s v="MM3"/>
    <s v="General Fund"/>
    <n v="474035.65"/>
  </r>
  <r>
    <x v="5"/>
    <x v="5"/>
    <x v="75"/>
    <x v="75"/>
    <s v="M04"/>
    <s v="Expendable Trust Fund - External"/>
    <n v="113660"/>
  </r>
  <r>
    <x v="1"/>
    <x v="0"/>
    <x v="88"/>
    <x v="88"/>
    <s v="M04"/>
    <s v="General Fund"/>
    <n v="5119709"/>
  </r>
  <r>
    <x v="4"/>
    <x v="0"/>
    <x v="115"/>
    <x v="115"/>
    <s v="M03"/>
    <s v="General Fund"/>
    <n v="192266.7"/>
  </r>
  <r>
    <x v="2"/>
    <x v="3"/>
    <x v="453"/>
    <x v="455"/>
    <s v="M03"/>
    <s v="General Fund"/>
    <n v="241294.05"/>
  </r>
  <r>
    <x v="2"/>
    <x v="9"/>
    <x v="36"/>
    <x v="36"/>
    <s v="M03"/>
    <s v="General Fund"/>
    <n v="2797093.78"/>
  </r>
  <r>
    <x v="0"/>
    <x v="6"/>
    <x v="123"/>
    <x v="123"/>
    <s v="M04"/>
    <s v="Federal Grants Fund"/>
    <n v="291737.13"/>
  </r>
  <r>
    <x v="5"/>
    <x v="2"/>
    <x v="384"/>
    <x v="387"/>
    <s v="M03"/>
    <s v="General Fund"/>
    <n v="4928214.5599999996"/>
  </r>
  <r>
    <x v="3"/>
    <x v="0"/>
    <x v="161"/>
    <x v="159"/>
    <s v="M03"/>
    <s v="General Fund"/>
    <n v="279300.47999999998"/>
  </r>
  <r>
    <x v="1"/>
    <x v="6"/>
    <x v="146"/>
    <x v="145"/>
    <s v="M04"/>
    <s v="Federal Grants Fund"/>
    <n v="250921"/>
  </r>
  <r>
    <x v="0"/>
    <x v="0"/>
    <x v="186"/>
    <x v="183"/>
    <s v="M03"/>
    <s v="General Fund"/>
    <n v="632000.31999999995"/>
  </r>
  <r>
    <x v="2"/>
    <x v="4"/>
    <x v="254"/>
    <x v="252"/>
    <s v="M03"/>
    <s v="Federal Grants Fund"/>
    <n v="213311.72"/>
  </r>
  <r>
    <x v="4"/>
    <x v="7"/>
    <x v="120"/>
    <x v="120"/>
    <s v="M04"/>
    <s v="General Fund"/>
    <n v="374698.98"/>
  </r>
  <r>
    <x v="4"/>
    <x v="5"/>
    <x v="257"/>
    <x v="257"/>
    <s v="M03"/>
    <s v="Federal Grants Fund"/>
    <n v="458781.93"/>
  </r>
  <r>
    <x v="4"/>
    <x v="6"/>
    <x v="226"/>
    <x v="224"/>
    <s v="MM3"/>
    <s v="General Fund"/>
    <n v="18265"/>
  </r>
  <r>
    <x v="4"/>
    <x v="5"/>
    <x v="75"/>
    <x v="75"/>
    <s v="M03"/>
    <s v="General Fund"/>
    <n v="1000372.93"/>
  </r>
  <r>
    <x v="4"/>
    <x v="0"/>
    <x v="41"/>
    <x v="41"/>
    <s v="MM3"/>
    <s v="Money Follows the Person Rebalancing Demonstration Grant Tr"/>
    <n v="24832.02"/>
  </r>
  <r>
    <x v="5"/>
    <x v="9"/>
    <x v="36"/>
    <x v="36"/>
    <s v="M03"/>
    <s v="General Fund"/>
    <n v="677422.12"/>
  </r>
  <r>
    <x v="4"/>
    <x v="1"/>
    <x v="90"/>
    <x v="90"/>
    <s v="M03"/>
    <s v="General Fund"/>
    <n v="291505.62"/>
  </r>
  <r>
    <x v="5"/>
    <x v="0"/>
    <x v="246"/>
    <x v="244"/>
    <s v="MM3"/>
    <s v="General Fund"/>
    <n v="308089.52"/>
  </r>
  <r>
    <x v="5"/>
    <x v="11"/>
    <x v="421"/>
    <x v="424"/>
    <s v="M03"/>
    <s v="General Fund"/>
    <n v="9383499"/>
  </r>
  <r>
    <x v="5"/>
    <x v="6"/>
    <x v="190"/>
    <x v="187"/>
    <s v="M03"/>
    <s v="Substance Abuse Services Fund"/>
    <n v="747690.08"/>
  </r>
  <r>
    <x v="5"/>
    <x v="6"/>
    <x v="181"/>
    <x v="178"/>
    <s v="M04"/>
    <s v="General Fund"/>
    <n v="9081669.5800000001"/>
  </r>
  <r>
    <x v="4"/>
    <x v="6"/>
    <x v="335"/>
    <x v="339"/>
    <s v="M03"/>
    <s v="Substance Abuse Services Fund"/>
    <n v="357536.29"/>
  </r>
  <r>
    <x v="5"/>
    <x v="0"/>
    <x v="419"/>
    <x v="422"/>
    <s v="MM3"/>
    <s v="General Fund"/>
    <n v="226266.3"/>
  </r>
  <r>
    <x v="5"/>
    <x v="6"/>
    <x v="81"/>
    <x v="81"/>
    <s v="MM3"/>
    <s v="General Fund"/>
    <n v="451249"/>
  </r>
  <r>
    <x v="5"/>
    <x v="6"/>
    <x v="204"/>
    <x v="201"/>
    <s v="M04"/>
    <s v="Federal Grants Fund"/>
    <n v="784972"/>
  </r>
  <r>
    <x v="5"/>
    <x v="0"/>
    <x v="44"/>
    <x v="44"/>
    <s v="MM3"/>
    <s v="General Fund"/>
    <n v="1402.14"/>
  </r>
  <r>
    <x v="5"/>
    <x v="5"/>
    <x v="330"/>
    <x v="334"/>
    <s v="M04"/>
    <s v="General Fund"/>
    <n v="2432069.14"/>
  </r>
  <r>
    <x v="0"/>
    <x v="0"/>
    <x v="169"/>
    <x v="167"/>
    <s v="MM3"/>
    <s v="General Fund"/>
    <n v="10124.48"/>
  </r>
  <r>
    <x v="1"/>
    <x v="9"/>
    <x v="200"/>
    <x v="197"/>
    <s v="M04"/>
    <s v="General Fund"/>
    <n v="90794.66"/>
  </r>
  <r>
    <x v="3"/>
    <x v="1"/>
    <x v="259"/>
    <x v="259"/>
    <s v="M03"/>
    <s v="General Fund"/>
    <n v="51315.33"/>
  </r>
  <r>
    <x v="2"/>
    <x v="12"/>
    <x v="317"/>
    <x v="320"/>
    <s v="M03"/>
    <s v="General Fund"/>
    <n v="250000"/>
  </r>
  <r>
    <x v="3"/>
    <x v="6"/>
    <x v="450"/>
    <x v="452"/>
    <s v="M03"/>
    <s v="Federal Grants Fund"/>
    <n v="112500"/>
  </r>
  <r>
    <x v="2"/>
    <x v="5"/>
    <x v="133"/>
    <x v="133"/>
    <s v="M03"/>
    <s v="Federal Grants Fund"/>
    <n v="50000"/>
  </r>
  <r>
    <x v="3"/>
    <x v="0"/>
    <x v="260"/>
    <x v="260"/>
    <s v="MM3"/>
    <s v="General Fund"/>
    <n v="5506.64"/>
  </r>
  <r>
    <x v="3"/>
    <x v="6"/>
    <x v="38"/>
    <x v="38"/>
    <s v="MM3"/>
    <s v="Substance Use Disorder Federal Reinvestment Trust Fund"/>
    <n v="101722.39"/>
  </r>
  <r>
    <x v="2"/>
    <x v="7"/>
    <x v="208"/>
    <x v="214"/>
    <s v="M03"/>
    <s v="Expendable Trust Fund - External"/>
    <n v="399504.32"/>
  </r>
  <r>
    <x v="5"/>
    <x v="1"/>
    <x v="266"/>
    <x v="300"/>
    <s v="M04"/>
    <s v="Federal Grants Fund"/>
    <n v="59430.34"/>
  </r>
  <r>
    <x v="0"/>
    <x v="9"/>
    <x v="303"/>
    <x v="306"/>
    <s v="M03"/>
    <s v="General Fund"/>
    <n v="0"/>
  </r>
  <r>
    <x v="1"/>
    <x v="6"/>
    <x v="408"/>
    <x v="411"/>
    <s v="M03"/>
    <s v="Federal Grants Fund"/>
    <n v="41128.629999999997"/>
  </r>
  <r>
    <x v="1"/>
    <x v="5"/>
    <x v="242"/>
    <x v="240"/>
    <s v="MM3"/>
    <s v="Federal Grants Fund"/>
    <n v="286467.78999999998"/>
  </r>
  <r>
    <x v="3"/>
    <x v="6"/>
    <x v="396"/>
    <x v="466"/>
    <s v="MM3"/>
    <s v="General Fund"/>
    <n v="0"/>
  </r>
  <r>
    <x v="5"/>
    <x v="6"/>
    <x v="85"/>
    <x v="85"/>
    <s v="M04"/>
    <s v="Federal Grants Fund"/>
    <n v="16718.05"/>
  </r>
  <r>
    <x v="0"/>
    <x v="7"/>
    <x v="323"/>
    <x v="326"/>
    <s v="M03"/>
    <s v="General Fund"/>
    <n v="22590"/>
  </r>
  <r>
    <x v="0"/>
    <x v="6"/>
    <x v="357"/>
    <x v="363"/>
    <s v="MM3"/>
    <s v="Federal Grants Fund"/>
    <n v="0"/>
  </r>
  <r>
    <x v="5"/>
    <x v="0"/>
    <x v="150"/>
    <x v="149"/>
    <s v="M03"/>
    <s v="General Fund"/>
    <n v="0"/>
  </r>
  <r>
    <x v="4"/>
    <x v="6"/>
    <x v="337"/>
    <x v="341"/>
    <s v="M04"/>
    <s v="Federal Grants Fund"/>
    <n v="449460.28"/>
  </r>
  <r>
    <x v="5"/>
    <x v="2"/>
    <x v="114"/>
    <x v="114"/>
    <s v="M03"/>
    <s v="General Fund"/>
    <n v="129999.99"/>
  </r>
  <r>
    <x v="1"/>
    <x v="6"/>
    <x v="166"/>
    <x v="164"/>
    <s v="M04"/>
    <s v="Federal Grants Fund"/>
    <n v="61021"/>
  </r>
  <r>
    <x v="1"/>
    <x v="0"/>
    <x v="26"/>
    <x v="26"/>
    <s v="MM3"/>
    <s v="General Fund"/>
    <n v="0"/>
  </r>
  <r>
    <x v="2"/>
    <x v="10"/>
    <x v="480"/>
    <x v="484"/>
    <s v="M03"/>
    <s v="Federal Grants Fund"/>
    <n v="0"/>
  </r>
  <r>
    <x v="3"/>
    <x v="6"/>
    <x v="476"/>
    <x v="480"/>
    <s v="M04"/>
    <s v="Federal Grants Fund"/>
    <n v="192073.36"/>
  </r>
  <r>
    <x v="5"/>
    <x v="6"/>
    <x v="204"/>
    <x v="201"/>
    <s v="M04"/>
    <s v="General Fund"/>
    <n v="57634.1"/>
  </r>
  <r>
    <x v="2"/>
    <x v="6"/>
    <x v="170"/>
    <x v="168"/>
    <s v="MM3"/>
    <s v="Substance Abuse Services Fund"/>
    <n v="150000"/>
  </r>
  <r>
    <x v="1"/>
    <x v="0"/>
    <x v="147"/>
    <x v="256"/>
    <s v="MM3"/>
    <s v="Expendable Trust Fund - External"/>
    <n v="0"/>
  </r>
  <r>
    <x v="5"/>
    <x v="5"/>
    <x v="94"/>
    <x v="94"/>
    <s v="MM3"/>
    <s v="Expendable Trust Fund - External"/>
    <n v="17315.41"/>
  </r>
  <r>
    <x v="3"/>
    <x v="1"/>
    <x v="235"/>
    <x v="232"/>
    <s v="M03"/>
    <s v="General Fund"/>
    <n v="0"/>
  </r>
  <r>
    <x v="3"/>
    <x v="6"/>
    <x v="152"/>
    <x v="151"/>
    <s v="M03"/>
    <s v="Substance Abuse Services Fund"/>
    <n v="0"/>
  </r>
  <r>
    <x v="3"/>
    <x v="6"/>
    <x v="152"/>
    <x v="151"/>
    <s v="MM3"/>
    <s v="Federal Grants Fund"/>
    <n v="0"/>
  </r>
  <r>
    <x v="3"/>
    <x v="6"/>
    <x v="152"/>
    <x v="151"/>
    <s v="MM3"/>
    <s v="Substance Abuse Services Fund"/>
    <n v="0"/>
  </r>
  <r>
    <x v="2"/>
    <x v="6"/>
    <x v="289"/>
    <x v="291"/>
    <s v="M04"/>
    <s v="General Fund"/>
    <n v="332500"/>
  </r>
  <r>
    <x v="1"/>
    <x v="5"/>
    <x v="456"/>
    <x v="458"/>
    <s v="MM3"/>
    <s v="General Fund"/>
    <n v="0"/>
  </r>
  <r>
    <x v="4"/>
    <x v="5"/>
    <x v="239"/>
    <x v="237"/>
    <s v="MM3"/>
    <s v="General Fund"/>
    <n v="150054"/>
  </r>
  <r>
    <x v="4"/>
    <x v="0"/>
    <x v="116"/>
    <x v="116"/>
    <s v="MM3"/>
    <s v="Expendable Trust Fund - External"/>
    <n v="0"/>
  </r>
  <r>
    <x v="3"/>
    <x v="7"/>
    <x v="454"/>
    <x v="456"/>
    <s v="M03"/>
    <s v="Money Follows the Person Rebalancing Demonstration Grant Tr"/>
    <n v="2264.9"/>
  </r>
  <r>
    <x v="1"/>
    <x v="3"/>
    <x v="7"/>
    <x v="7"/>
    <s v="M03"/>
    <s v="Federal Grants Fund"/>
    <n v="14999.65"/>
  </r>
  <r>
    <x v="3"/>
    <x v="1"/>
    <x v="157"/>
    <x v="156"/>
    <s v="M03"/>
    <s v="General Fund"/>
    <n v="19022.89"/>
  </r>
  <r>
    <x v="0"/>
    <x v="7"/>
    <x v="327"/>
    <x v="331"/>
    <s v="M03"/>
    <s v="Expendable Trust Fund - External"/>
    <n v="668518.24"/>
  </r>
  <r>
    <x v="4"/>
    <x v="6"/>
    <x v="427"/>
    <x v="430"/>
    <s v="M04"/>
    <s v="Federal Highway Construction Program Capital Projects Fund"/>
    <n v="0"/>
  </r>
  <r>
    <x v="5"/>
    <x v="6"/>
    <x v="252"/>
    <x v="253"/>
    <s v="MM3"/>
    <s v="General Fund"/>
    <n v="411473.09"/>
  </r>
  <r>
    <x v="3"/>
    <x v="6"/>
    <x v="434"/>
    <x v="435"/>
    <s v="M04"/>
    <s v="Federal Grants Fund"/>
    <n v="10000"/>
  </r>
  <r>
    <x v="4"/>
    <x v="0"/>
    <x v="126"/>
    <x v="126"/>
    <s v="M03"/>
    <s v="Expendable Trust Fund - External"/>
    <n v="0"/>
  </r>
  <r>
    <x v="0"/>
    <x v="0"/>
    <x v="93"/>
    <x v="93"/>
    <s v="MM3"/>
    <s v="Expendable Trust Fund - External"/>
    <n v="0"/>
  </r>
  <r>
    <x v="3"/>
    <x v="0"/>
    <x v="260"/>
    <x v="260"/>
    <s v="M03"/>
    <s v="Expendable Trust Fund - External"/>
    <n v="0"/>
  </r>
  <r>
    <x v="1"/>
    <x v="5"/>
    <x v="5"/>
    <x v="5"/>
    <s v="M03"/>
    <s v="General Fund"/>
    <n v="23000"/>
  </r>
  <r>
    <x v="1"/>
    <x v="3"/>
    <x v="89"/>
    <x v="89"/>
    <s v="M03"/>
    <s v="Federal Grants Fund"/>
    <n v="50000"/>
  </r>
  <r>
    <x v="4"/>
    <x v="6"/>
    <x v="63"/>
    <x v="63"/>
    <s v="M03"/>
    <s v="Substance Abuse Services Fund"/>
    <n v="0"/>
  </r>
  <r>
    <x v="5"/>
    <x v="0"/>
    <x v="58"/>
    <x v="58"/>
    <s v="M03"/>
    <s v="Expendable Trust Fund - External"/>
    <n v="14.5"/>
  </r>
  <r>
    <x v="3"/>
    <x v="6"/>
    <x v="180"/>
    <x v="177"/>
    <s v="M04"/>
    <s v="Suspense Fund"/>
    <n v="0"/>
  </r>
  <r>
    <x v="1"/>
    <x v="7"/>
    <x v="326"/>
    <x v="330"/>
    <s v="M03"/>
    <s v="General Fund"/>
    <n v="-210881.97"/>
  </r>
  <r>
    <x v="5"/>
    <x v="2"/>
    <x v="429"/>
    <x v="432"/>
    <s v="M03"/>
    <s v="Federal Grants Fund"/>
    <n v="0"/>
  </r>
  <r>
    <x v="3"/>
    <x v="6"/>
    <x v="191"/>
    <x v="188"/>
    <s v="MM3"/>
    <s v="Federal Grants Fund"/>
    <n v="61541.599999999999"/>
  </r>
  <r>
    <x v="3"/>
    <x v="0"/>
    <x v="221"/>
    <x v="219"/>
    <s v="M03"/>
    <s v="Expendable Trust Fund - External"/>
    <n v="0"/>
  </r>
  <r>
    <x v="2"/>
    <x v="6"/>
    <x v="308"/>
    <x v="311"/>
    <s v="MM3"/>
    <s v="Expendable Trust Fund - External"/>
    <n v="0"/>
  </r>
  <r>
    <x v="4"/>
    <x v="9"/>
    <x v="293"/>
    <x v="295"/>
    <s v="M03"/>
    <s v="Expendable Trust Fund - External"/>
    <n v="0"/>
  </r>
  <r>
    <x v="1"/>
    <x v="5"/>
    <x v="188"/>
    <x v="185"/>
    <s v="MM3"/>
    <s v="Federal Grants Fund"/>
    <n v="0"/>
  </r>
  <r>
    <x v="5"/>
    <x v="7"/>
    <x v="329"/>
    <x v="333"/>
    <s v="M03"/>
    <s v="Expendable Trust Fund - External"/>
    <n v="7807.25"/>
  </r>
  <r>
    <x v="3"/>
    <x v="0"/>
    <x v="25"/>
    <x v="25"/>
    <s v="M04"/>
    <s v="General Fund"/>
    <n v="0"/>
  </r>
  <r>
    <x v="4"/>
    <x v="6"/>
    <x v="335"/>
    <x v="339"/>
    <s v="M03"/>
    <s v="General Fund"/>
    <n v="170474"/>
  </r>
  <r>
    <x v="5"/>
    <x v="0"/>
    <x v="167"/>
    <x v="165"/>
    <s v="M03"/>
    <s v="General Fund"/>
    <n v="0"/>
  </r>
  <r>
    <x v="3"/>
    <x v="7"/>
    <x v="173"/>
    <x v="104"/>
    <s v="M03"/>
    <s v="General Fund"/>
    <n v="6775.21"/>
  </r>
  <r>
    <x v="3"/>
    <x v="5"/>
    <x v="30"/>
    <x v="30"/>
    <s v="MM3"/>
    <s v="General Fund"/>
    <n v="0"/>
  </r>
  <r>
    <x v="5"/>
    <x v="2"/>
    <x v="440"/>
    <x v="441"/>
    <s v="M03"/>
    <s v="General Fund"/>
    <n v="30000"/>
  </r>
  <r>
    <x v="4"/>
    <x v="0"/>
    <x v="102"/>
    <x v="102"/>
    <s v="MM3"/>
    <s v="Expendable Trust Fund - External"/>
    <n v="352.9"/>
  </r>
  <r>
    <x v="2"/>
    <x v="13"/>
    <x v="212"/>
    <x v="209"/>
    <s v="M03"/>
    <s v="General Fund"/>
    <n v="39374312.719999999"/>
  </r>
  <r>
    <x v="1"/>
    <x v="0"/>
    <x v="217"/>
    <x v="215"/>
    <s v="MM3"/>
    <s v="General Fund"/>
    <n v="272496.31"/>
  </r>
  <r>
    <x v="2"/>
    <x v="11"/>
    <x v="309"/>
    <x v="312"/>
    <s v="M04"/>
    <s v="Intragovernmental Services Fund"/>
    <n v="6318646.9199999999"/>
  </r>
  <r>
    <x v="1"/>
    <x v="0"/>
    <x v="215"/>
    <x v="212"/>
    <s v="M03"/>
    <s v="General Fund"/>
    <n v="2081473.68"/>
  </r>
  <r>
    <x v="3"/>
    <x v="0"/>
    <x v="121"/>
    <x v="121"/>
    <s v="MM3"/>
    <s v="General Fund"/>
    <n v="31492249.649999999"/>
  </r>
  <r>
    <x v="3"/>
    <x v="6"/>
    <x v="22"/>
    <x v="22"/>
    <s v="MM3"/>
    <s v="General Fund"/>
    <n v="1697877.27"/>
  </r>
  <r>
    <x v="3"/>
    <x v="7"/>
    <x v="329"/>
    <x v="333"/>
    <s v="M03"/>
    <s v="General Fund"/>
    <n v="2507332.2400000002"/>
  </r>
  <r>
    <x v="3"/>
    <x v="5"/>
    <x v="60"/>
    <x v="60"/>
    <s v="M04"/>
    <s v="General Fund"/>
    <n v="694807.44"/>
  </r>
  <r>
    <x v="3"/>
    <x v="6"/>
    <x v="8"/>
    <x v="8"/>
    <s v="M03"/>
    <s v="General Fund"/>
    <n v="9476636.1500000004"/>
  </r>
  <r>
    <x v="3"/>
    <x v="0"/>
    <x v="52"/>
    <x v="52"/>
    <s v="MM3"/>
    <s v="General Fund"/>
    <n v="3628655.2"/>
  </r>
  <r>
    <x v="1"/>
    <x v="10"/>
    <x v="68"/>
    <x v="68"/>
    <s v="M03"/>
    <s v="General Fund"/>
    <n v="9783874.8699999992"/>
  </r>
  <r>
    <x v="1"/>
    <x v="0"/>
    <x v="221"/>
    <x v="219"/>
    <s v="MM3"/>
    <s v="General Fund"/>
    <n v="852336029.35000002"/>
  </r>
  <r>
    <x v="0"/>
    <x v="6"/>
    <x v="137"/>
    <x v="136"/>
    <s v="MM3"/>
    <s v="General Fund"/>
    <n v="29897188.120000001"/>
  </r>
  <r>
    <x v="4"/>
    <x v="13"/>
    <x v="128"/>
    <x v="128"/>
    <s v="M03"/>
    <s v="General Fund"/>
    <n v="9282831.8300000001"/>
  </r>
  <r>
    <x v="0"/>
    <x v="12"/>
    <x v="129"/>
    <x v="129"/>
    <s v="M03"/>
    <s v="General Fund"/>
    <n v="1608398"/>
  </r>
  <r>
    <x v="1"/>
    <x v="5"/>
    <x v="76"/>
    <x v="76"/>
    <s v="M04"/>
    <s v="General Fund"/>
    <n v="3341594.37"/>
  </r>
  <r>
    <x v="3"/>
    <x v="6"/>
    <x v="56"/>
    <x v="56"/>
    <s v="M03"/>
    <s v="General Fund"/>
    <n v="1624317.91"/>
  </r>
  <r>
    <x v="3"/>
    <x v="5"/>
    <x v="30"/>
    <x v="30"/>
    <s v="M03"/>
    <s v="General Fund"/>
    <n v="3043056"/>
  </r>
  <r>
    <x v="2"/>
    <x v="0"/>
    <x v="161"/>
    <x v="159"/>
    <s v="MM3"/>
    <s v="General Fund"/>
    <n v="302837.08"/>
  </r>
  <r>
    <x v="2"/>
    <x v="6"/>
    <x v="95"/>
    <x v="95"/>
    <s v="MM3"/>
    <s v="General Fund"/>
    <n v="12658610.640000001"/>
  </r>
  <r>
    <x v="4"/>
    <x v="5"/>
    <x v="76"/>
    <x v="76"/>
    <s v="M04"/>
    <s v="General Fund"/>
    <n v="3497945.75"/>
  </r>
  <r>
    <x v="2"/>
    <x v="0"/>
    <x v="102"/>
    <x v="102"/>
    <s v="M03"/>
    <s v="General Fund"/>
    <n v="3389856.29"/>
  </r>
  <r>
    <x v="3"/>
    <x v="6"/>
    <x v="95"/>
    <x v="95"/>
    <s v="MM3"/>
    <s v="Federal Grants Fund"/>
    <n v="2024911.31"/>
  </r>
  <r>
    <x v="3"/>
    <x v="0"/>
    <x v="18"/>
    <x v="18"/>
    <s v="MM3"/>
    <s v="General Fund"/>
    <n v="1014001.18"/>
  </r>
  <r>
    <x v="0"/>
    <x v="5"/>
    <x v="353"/>
    <x v="359"/>
    <s v="M04"/>
    <s v="Expendable Trust Fund - External"/>
    <n v="6815.38"/>
  </r>
  <r>
    <x v="3"/>
    <x v="0"/>
    <x v="403"/>
    <x v="406"/>
    <s v="MM3"/>
    <s v="General Fund"/>
    <n v="197870.28"/>
  </r>
  <r>
    <x v="3"/>
    <x v="0"/>
    <x v="13"/>
    <x v="13"/>
    <s v="MM3"/>
    <s v="General Fund"/>
    <n v="15771.26"/>
  </r>
  <r>
    <x v="3"/>
    <x v="0"/>
    <x v="49"/>
    <x v="49"/>
    <s v="M03"/>
    <s v="General Fund"/>
    <n v="250804.43"/>
  </r>
  <r>
    <x v="3"/>
    <x v="6"/>
    <x v="470"/>
    <x v="473"/>
    <s v="MM3"/>
    <s v="Federal Grants Fund"/>
    <n v="263532.18"/>
  </r>
  <r>
    <x v="3"/>
    <x v="5"/>
    <x v="76"/>
    <x v="76"/>
    <s v="M03"/>
    <s v="General Fund"/>
    <n v="214384.84"/>
  </r>
  <r>
    <x v="2"/>
    <x v="6"/>
    <x v="263"/>
    <x v="263"/>
    <s v="MM3"/>
    <s v="General Fund"/>
    <n v="25941214.649999999"/>
  </r>
  <r>
    <x v="1"/>
    <x v="6"/>
    <x v="281"/>
    <x v="283"/>
    <s v="MM3"/>
    <s v="Federal Grants Fund"/>
    <n v="767243.41"/>
  </r>
  <r>
    <x v="4"/>
    <x v="1"/>
    <x v="213"/>
    <x v="273"/>
    <s v="M03"/>
    <s v="General Fund"/>
    <n v="7096351.8700000001"/>
  </r>
  <r>
    <x v="2"/>
    <x v="6"/>
    <x v="218"/>
    <x v="216"/>
    <s v="MM3"/>
    <s v="Federal Grants Fund"/>
    <n v="3542924.56"/>
  </r>
  <r>
    <x v="2"/>
    <x v="5"/>
    <x v="247"/>
    <x v="245"/>
    <s v="MM3"/>
    <s v="General Fund"/>
    <n v="293731.84999999998"/>
  </r>
  <r>
    <x v="2"/>
    <x v="6"/>
    <x v="253"/>
    <x v="251"/>
    <s v="MM3"/>
    <s v="General Fund"/>
    <n v="5230666.9000000004"/>
  </r>
  <r>
    <x v="1"/>
    <x v="7"/>
    <x v="422"/>
    <x v="425"/>
    <s v="M03"/>
    <s v="General Fund"/>
    <n v="0"/>
  </r>
  <r>
    <x v="2"/>
    <x v="0"/>
    <x v="11"/>
    <x v="11"/>
    <s v="MM3"/>
    <s v="Intragovernmental Services Fund"/>
    <n v="165604.32"/>
  </r>
  <r>
    <x v="2"/>
    <x v="0"/>
    <x v="25"/>
    <x v="25"/>
    <s v="M03"/>
    <s v="General Fund"/>
    <n v="316649.28999999998"/>
  </r>
  <r>
    <x v="4"/>
    <x v="13"/>
    <x v="426"/>
    <x v="429"/>
    <s v="M03"/>
    <s v="General Fund"/>
    <n v="4605483.2"/>
  </r>
  <r>
    <x v="2"/>
    <x v="6"/>
    <x v="356"/>
    <x v="362"/>
    <s v="M04"/>
    <s v="Federal Grants Fund"/>
    <n v="855809.75"/>
  </r>
  <r>
    <x v="0"/>
    <x v="5"/>
    <x v="74"/>
    <x v="74"/>
    <s v="MM3"/>
    <s v="General Fund"/>
    <n v="236233.92"/>
  </r>
  <r>
    <x v="4"/>
    <x v="6"/>
    <x v="176"/>
    <x v="173"/>
    <s v="M04"/>
    <s v="Federal Grants Fund"/>
    <n v="0"/>
  </r>
  <r>
    <x v="0"/>
    <x v="5"/>
    <x v="359"/>
    <x v="365"/>
    <s v="MM3"/>
    <s v="General Fund"/>
    <n v="432564.3"/>
  </r>
  <r>
    <x v="0"/>
    <x v="7"/>
    <x v="294"/>
    <x v="296"/>
    <s v="M03"/>
    <s v="General Fund"/>
    <n v="229472.73"/>
  </r>
  <r>
    <x v="0"/>
    <x v="1"/>
    <x v="228"/>
    <x v="226"/>
    <s v="M03"/>
    <s v="Federal Grants Fund"/>
    <n v="422927"/>
  </r>
  <r>
    <x v="2"/>
    <x v="3"/>
    <x v="227"/>
    <x v="225"/>
    <s v="M03"/>
    <s v="General Fund"/>
    <n v="839014.35"/>
  </r>
  <r>
    <x v="0"/>
    <x v="2"/>
    <x v="420"/>
    <x v="423"/>
    <s v="M03"/>
    <s v="Federal Grants Fund"/>
    <n v="293968.8"/>
  </r>
  <r>
    <x v="0"/>
    <x v="5"/>
    <x v="362"/>
    <x v="368"/>
    <s v="MM3"/>
    <s v="General Fund"/>
    <n v="1850118.64"/>
  </r>
  <r>
    <x v="2"/>
    <x v="3"/>
    <x v="418"/>
    <x v="421"/>
    <s v="M03"/>
    <s v="General Fund"/>
    <n v="5577361.5499999998"/>
  </r>
  <r>
    <x v="1"/>
    <x v="1"/>
    <x v="157"/>
    <x v="156"/>
    <s v="M03"/>
    <s v="Federal Grants Fund"/>
    <n v="1053324.47"/>
  </r>
  <r>
    <x v="1"/>
    <x v="6"/>
    <x v="274"/>
    <x v="275"/>
    <s v="MM3"/>
    <s v="General Fund"/>
    <n v="697437.11"/>
  </r>
  <r>
    <x v="0"/>
    <x v="6"/>
    <x v="38"/>
    <x v="38"/>
    <s v="MM3"/>
    <s v="General Fund"/>
    <n v="5320710.8099999996"/>
  </r>
  <r>
    <x v="3"/>
    <x v="7"/>
    <x v="34"/>
    <x v="34"/>
    <s v="M03"/>
    <s v="Trust Fund For the Head Injury Treatment Service Fund"/>
    <n v="45542.1"/>
  </r>
  <r>
    <x v="3"/>
    <x v="6"/>
    <x v="191"/>
    <x v="188"/>
    <s v="MM3"/>
    <s v="General Fund"/>
    <n v="1920600"/>
  </r>
  <r>
    <x v="2"/>
    <x v="5"/>
    <x v="353"/>
    <x v="359"/>
    <s v="M04"/>
    <s v="Expendable Trust Fund - External"/>
    <n v="19458.759999999998"/>
  </r>
  <r>
    <x v="0"/>
    <x v="6"/>
    <x v="281"/>
    <x v="283"/>
    <s v="MM3"/>
    <s v="Federal Grants Fund"/>
    <n v="544515.91"/>
  </r>
  <r>
    <x v="0"/>
    <x v="3"/>
    <x v="227"/>
    <x v="225"/>
    <s v="M03"/>
    <s v="General Fund"/>
    <n v="659980.85"/>
  </r>
  <r>
    <x v="1"/>
    <x v="11"/>
    <x v="244"/>
    <x v="242"/>
    <s v="M04"/>
    <s v="Federal Grants Fund"/>
    <n v="1215817.32"/>
  </r>
  <r>
    <x v="3"/>
    <x v="5"/>
    <x v="239"/>
    <x v="237"/>
    <s v="M03"/>
    <s v="Federal Grants Fund"/>
    <n v="1535944"/>
  </r>
  <r>
    <x v="1"/>
    <x v="7"/>
    <x v="344"/>
    <x v="349"/>
    <s v="M03"/>
    <s v="Federal Grants Fund"/>
    <n v="265043.75"/>
  </r>
  <r>
    <x v="4"/>
    <x v="1"/>
    <x v="286"/>
    <x v="288"/>
    <s v="M03"/>
    <s v="General Fund"/>
    <n v="304727.99"/>
  </r>
  <r>
    <x v="4"/>
    <x v="6"/>
    <x v="175"/>
    <x v="172"/>
    <s v="M03"/>
    <s v="General Fund"/>
    <n v="108471.81"/>
  </r>
  <r>
    <x v="3"/>
    <x v="2"/>
    <x v="230"/>
    <x v="228"/>
    <s v="M04"/>
    <s v="General Fund"/>
    <n v="144006.46"/>
  </r>
  <r>
    <x v="0"/>
    <x v="2"/>
    <x v="457"/>
    <x v="459"/>
    <s v="M04"/>
    <s v="Federal Grants Fund"/>
    <n v="76600"/>
  </r>
  <r>
    <x v="2"/>
    <x v="7"/>
    <x v="120"/>
    <x v="120"/>
    <s v="M03"/>
    <s v="Trust Fund For the Head Injury Treatment Service Fund"/>
    <n v="315970.55"/>
  </r>
  <r>
    <x v="1"/>
    <x v="6"/>
    <x v="240"/>
    <x v="238"/>
    <s v="MM3"/>
    <s v="General Fund"/>
    <n v="335000"/>
  </r>
  <r>
    <x v="4"/>
    <x v="7"/>
    <x v="125"/>
    <x v="125"/>
    <s v="M04"/>
    <s v="Federal Grants Fund"/>
    <n v="458253.83"/>
  </r>
  <r>
    <x v="0"/>
    <x v="6"/>
    <x v="165"/>
    <x v="163"/>
    <s v="MM3"/>
    <s v="Federal Grants Fund"/>
    <n v="156624.01999999999"/>
  </r>
  <r>
    <x v="4"/>
    <x v="1"/>
    <x v="136"/>
    <x v="121"/>
    <s v="M03"/>
    <s v="General Fund"/>
    <n v="771076.42"/>
  </r>
  <r>
    <x v="1"/>
    <x v="6"/>
    <x v="204"/>
    <x v="201"/>
    <s v="M04"/>
    <s v="Federal Grants Fund"/>
    <n v="759606.11"/>
  </r>
  <r>
    <x v="0"/>
    <x v="5"/>
    <x v="30"/>
    <x v="30"/>
    <s v="MM3"/>
    <s v="General Fund"/>
    <n v="1189126.97"/>
  </r>
  <r>
    <x v="2"/>
    <x v="0"/>
    <x v="49"/>
    <x v="49"/>
    <s v="MM3"/>
    <s v="General Fund"/>
    <n v="88153.58"/>
  </r>
  <r>
    <x v="1"/>
    <x v="5"/>
    <x v="138"/>
    <x v="137"/>
    <s v="M03"/>
    <s v="Federal Grants Fund"/>
    <n v="1563946.66"/>
  </r>
  <r>
    <x v="2"/>
    <x v="2"/>
    <x v="457"/>
    <x v="459"/>
    <s v="M04"/>
    <s v="General Fund"/>
    <n v="298085.38"/>
  </r>
  <r>
    <x v="4"/>
    <x v="13"/>
    <x v="475"/>
    <x v="479"/>
    <s v="M03"/>
    <s v="General Fund"/>
    <n v="6778213.3899999997"/>
  </r>
  <r>
    <x v="4"/>
    <x v="6"/>
    <x v="234"/>
    <x v="231"/>
    <s v="M03"/>
    <s v="Federal Grants Fund"/>
    <n v="102482.2"/>
  </r>
  <r>
    <x v="3"/>
    <x v="0"/>
    <x v="186"/>
    <x v="183"/>
    <s v="M04"/>
    <s v="General Fund"/>
    <n v="1030816.16"/>
  </r>
  <r>
    <x v="1"/>
    <x v="6"/>
    <x v="170"/>
    <x v="168"/>
    <s v="MM3"/>
    <s v="General Fund"/>
    <n v="1088758.1000000001"/>
  </r>
  <r>
    <x v="4"/>
    <x v="7"/>
    <x v="120"/>
    <x v="120"/>
    <s v="M04"/>
    <s v="Trust Fund For the Head Injury Treatment Service Fund"/>
    <n v="120384.76"/>
  </r>
  <r>
    <x v="2"/>
    <x v="1"/>
    <x v="90"/>
    <x v="90"/>
    <s v="M03"/>
    <s v="General Fund"/>
    <n v="199911"/>
  </r>
  <r>
    <x v="0"/>
    <x v="5"/>
    <x v="158"/>
    <x v="157"/>
    <s v="M04"/>
    <s v="General Fund"/>
    <n v="208339.74"/>
  </r>
  <r>
    <x v="4"/>
    <x v="5"/>
    <x v="134"/>
    <x v="134"/>
    <s v="MM3"/>
    <s v="Federal Grants Fund"/>
    <n v="6084801.0999999996"/>
  </r>
  <r>
    <x v="1"/>
    <x v="1"/>
    <x v="231"/>
    <x v="119"/>
    <s v="M04"/>
    <s v="General Fund"/>
    <n v="1148.4000000000001"/>
  </r>
  <r>
    <x v="4"/>
    <x v="7"/>
    <x v="23"/>
    <x v="23"/>
    <s v="M03"/>
    <s v="Federal Grants Fund"/>
    <n v="160509.01999999999"/>
  </r>
  <r>
    <x v="4"/>
    <x v="6"/>
    <x v="396"/>
    <x v="400"/>
    <s v="MM3"/>
    <s v="Federal Grants Fund"/>
    <n v="25270"/>
  </r>
  <r>
    <x v="4"/>
    <x v="6"/>
    <x v="355"/>
    <x v="361"/>
    <s v="MM3"/>
    <s v="Federal Grants Fund"/>
    <n v="633351.31000000006"/>
  </r>
  <r>
    <x v="4"/>
    <x v="6"/>
    <x v="236"/>
    <x v="234"/>
    <s v="M04"/>
    <s v="General Fund"/>
    <n v="1021624"/>
  </r>
  <r>
    <x v="4"/>
    <x v="6"/>
    <x v="142"/>
    <x v="141"/>
    <s v="M04"/>
    <s v="Federal Grants Fund"/>
    <n v="1352056.79"/>
  </r>
  <r>
    <x v="4"/>
    <x v="7"/>
    <x v="208"/>
    <x v="205"/>
    <s v="M03"/>
    <s v="Expendable Trust Fund - External"/>
    <n v="14773"/>
  </r>
  <r>
    <x v="5"/>
    <x v="2"/>
    <x v="428"/>
    <x v="431"/>
    <s v="M03"/>
    <s v="General Fund"/>
    <n v="17248393.120000001"/>
  </r>
  <r>
    <x v="5"/>
    <x v="0"/>
    <x v="0"/>
    <x v="0"/>
    <s v="MM3"/>
    <s v="General Fund"/>
    <n v="19248125.98"/>
  </r>
  <r>
    <x v="5"/>
    <x v="0"/>
    <x v="260"/>
    <x v="260"/>
    <s v="M03"/>
    <s v="General Fund"/>
    <n v="455492.76"/>
  </r>
  <r>
    <x v="5"/>
    <x v="0"/>
    <x v="13"/>
    <x v="13"/>
    <s v="M03"/>
    <s v="General Fund"/>
    <n v="225374.98"/>
  </r>
  <r>
    <x v="5"/>
    <x v="2"/>
    <x v="389"/>
    <x v="393"/>
    <s v="M03"/>
    <s v="General Fund"/>
    <n v="1387397.48"/>
  </r>
  <r>
    <x v="5"/>
    <x v="0"/>
    <x v="215"/>
    <x v="212"/>
    <s v="M03"/>
    <s v="General Fund"/>
    <n v="2661744.94"/>
  </r>
  <r>
    <x v="5"/>
    <x v="5"/>
    <x v="351"/>
    <x v="356"/>
    <s v="M03"/>
    <s v="General Fund"/>
    <n v="1525959.02"/>
  </r>
  <r>
    <x v="5"/>
    <x v="6"/>
    <x v="22"/>
    <x v="22"/>
    <s v="MM3"/>
    <s v="General Fund"/>
    <n v="1306385.72"/>
  </r>
  <r>
    <x v="5"/>
    <x v="6"/>
    <x v="170"/>
    <x v="168"/>
    <s v="MM3"/>
    <s v="General Fund"/>
    <n v="234096"/>
  </r>
  <r>
    <x v="5"/>
    <x v="5"/>
    <x v="94"/>
    <x v="94"/>
    <s v="MM3"/>
    <s v="General Fund"/>
    <n v="8986287.3499999996"/>
  </r>
  <r>
    <x v="5"/>
    <x v="5"/>
    <x v="130"/>
    <x v="233"/>
    <s v="MM3"/>
    <s v="General Fund"/>
    <n v="7394341.79"/>
  </r>
  <r>
    <x v="0"/>
    <x v="6"/>
    <x v="63"/>
    <x v="63"/>
    <s v="M03"/>
    <s v="Federal Grants Fund"/>
    <n v="177976.12"/>
  </r>
  <r>
    <x v="5"/>
    <x v="8"/>
    <x v="45"/>
    <x v="45"/>
    <s v="M03"/>
    <s v="Federal Grants Fund"/>
    <n v="478524.79"/>
  </r>
  <r>
    <x v="5"/>
    <x v="3"/>
    <x v="307"/>
    <x v="310"/>
    <s v="M04"/>
    <s v="General Fund"/>
    <n v="2095806"/>
  </r>
  <r>
    <x v="5"/>
    <x v="0"/>
    <x v="229"/>
    <x v="227"/>
    <s v="M03"/>
    <s v="General Fund"/>
    <n v="432884.16"/>
  </r>
  <r>
    <x v="1"/>
    <x v="18"/>
    <x v="394"/>
    <x v="398"/>
    <s v="M04"/>
    <s v="General Fund"/>
    <n v="4717.5"/>
  </r>
  <r>
    <x v="1"/>
    <x v="10"/>
    <x v="232"/>
    <x v="229"/>
    <s v="M04"/>
    <s v="General Fund"/>
    <n v="893819.78"/>
  </r>
  <r>
    <x v="4"/>
    <x v="2"/>
    <x v="272"/>
    <x v="272"/>
    <s v="M03"/>
    <s v="Federal Grants Fund"/>
    <n v="6685459.96"/>
  </r>
  <r>
    <x v="0"/>
    <x v="6"/>
    <x v="249"/>
    <x v="247"/>
    <s v="M04"/>
    <s v="Federal Grants Fund"/>
    <n v="713801.17"/>
  </r>
  <r>
    <x v="4"/>
    <x v="6"/>
    <x v="56"/>
    <x v="56"/>
    <s v="MM3"/>
    <s v="General Fund"/>
    <n v="1864163.24"/>
  </r>
  <r>
    <x v="4"/>
    <x v="6"/>
    <x v="191"/>
    <x v="188"/>
    <s v="MM3"/>
    <s v="General Fund"/>
    <n v="1455208.27"/>
  </r>
  <r>
    <x v="4"/>
    <x v="5"/>
    <x v="359"/>
    <x v="485"/>
    <s v="MM3"/>
    <s v="General Fund"/>
    <n v="204378"/>
  </r>
  <r>
    <x v="4"/>
    <x v="7"/>
    <x v="42"/>
    <x v="42"/>
    <s v="M03"/>
    <s v="General Fund"/>
    <n v="73514.720000000001"/>
  </r>
  <r>
    <x v="5"/>
    <x v="0"/>
    <x v="229"/>
    <x v="227"/>
    <s v="MM3"/>
    <s v="General Fund"/>
    <n v="69352.92"/>
  </r>
  <r>
    <x v="5"/>
    <x v="1"/>
    <x v="172"/>
    <x v="170"/>
    <s v="M03"/>
    <s v="General Fund"/>
    <n v="904881.11"/>
  </r>
  <r>
    <x v="4"/>
    <x v="6"/>
    <x v="325"/>
    <x v="328"/>
    <s v="M04"/>
    <s v="Federal Grants Fund"/>
    <n v="816768.4"/>
  </r>
  <r>
    <x v="5"/>
    <x v="7"/>
    <x v="16"/>
    <x v="16"/>
    <s v="M03"/>
    <s v="General Fund"/>
    <n v="12037.6"/>
  </r>
  <r>
    <x v="3"/>
    <x v="7"/>
    <x v="379"/>
    <x v="383"/>
    <s v="M03"/>
    <s v="General Fund"/>
    <n v="0"/>
  </r>
  <r>
    <x v="3"/>
    <x v="6"/>
    <x v="234"/>
    <x v="231"/>
    <s v="M03"/>
    <s v="General Fund"/>
    <n v="0"/>
  </r>
  <r>
    <x v="5"/>
    <x v="2"/>
    <x v="272"/>
    <x v="272"/>
    <s v="M03"/>
    <s v="Federal Grants Fund"/>
    <n v="6208856.1600000001"/>
  </r>
  <r>
    <x v="5"/>
    <x v="7"/>
    <x v="120"/>
    <x v="120"/>
    <s v="M04"/>
    <s v="Trust Fund For the Head Injury Treatment Service Fund"/>
    <n v="346909.5"/>
  </r>
  <r>
    <x v="1"/>
    <x v="0"/>
    <x v="53"/>
    <x v="53"/>
    <s v="MM3"/>
    <s v="General Fund"/>
    <n v="44714.52"/>
  </r>
  <r>
    <x v="2"/>
    <x v="1"/>
    <x v="471"/>
    <x v="474"/>
    <s v="MM3"/>
    <s v="Federal Grants Fund"/>
    <n v="593.15"/>
  </r>
  <r>
    <x v="0"/>
    <x v="1"/>
    <x v="291"/>
    <x v="293"/>
    <s v="M03"/>
    <s v="General Fund"/>
    <n v="56072.5"/>
  </r>
  <r>
    <x v="0"/>
    <x v="6"/>
    <x v="139"/>
    <x v="138"/>
    <s v="MM3"/>
    <s v="Federal Grants Fund"/>
    <n v="388851.35"/>
  </r>
  <r>
    <x v="1"/>
    <x v="7"/>
    <x v="151"/>
    <x v="150"/>
    <s v="M03"/>
    <s v="Federal Grants Fund"/>
    <n v="27248.080000000002"/>
  </r>
  <r>
    <x v="1"/>
    <x v="6"/>
    <x v="149"/>
    <x v="148"/>
    <s v="M04"/>
    <s v="Federal Grants Fund"/>
    <n v="1171.9000000000001"/>
  </r>
  <r>
    <x v="2"/>
    <x v="6"/>
    <x v="109"/>
    <x v="109"/>
    <s v="MM3"/>
    <s v="General Fund"/>
    <n v="231726.6"/>
  </r>
  <r>
    <x v="0"/>
    <x v="6"/>
    <x v="142"/>
    <x v="141"/>
    <s v="M04"/>
    <s v="General Fund"/>
    <n v="25000"/>
  </r>
  <r>
    <x v="1"/>
    <x v="0"/>
    <x v="73"/>
    <x v="73"/>
    <s v="MM3"/>
    <s v="General Fund"/>
    <n v="64599.48"/>
  </r>
  <r>
    <x v="4"/>
    <x v="7"/>
    <x v="208"/>
    <x v="205"/>
    <s v="M03"/>
    <s v="Trust Fund For the Head Injury Treatment Service Fund"/>
    <n v="739213.05"/>
  </r>
  <r>
    <x v="4"/>
    <x v="1"/>
    <x v="14"/>
    <x v="14"/>
    <s v="MM3"/>
    <s v="General Fund"/>
    <n v="1266.4100000000001"/>
  </r>
  <r>
    <x v="4"/>
    <x v="7"/>
    <x v="312"/>
    <x v="315"/>
    <s v="M04"/>
    <s v="Trust Fund For the Head Injury Treatment Service Fund"/>
    <n v="1300000"/>
  </r>
  <r>
    <x v="4"/>
    <x v="6"/>
    <x v="256"/>
    <x v="255"/>
    <s v="MM3"/>
    <s v="General Fund"/>
    <n v="155429.76000000001"/>
  </r>
  <r>
    <x v="4"/>
    <x v="6"/>
    <x v="192"/>
    <x v="189"/>
    <s v="M03"/>
    <s v="Federal Grants Fund"/>
    <n v="538402.65"/>
  </r>
  <r>
    <x v="4"/>
    <x v="1"/>
    <x v="455"/>
    <x v="457"/>
    <s v="M04"/>
    <s v="General Fund"/>
    <n v="147117.82999999999"/>
  </r>
  <r>
    <x v="5"/>
    <x v="0"/>
    <x v="168"/>
    <x v="166"/>
    <s v="M03"/>
    <s v="General Fund"/>
    <n v="0"/>
  </r>
  <r>
    <x v="5"/>
    <x v="1"/>
    <x v="395"/>
    <x v="399"/>
    <s v="M04"/>
    <s v="General Fund"/>
    <n v="0"/>
  </r>
  <r>
    <x v="5"/>
    <x v="6"/>
    <x v="481"/>
    <x v="463"/>
    <s v="M04"/>
    <s v="General Fund"/>
    <n v="23270.81"/>
  </r>
  <r>
    <x v="5"/>
    <x v="8"/>
    <x v="331"/>
    <x v="335"/>
    <s v="M03"/>
    <s v="Federal Grants Fund"/>
    <n v="104055.6"/>
  </r>
  <r>
    <x v="4"/>
    <x v="2"/>
    <x v="108"/>
    <x v="108"/>
    <s v="M03"/>
    <s v="General Fund"/>
    <n v="186000"/>
  </r>
  <r>
    <x v="5"/>
    <x v="9"/>
    <x v="241"/>
    <x v="239"/>
    <s v="M03"/>
    <s v="General Fund"/>
    <n v="2255184.08"/>
  </r>
  <r>
    <x v="4"/>
    <x v="7"/>
    <x v="145"/>
    <x v="144"/>
    <s v="M03"/>
    <s v="Federal Grants Fund"/>
    <n v="0"/>
  </r>
  <r>
    <x v="3"/>
    <x v="12"/>
    <x v="317"/>
    <x v="320"/>
    <s v="M03"/>
    <s v="General Fund"/>
    <n v="248711.59"/>
  </r>
  <r>
    <x v="4"/>
    <x v="6"/>
    <x v="308"/>
    <x v="311"/>
    <s v="MM3"/>
    <s v="General Fund"/>
    <n v="2037129"/>
  </r>
  <r>
    <x v="2"/>
    <x v="0"/>
    <x v="154"/>
    <x v="475"/>
    <s v="M03"/>
    <s v="Expendable Trust Fund - External"/>
    <n v="15171.27"/>
  </r>
  <r>
    <x v="2"/>
    <x v="7"/>
    <x v="127"/>
    <x v="127"/>
    <s v="M03"/>
    <s v="Human Service Salary Reserve Fund"/>
    <n v="0"/>
  </r>
  <r>
    <x v="0"/>
    <x v="6"/>
    <x v="175"/>
    <x v="172"/>
    <s v="M03"/>
    <s v="General Fund"/>
    <n v="86219.8"/>
  </r>
  <r>
    <x v="3"/>
    <x v="6"/>
    <x v="481"/>
    <x v="463"/>
    <s v="M03"/>
    <s v="General Fund"/>
    <n v="12944.85"/>
  </r>
  <r>
    <x v="5"/>
    <x v="6"/>
    <x v="467"/>
    <x v="470"/>
    <s v="M04"/>
    <s v="Federal Grants Fund"/>
    <n v="37176"/>
  </r>
  <r>
    <x v="2"/>
    <x v="5"/>
    <x v="131"/>
    <x v="131"/>
    <s v="MM3"/>
    <s v="Federal Grants Fund"/>
    <n v="117418"/>
  </r>
  <r>
    <x v="5"/>
    <x v="7"/>
    <x v="379"/>
    <x v="383"/>
    <s v="M03"/>
    <s v="General Fund"/>
    <n v="55464"/>
  </r>
  <r>
    <x v="2"/>
    <x v="0"/>
    <x v="168"/>
    <x v="166"/>
    <s v="M03"/>
    <s v="General Fund"/>
    <n v="13332.25"/>
  </r>
  <r>
    <x v="0"/>
    <x v="11"/>
    <x v="244"/>
    <x v="242"/>
    <s v="M04"/>
    <s v="Federal Grants Fund"/>
    <n v="1957834.71"/>
  </r>
  <r>
    <x v="3"/>
    <x v="6"/>
    <x v="153"/>
    <x v="152"/>
    <s v="M04"/>
    <s v="Federal Grants Fund"/>
    <n v="0"/>
  </r>
  <r>
    <x v="4"/>
    <x v="6"/>
    <x v="139"/>
    <x v="138"/>
    <s v="MM3"/>
    <s v="Federal Grants Fund"/>
    <n v="0"/>
  </r>
  <r>
    <x v="1"/>
    <x v="9"/>
    <x v="241"/>
    <x v="239"/>
    <s v="M03"/>
    <s v="General Fund"/>
    <n v="2028557.67"/>
  </r>
  <r>
    <x v="4"/>
    <x v="9"/>
    <x v="200"/>
    <x v="197"/>
    <s v="M04"/>
    <s v="General Fund"/>
    <n v="51071.29"/>
  </r>
  <r>
    <x v="5"/>
    <x v="0"/>
    <x v="186"/>
    <x v="183"/>
    <s v="M03"/>
    <s v="General Fund"/>
    <n v="134665.97"/>
  </r>
  <r>
    <x v="4"/>
    <x v="6"/>
    <x v="95"/>
    <x v="95"/>
    <s v="M04"/>
    <s v="Federal Grants Fund"/>
    <n v="149522"/>
  </r>
  <r>
    <x v="4"/>
    <x v="0"/>
    <x v="186"/>
    <x v="183"/>
    <s v="M04"/>
    <s v="Expendable Trust Fund - External"/>
    <n v="0"/>
  </r>
  <r>
    <x v="5"/>
    <x v="6"/>
    <x v="264"/>
    <x v="264"/>
    <s v="MM3"/>
    <s v="Federal Grants Fund"/>
    <n v="0"/>
  </r>
  <r>
    <x v="0"/>
    <x v="5"/>
    <x v="133"/>
    <x v="133"/>
    <s v="MM3"/>
    <s v="Federal Grants Fund"/>
    <n v="0"/>
  </r>
  <r>
    <x v="0"/>
    <x v="9"/>
    <x v="155"/>
    <x v="154"/>
    <s v="M03"/>
    <s v="General Fund"/>
    <n v="32472.9"/>
  </r>
  <r>
    <x v="1"/>
    <x v="3"/>
    <x v="307"/>
    <x v="310"/>
    <s v="M03"/>
    <s v="General Fund"/>
    <n v="1839211"/>
  </r>
  <r>
    <x v="3"/>
    <x v="6"/>
    <x v="87"/>
    <x v="87"/>
    <s v="M04"/>
    <s v="State Racing Fund"/>
    <n v="70000"/>
  </r>
  <r>
    <x v="1"/>
    <x v="0"/>
    <x v="18"/>
    <x v="18"/>
    <s v="M03"/>
    <s v="General Fund"/>
    <n v="40261.5"/>
  </r>
  <r>
    <x v="2"/>
    <x v="6"/>
    <x v="413"/>
    <x v="416"/>
    <s v="M04"/>
    <s v="General Fund"/>
    <n v="460660"/>
  </r>
  <r>
    <x v="3"/>
    <x v="0"/>
    <x v="178"/>
    <x v="175"/>
    <s v="MM3"/>
    <s v="General Fund"/>
    <n v="24000"/>
  </r>
  <r>
    <x v="2"/>
    <x v="7"/>
    <x v="238"/>
    <x v="236"/>
    <s v="M04"/>
    <s v="Trust Fund For the Head Injury Treatment Service Fund"/>
    <n v="0"/>
  </r>
  <r>
    <x v="2"/>
    <x v="0"/>
    <x v="143"/>
    <x v="142"/>
    <s v="MM3"/>
    <s v="General Fund"/>
    <n v="3621"/>
  </r>
  <r>
    <x v="1"/>
    <x v="0"/>
    <x v="336"/>
    <x v="340"/>
    <s v="M03"/>
    <s v="General Fund"/>
    <n v="750"/>
  </r>
  <r>
    <x v="0"/>
    <x v="6"/>
    <x v="38"/>
    <x v="38"/>
    <s v="MM3"/>
    <s v="Federal Grants Fund"/>
    <n v="908561.02"/>
  </r>
  <r>
    <x v="2"/>
    <x v="5"/>
    <x v="158"/>
    <x v="157"/>
    <s v="M04"/>
    <s v="Federal Grants Fund"/>
    <n v="69560.66"/>
  </r>
  <r>
    <x v="5"/>
    <x v="2"/>
    <x v="473"/>
    <x v="477"/>
    <s v="M03"/>
    <s v="General Fund"/>
    <n v="24291"/>
  </r>
  <r>
    <x v="0"/>
    <x v="6"/>
    <x v="183"/>
    <x v="180"/>
    <s v="M04"/>
    <s v="General Fund"/>
    <n v="1103020.58"/>
  </r>
  <r>
    <x v="2"/>
    <x v="6"/>
    <x v="81"/>
    <x v="81"/>
    <s v="MM3"/>
    <s v="Federal Grants Fund"/>
    <n v="20000"/>
  </r>
  <r>
    <x v="5"/>
    <x v="0"/>
    <x v="66"/>
    <x v="66"/>
    <s v="M03"/>
    <s v="General Fund"/>
    <n v="0"/>
  </r>
  <r>
    <x v="5"/>
    <x v="6"/>
    <x v="91"/>
    <x v="91"/>
    <s v="M04"/>
    <s v="General Fund"/>
    <n v="673685.6"/>
  </r>
  <r>
    <x v="1"/>
    <x v="6"/>
    <x v="289"/>
    <x v="291"/>
    <s v="M04"/>
    <s v="Federal Grants Fund"/>
    <n v="51947.61"/>
  </r>
  <r>
    <x v="1"/>
    <x v="8"/>
    <x v="342"/>
    <x v="347"/>
    <s v="M03"/>
    <s v="Expendable Trust Fund - External"/>
    <n v="124582.74"/>
  </r>
  <r>
    <x v="2"/>
    <x v="6"/>
    <x v="50"/>
    <x v="50"/>
    <s v="MM3"/>
    <s v="General Fund"/>
    <n v="100000"/>
  </r>
  <r>
    <x v="4"/>
    <x v="16"/>
    <x v="430"/>
    <x v="313"/>
    <s v="M04"/>
    <s v="Federal Highway Construction Program Capital Projects Fund"/>
    <n v="104769.9"/>
  </r>
  <r>
    <x v="4"/>
    <x v="7"/>
    <x v="173"/>
    <x v="104"/>
    <s v="M04"/>
    <s v="Expendable Trust Fund - External"/>
    <n v="43092.79"/>
  </r>
  <r>
    <x v="5"/>
    <x v="12"/>
    <x v="472"/>
    <x v="476"/>
    <s v="M03"/>
    <s v="General Fund"/>
    <n v="0"/>
  </r>
  <r>
    <x v="1"/>
    <x v="6"/>
    <x v="87"/>
    <x v="87"/>
    <s v="M04"/>
    <s v="Substance Abuse Services Fund"/>
    <n v="248570"/>
  </r>
  <r>
    <x v="4"/>
    <x v="7"/>
    <x v="40"/>
    <x v="40"/>
    <s v="M03"/>
    <s v="Federal Grants Fund"/>
    <n v="-0.75"/>
  </r>
  <r>
    <x v="1"/>
    <x v="9"/>
    <x v="293"/>
    <x v="295"/>
    <s v="M03"/>
    <s v="Expendable Trust Fund - External"/>
    <n v="19982.71"/>
  </r>
  <r>
    <x v="1"/>
    <x v="3"/>
    <x v="402"/>
    <x v="405"/>
    <s v="M04"/>
    <s v="Expendable Trust Fund - External"/>
    <n v="680"/>
  </r>
  <r>
    <x v="1"/>
    <x v="0"/>
    <x v="193"/>
    <x v="190"/>
    <s v="MM3"/>
    <s v="General Fund"/>
    <n v="9840"/>
  </r>
  <r>
    <x v="4"/>
    <x v="0"/>
    <x v="215"/>
    <x v="212"/>
    <s v="M03"/>
    <s v="Expendable Trust Fund - External"/>
    <n v="0"/>
  </r>
  <r>
    <x v="0"/>
    <x v="0"/>
    <x v="88"/>
    <x v="88"/>
    <s v="MM3"/>
    <s v="Expendable Trust Fund - External"/>
    <n v="12720"/>
  </r>
  <r>
    <x v="1"/>
    <x v="6"/>
    <x v="87"/>
    <x v="87"/>
    <s v="M04"/>
    <s v="State Racing Fund"/>
    <n v="101000"/>
  </r>
  <r>
    <x v="4"/>
    <x v="0"/>
    <x v="110"/>
    <x v="110"/>
    <s v="M04"/>
    <s v="Expendable Trust Fund - External"/>
    <n v="0"/>
  </r>
  <r>
    <x v="3"/>
    <x v="0"/>
    <x v="229"/>
    <x v="227"/>
    <s v="M03"/>
    <s v="Expendable Trust Fund - External"/>
    <n v="0"/>
  </r>
  <r>
    <x v="5"/>
    <x v="0"/>
    <x v="79"/>
    <x v="79"/>
    <s v="M04"/>
    <s v="Expendable Trust Fund - External"/>
    <n v="0"/>
  </r>
  <r>
    <x v="5"/>
    <x v="6"/>
    <x v="153"/>
    <x v="152"/>
    <s v="M04"/>
    <s v="Federal Grants Fund"/>
    <n v="36000"/>
  </r>
  <r>
    <x v="2"/>
    <x v="7"/>
    <x v="55"/>
    <x v="55"/>
    <s v="M03"/>
    <s v="Expendable Trust Fund - External"/>
    <n v="8190"/>
  </r>
  <r>
    <x v="2"/>
    <x v="0"/>
    <x v="220"/>
    <x v="218"/>
    <s v="M03"/>
    <s v="General Fund"/>
    <n v="12545307.310000001"/>
  </r>
  <r>
    <x v="2"/>
    <x v="7"/>
    <x v="125"/>
    <x v="125"/>
    <s v="M04"/>
    <s v="Federal Grants Fund"/>
    <n v="498213.27"/>
  </r>
  <r>
    <x v="2"/>
    <x v="0"/>
    <x v="220"/>
    <x v="218"/>
    <s v="MM3"/>
    <s v="General Fund"/>
    <n v="31629932.870000001"/>
  </r>
  <r>
    <x v="1"/>
    <x v="5"/>
    <x v="447"/>
    <x v="449"/>
    <s v="MM3"/>
    <s v="General Fund"/>
    <n v="5950437.5300000003"/>
  </r>
  <r>
    <x v="2"/>
    <x v="5"/>
    <x v="353"/>
    <x v="359"/>
    <s v="M04"/>
    <s v="General Fund"/>
    <n v="50167.59"/>
  </r>
  <r>
    <x v="3"/>
    <x v="0"/>
    <x v="0"/>
    <x v="0"/>
    <s v="MM3"/>
    <s v="General Fund"/>
    <n v="18615779.379999999"/>
  </r>
  <r>
    <x v="3"/>
    <x v="5"/>
    <x v="94"/>
    <x v="94"/>
    <s v="MM3"/>
    <s v="General Fund"/>
    <n v="8244093.9500000002"/>
  </r>
  <r>
    <x v="3"/>
    <x v="6"/>
    <x v="263"/>
    <x v="263"/>
    <s v="MM3"/>
    <s v="General Fund"/>
    <n v="27214373.510000002"/>
  </r>
  <r>
    <x v="3"/>
    <x v="6"/>
    <x v="482"/>
    <x v="486"/>
    <s v="M03"/>
    <s v="General Fund"/>
    <n v="9208061.9199999999"/>
  </r>
  <r>
    <x v="3"/>
    <x v="13"/>
    <x v="426"/>
    <x v="429"/>
    <s v="M03"/>
    <s v="General Fund"/>
    <n v="4300132.17"/>
  </r>
  <r>
    <x v="3"/>
    <x v="6"/>
    <x v="8"/>
    <x v="8"/>
    <s v="M03"/>
    <s v="Federal Grants Fund"/>
    <n v="17306052.890000001"/>
  </r>
  <r>
    <x v="3"/>
    <x v="4"/>
    <x v="254"/>
    <x v="252"/>
    <s v="M03"/>
    <s v="General Fund"/>
    <n v="5489358.7699999996"/>
  </r>
  <r>
    <x v="3"/>
    <x v="0"/>
    <x v="10"/>
    <x v="10"/>
    <s v="M03"/>
    <s v="General Fund"/>
    <n v="3242458.49"/>
  </r>
  <r>
    <x v="1"/>
    <x v="0"/>
    <x v="154"/>
    <x v="153"/>
    <s v="MM3"/>
    <s v="General Fund"/>
    <n v="19676995.77"/>
  </r>
  <r>
    <x v="0"/>
    <x v="3"/>
    <x v="360"/>
    <x v="366"/>
    <s v="M03"/>
    <s v="General Fund"/>
    <n v="40765527.060000002"/>
  </r>
  <r>
    <x v="2"/>
    <x v="1"/>
    <x v="157"/>
    <x v="156"/>
    <s v="M03"/>
    <s v="General Fund"/>
    <n v="548944.43999999994"/>
  </r>
  <r>
    <x v="3"/>
    <x v="6"/>
    <x v="337"/>
    <x v="341"/>
    <s v="M04"/>
    <s v="General Fund"/>
    <n v="990400"/>
  </r>
  <r>
    <x v="3"/>
    <x v="5"/>
    <x v="134"/>
    <x v="134"/>
    <s v="MM3"/>
    <s v="Federal Grants Fund"/>
    <n v="6740283.2699999996"/>
  </r>
  <r>
    <x v="3"/>
    <x v="9"/>
    <x v="24"/>
    <x v="24"/>
    <s v="M03"/>
    <s v="General Fund"/>
    <n v="5619424.9500000002"/>
  </r>
  <r>
    <x v="3"/>
    <x v="0"/>
    <x v="336"/>
    <x v="340"/>
    <s v="MM3"/>
    <s v="General Fund"/>
    <n v="327763"/>
  </r>
  <r>
    <x v="1"/>
    <x v="0"/>
    <x v="150"/>
    <x v="149"/>
    <s v="M03"/>
    <s v="General Fund"/>
    <n v="139954.69"/>
  </r>
  <r>
    <x v="3"/>
    <x v="7"/>
    <x v="375"/>
    <x v="380"/>
    <s v="M03"/>
    <s v="Trust Fund For the Head Injury Treatment Service Fund"/>
    <n v="689800"/>
  </r>
  <r>
    <x v="3"/>
    <x v="2"/>
    <x v="409"/>
    <x v="412"/>
    <s v="M03"/>
    <s v="General Fund"/>
    <n v="31940932.440000001"/>
  </r>
  <r>
    <x v="2"/>
    <x v="10"/>
    <x v="162"/>
    <x v="160"/>
    <s v="M03"/>
    <s v="General Fund"/>
    <n v="78662648.340000004"/>
  </r>
  <r>
    <x v="2"/>
    <x v="6"/>
    <x v="192"/>
    <x v="189"/>
    <s v="M03"/>
    <s v="General Fund"/>
    <n v="2082110.03"/>
  </r>
  <r>
    <x v="3"/>
    <x v="6"/>
    <x v="482"/>
    <x v="486"/>
    <s v="M03"/>
    <s v="Federal Grants Fund"/>
    <n v="1402217.6"/>
  </r>
  <r>
    <x v="3"/>
    <x v="7"/>
    <x v="238"/>
    <x v="236"/>
    <s v="M03"/>
    <s v="Trust Fund For the Head Injury Treatment Service Fund"/>
    <n v="71908.87"/>
  </r>
  <r>
    <x v="3"/>
    <x v="0"/>
    <x v="88"/>
    <x v="88"/>
    <s v="MM3"/>
    <s v="General Fund"/>
    <n v="4378961.55"/>
  </r>
  <r>
    <x v="2"/>
    <x v="0"/>
    <x v="154"/>
    <x v="475"/>
    <s v="M03"/>
    <s v="General Fund"/>
    <n v="16390414.890000001"/>
  </r>
  <r>
    <x v="4"/>
    <x v="6"/>
    <x v="137"/>
    <x v="136"/>
    <s v="MM3"/>
    <s v="General Fund"/>
    <n v="52865703.859999999"/>
  </r>
  <r>
    <x v="2"/>
    <x v="5"/>
    <x v="94"/>
    <x v="94"/>
    <s v="MM3"/>
    <s v="General Fund"/>
    <n v="7590067.5499999998"/>
  </r>
  <r>
    <x v="2"/>
    <x v="7"/>
    <x v="34"/>
    <x v="34"/>
    <s v="M03"/>
    <s v="Federal Grants Fund"/>
    <n v="130267.11"/>
  </r>
  <r>
    <x v="0"/>
    <x v="1"/>
    <x v="206"/>
    <x v="203"/>
    <s v="M03"/>
    <s v="General Fund"/>
    <n v="177890.44"/>
  </r>
  <r>
    <x v="0"/>
    <x v="7"/>
    <x v="34"/>
    <x v="34"/>
    <s v="M03"/>
    <s v="General Fund"/>
    <n v="1599251.23"/>
  </r>
  <r>
    <x v="1"/>
    <x v="0"/>
    <x v="104"/>
    <x v="104"/>
    <s v="MM3"/>
    <s v="General Fund"/>
    <n v="12000"/>
  </r>
  <r>
    <x v="1"/>
    <x v="5"/>
    <x v="131"/>
    <x v="131"/>
    <s v="MM3"/>
    <s v="General Fund"/>
    <n v="6679505.9699999997"/>
  </r>
  <r>
    <x v="0"/>
    <x v="7"/>
    <x v="343"/>
    <x v="348"/>
    <s v="M03"/>
    <s v="General Fund"/>
    <n v="1169"/>
  </r>
  <r>
    <x v="1"/>
    <x v="3"/>
    <x v="279"/>
    <x v="281"/>
    <s v="M03"/>
    <s v="General Fund"/>
    <n v="10899421.74"/>
  </r>
  <r>
    <x v="0"/>
    <x v="2"/>
    <x v="389"/>
    <x v="393"/>
    <s v="M03"/>
    <s v="General Fund"/>
    <n v="1421021.35"/>
  </r>
  <r>
    <x v="0"/>
    <x v="2"/>
    <x v="280"/>
    <x v="282"/>
    <s v="MM3"/>
    <s v="Federal Grants Fund"/>
    <n v="78466.7"/>
  </r>
  <r>
    <x v="2"/>
    <x v="5"/>
    <x v="133"/>
    <x v="133"/>
    <s v="MM3"/>
    <s v="General Fund"/>
    <n v="14364404.59"/>
  </r>
  <r>
    <x v="1"/>
    <x v="0"/>
    <x v="223"/>
    <x v="221"/>
    <s v="MM3"/>
    <s v="General Fund"/>
    <n v="3334907.34"/>
  </r>
  <r>
    <x v="1"/>
    <x v="12"/>
    <x v="383"/>
    <x v="386"/>
    <s v="M03"/>
    <s v="General Fund"/>
    <n v="2842400"/>
  </r>
  <r>
    <x v="2"/>
    <x v="0"/>
    <x v="48"/>
    <x v="48"/>
    <s v="M03"/>
    <s v="General Fund"/>
    <n v="824743.5"/>
  </r>
  <r>
    <x v="2"/>
    <x v="5"/>
    <x v="195"/>
    <x v="192"/>
    <s v="MM3"/>
    <s v="General Fund"/>
    <n v="4663862.68"/>
  </r>
  <r>
    <x v="2"/>
    <x v="0"/>
    <x v="20"/>
    <x v="20"/>
    <s v="MM3"/>
    <s v="General Fund"/>
    <n v="2984205.28"/>
  </r>
  <r>
    <x v="1"/>
    <x v="4"/>
    <x v="254"/>
    <x v="252"/>
    <s v="M03"/>
    <s v="General Fund"/>
    <n v="5613576.7599999998"/>
  </r>
  <r>
    <x v="2"/>
    <x v="6"/>
    <x v="8"/>
    <x v="8"/>
    <s v="M03"/>
    <s v="Federal Grants Fund"/>
    <n v="16722879.83"/>
  </r>
  <r>
    <x v="2"/>
    <x v="0"/>
    <x v="122"/>
    <x v="346"/>
    <s v="M03"/>
    <s v="General Fund"/>
    <n v="2472667.8199999998"/>
  </r>
  <r>
    <x v="2"/>
    <x v="12"/>
    <x v="483"/>
    <x v="487"/>
    <s v="M03"/>
    <s v="Federal Grants Fund"/>
    <n v="115716.42"/>
  </r>
  <r>
    <x v="1"/>
    <x v="0"/>
    <x v="210"/>
    <x v="207"/>
    <s v="M03"/>
    <s v="General Fund"/>
    <n v="321344.19"/>
  </r>
  <r>
    <x v="0"/>
    <x v="6"/>
    <x v="82"/>
    <x v="82"/>
    <s v="MM3"/>
    <s v="General Fund"/>
    <n v="4837288.6100000003"/>
  </r>
  <r>
    <x v="1"/>
    <x v="6"/>
    <x v="8"/>
    <x v="8"/>
    <s v="M03"/>
    <s v="General Fund"/>
    <n v="9753711"/>
  </r>
  <r>
    <x v="0"/>
    <x v="0"/>
    <x v="126"/>
    <x v="126"/>
    <s v="MM3"/>
    <s v="General Fund"/>
    <n v="68493"/>
  </r>
  <r>
    <x v="0"/>
    <x v="7"/>
    <x v="379"/>
    <x v="383"/>
    <s v="M03"/>
    <s v="General Fund"/>
    <n v="1013244.98"/>
  </r>
  <r>
    <x v="0"/>
    <x v="6"/>
    <x v="152"/>
    <x v="151"/>
    <s v="MM3"/>
    <s v="General Fund"/>
    <n v="1464258.3"/>
  </r>
  <r>
    <x v="0"/>
    <x v="7"/>
    <x v="40"/>
    <x v="40"/>
    <s v="M03"/>
    <s v="General Fund"/>
    <n v="225835.59"/>
  </r>
  <r>
    <x v="1"/>
    <x v="0"/>
    <x v="0"/>
    <x v="0"/>
    <s v="MM3"/>
    <s v="Expendable Trust Fund - External"/>
    <n v="0"/>
  </r>
  <r>
    <x v="2"/>
    <x v="6"/>
    <x v="166"/>
    <x v="164"/>
    <s v="MM3"/>
    <s v="General Fund"/>
    <n v="759817"/>
  </r>
  <r>
    <x v="2"/>
    <x v="8"/>
    <x v="406"/>
    <x v="409"/>
    <s v="M03"/>
    <s v="Federal Grants Fund"/>
    <n v="735552.35"/>
  </r>
  <r>
    <x v="2"/>
    <x v="6"/>
    <x v="137"/>
    <x v="136"/>
    <s v="MM3"/>
    <s v="Substance Abuse Services Fund"/>
    <n v="2591562.9900000002"/>
  </r>
  <r>
    <x v="0"/>
    <x v="12"/>
    <x v="383"/>
    <x v="386"/>
    <s v="M03"/>
    <s v="General Fund"/>
    <n v="3243780"/>
  </r>
  <r>
    <x v="4"/>
    <x v="0"/>
    <x v="177"/>
    <x v="174"/>
    <s v="MM3"/>
    <s v="General Fund"/>
    <n v="6082194.96"/>
  </r>
  <r>
    <x v="1"/>
    <x v="0"/>
    <x v="179"/>
    <x v="176"/>
    <s v="MM3"/>
    <s v="General Fund"/>
    <n v="7246996.9400000004"/>
  </r>
  <r>
    <x v="1"/>
    <x v="0"/>
    <x v="186"/>
    <x v="183"/>
    <s v="MM3"/>
    <s v="Expendable Trust Fund - External"/>
    <n v="0"/>
  </r>
  <r>
    <x v="2"/>
    <x v="5"/>
    <x v="330"/>
    <x v="334"/>
    <s v="M04"/>
    <s v="General Fund"/>
    <n v="2009695.01"/>
  </r>
  <r>
    <x v="2"/>
    <x v="6"/>
    <x v="174"/>
    <x v="171"/>
    <s v="M04"/>
    <s v="General Fund"/>
    <n v="819059.99"/>
  </r>
  <r>
    <x v="2"/>
    <x v="3"/>
    <x v="377"/>
    <x v="7"/>
    <s v="M03"/>
    <s v="General Fund"/>
    <n v="558160.4"/>
  </r>
  <r>
    <x v="2"/>
    <x v="6"/>
    <x v="38"/>
    <x v="38"/>
    <s v="MM3"/>
    <s v="General Fund"/>
    <n v="3963457.51"/>
  </r>
  <r>
    <x v="4"/>
    <x v="0"/>
    <x v="10"/>
    <x v="10"/>
    <s v="MM3"/>
    <s v="General Fund"/>
    <n v="4354962.24"/>
  </r>
  <r>
    <x v="0"/>
    <x v="6"/>
    <x v="218"/>
    <x v="216"/>
    <s v="MM3"/>
    <s v="Federal Grants Fund"/>
    <n v="3927614.01"/>
  </r>
  <r>
    <x v="2"/>
    <x v="3"/>
    <x v="89"/>
    <x v="89"/>
    <s v="M03"/>
    <s v="General Fund"/>
    <n v="296256.7"/>
  </r>
  <r>
    <x v="3"/>
    <x v="5"/>
    <x v="75"/>
    <x v="75"/>
    <s v="M03"/>
    <s v="General Fund"/>
    <n v="1421782.8"/>
  </r>
  <r>
    <x v="1"/>
    <x v="5"/>
    <x v="67"/>
    <x v="67"/>
    <s v="M03"/>
    <s v="General Fund"/>
    <n v="582387.76"/>
  </r>
  <r>
    <x v="2"/>
    <x v="6"/>
    <x v="396"/>
    <x v="400"/>
    <s v="MM3"/>
    <s v="General Fund"/>
    <n v="866471.27"/>
  </r>
  <r>
    <x v="4"/>
    <x v="6"/>
    <x v="240"/>
    <x v="238"/>
    <s v="MM3"/>
    <s v="General Fund"/>
    <n v="336746.98"/>
  </r>
  <r>
    <x v="1"/>
    <x v="6"/>
    <x v="137"/>
    <x v="136"/>
    <s v="MM3"/>
    <s v="Federal Grants Fund"/>
    <n v="5274495.6399999997"/>
  </r>
  <r>
    <x v="0"/>
    <x v="0"/>
    <x v="246"/>
    <x v="244"/>
    <s v="MM3"/>
    <s v="General Fund"/>
    <n v="163967.76"/>
  </r>
  <r>
    <x v="3"/>
    <x v="6"/>
    <x v="274"/>
    <x v="275"/>
    <s v="MM3"/>
    <s v="General Fund"/>
    <n v="714672.3"/>
  </r>
  <r>
    <x v="3"/>
    <x v="6"/>
    <x v="263"/>
    <x v="263"/>
    <s v="M04"/>
    <s v="Federal Grants Fund"/>
    <n v="98250.61"/>
  </r>
  <r>
    <x v="3"/>
    <x v="7"/>
    <x v="100"/>
    <x v="100"/>
    <s v="M03"/>
    <s v="General Fund"/>
    <n v="253651.83"/>
  </r>
  <r>
    <x v="3"/>
    <x v="0"/>
    <x v="105"/>
    <x v="105"/>
    <s v="M04"/>
    <s v="General Fund"/>
    <n v="103753.06"/>
  </r>
  <r>
    <x v="2"/>
    <x v="6"/>
    <x v="50"/>
    <x v="50"/>
    <s v="M04"/>
    <s v="General Fund"/>
    <n v="433050"/>
  </r>
  <r>
    <x v="1"/>
    <x v="6"/>
    <x v="249"/>
    <x v="247"/>
    <s v="M04"/>
    <s v="Federal Grants Fund"/>
    <n v="242936.04"/>
  </r>
  <r>
    <x v="2"/>
    <x v="7"/>
    <x v="296"/>
    <x v="298"/>
    <s v="M03"/>
    <s v="General Fund"/>
    <n v="1911.38"/>
  </r>
  <r>
    <x v="4"/>
    <x v="0"/>
    <x v="103"/>
    <x v="103"/>
    <s v="M03"/>
    <s v="General Fund"/>
    <n v="65953.81"/>
  </r>
  <r>
    <x v="1"/>
    <x v="0"/>
    <x v="354"/>
    <x v="360"/>
    <s v="M04"/>
    <s v="General Fund"/>
    <n v="354768.75"/>
  </r>
  <r>
    <x v="3"/>
    <x v="2"/>
    <x v="224"/>
    <x v="222"/>
    <s v="M03"/>
    <s v="Federal Grants Fund"/>
    <n v="1541135.75"/>
  </r>
  <r>
    <x v="0"/>
    <x v="6"/>
    <x v="204"/>
    <x v="201"/>
    <s v="M04"/>
    <s v="Federal Grants Fund"/>
    <n v="719508.13"/>
  </r>
  <r>
    <x v="0"/>
    <x v="6"/>
    <x v="91"/>
    <x v="91"/>
    <s v="M04"/>
    <s v="Federal Grants Fund"/>
    <n v="435290.86"/>
  </r>
  <r>
    <x v="3"/>
    <x v="8"/>
    <x v="484"/>
    <x v="488"/>
    <s v="M03"/>
    <s v="Office of Refugees and Immigrants Trust"/>
    <n v="9590.65"/>
  </r>
  <r>
    <x v="3"/>
    <x v="6"/>
    <x v="63"/>
    <x v="63"/>
    <s v="M04"/>
    <s v="General Fund"/>
    <n v="225986.52"/>
  </r>
  <r>
    <x v="3"/>
    <x v="6"/>
    <x v="85"/>
    <x v="85"/>
    <s v="M04"/>
    <s v="General Fund"/>
    <n v="56721.2"/>
  </r>
  <r>
    <x v="3"/>
    <x v="6"/>
    <x v="180"/>
    <x v="177"/>
    <s v="M04"/>
    <s v="Federal Grants Fund"/>
    <n v="59251.4"/>
  </r>
  <r>
    <x v="4"/>
    <x v="6"/>
    <x v="253"/>
    <x v="251"/>
    <s v="MM3"/>
    <s v="General Fund"/>
    <n v="6427906.9000000004"/>
  </r>
  <r>
    <x v="4"/>
    <x v="6"/>
    <x v="281"/>
    <x v="283"/>
    <s v="MM3"/>
    <s v="General Fund"/>
    <n v="2213848.38"/>
  </r>
  <r>
    <x v="4"/>
    <x v="4"/>
    <x v="254"/>
    <x v="252"/>
    <s v="M03"/>
    <s v="General Fund"/>
    <n v="5752580.8600000003"/>
  </r>
  <r>
    <x v="5"/>
    <x v="6"/>
    <x v="8"/>
    <x v="8"/>
    <s v="M03"/>
    <s v="General Fund"/>
    <n v="9970069"/>
  </r>
  <r>
    <x v="5"/>
    <x v="0"/>
    <x v="10"/>
    <x v="10"/>
    <s v="M03"/>
    <s v="General Fund"/>
    <n v="2702290.42"/>
  </r>
  <r>
    <x v="5"/>
    <x v="0"/>
    <x v="122"/>
    <x v="122"/>
    <s v="M04"/>
    <s v="General Fund"/>
    <n v="9205627.1600000001"/>
  </r>
  <r>
    <x v="5"/>
    <x v="0"/>
    <x v="103"/>
    <x v="103"/>
    <s v="M04"/>
    <s v="General Fund"/>
    <n v="988491.7"/>
  </r>
  <r>
    <x v="5"/>
    <x v="6"/>
    <x v="358"/>
    <x v="364"/>
    <s v="MM3"/>
    <s v="General Fund"/>
    <n v="601073.76"/>
  </r>
  <r>
    <x v="5"/>
    <x v="6"/>
    <x v="192"/>
    <x v="189"/>
    <s v="M03"/>
    <s v="Federal Grants Fund"/>
    <n v="459681.61"/>
  </r>
  <r>
    <x v="5"/>
    <x v="6"/>
    <x v="82"/>
    <x v="82"/>
    <s v="MM3"/>
    <s v="General Fund"/>
    <n v="5498259.96"/>
  </r>
  <r>
    <x v="5"/>
    <x v="6"/>
    <x v="152"/>
    <x v="151"/>
    <s v="MM3"/>
    <s v="Federal Grants Fund"/>
    <n v="412565.41"/>
  </r>
  <r>
    <x v="5"/>
    <x v="7"/>
    <x v="15"/>
    <x v="15"/>
    <s v="M03"/>
    <s v="General Fund"/>
    <n v="937842.23"/>
  </r>
  <r>
    <x v="5"/>
    <x v="7"/>
    <x v="100"/>
    <x v="100"/>
    <s v="M03"/>
    <s v="General Fund"/>
    <n v="764964.44"/>
  </r>
  <r>
    <x v="4"/>
    <x v="6"/>
    <x v="63"/>
    <x v="63"/>
    <s v="M04"/>
    <s v="Substance Abuse Services Fund"/>
    <n v="1318877.32"/>
  </r>
  <r>
    <x v="5"/>
    <x v="10"/>
    <x v="385"/>
    <x v="389"/>
    <s v="M03"/>
    <s v="General Fund"/>
    <n v="6875869"/>
  </r>
  <r>
    <x v="0"/>
    <x v="5"/>
    <x v="75"/>
    <x v="75"/>
    <s v="M04"/>
    <s v="Expendable Trust Fund - External"/>
    <n v="113660"/>
  </r>
  <r>
    <x v="0"/>
    <x v="5"/>
    <x v="138"/>
    <x v="137"/>
    <s v="M03"/>
    <s v="Federal Grants Fund"/>
    <n v="2004200.2"/>
  </r>
  <r>
    <x v="0"/>
    <x v="6"/>
    <x v="196"/>
    <x v="193"/>
    <s v="MM3"/>
    <s v="Federal Grants Fund"/>
    <n v="267324.15000000002"/>
  </r>
  <r>
    <x v="0"/>
    <x v="3"/>
    <x v="203"/>
    <x v="200"/>
    <s v="M03"/>
    <s v="General Fund"/>
    <n v="1356746.9"/>
  </r>
  <r>
    <x v="0"/>
    <x v="6"/>
    <x v="81"/>
    <x v="81"/>
    <s v="MM3"/>
    <s v="General Fund"/>
    <n v="423884.76"/>
  </r>
  <r>
    <x v="1"/>
    <x v="0"/>
    <x v="150"/>
    <x v="149"/>
    <s v="M04"/>
    <s v="General Fund"/>
    <n v="47792.35"/>
  </r>
  <r>
    <x v="2"/>
    <x v="5"/>
    <x v="60"/>
    <x v="60"/>
    <s v="M04"/>
    <s v="General Fund"/>
    <n v="43387"/>
  </r>
  <r>
    <x v="2"/>
    <x v="7"/>
    <x v="198"/>
    <x v="195"/>
    <s v="M03"/>
    <s v="General Fund"/>
    <n v="10988.49"/>
  </r>
  <r>
    <x v="2"/>
    <x v="6"/>
    <x v="308"/>
    <x v="311"/>
    <s v="MM3"/>
    <s v="General Fund"/>
    <n v="1368790.22"/>
  </r>
  <r>
    <x v="4"/>
    <x v="8"/>
    <x v="17"/>
    <x v="17"/>
    <s v="M03"/>
    <s v="Federal Grants Fund"/>
    <n v="1983152.72"/>
  </r>
  <r>
    <x v="5"/>
    <x v="6"/>
    <x v="38"/>
    <x v="38"/>
    <s v="MM3"/>
    <s v="General Fund"/>
    <n v="2903611.9"/>
  </r>
  <r>
    <x v="5"/>
    <x v="6"/>
    <x v="19"/>
    <x v="19"/>
    <s v="M03"/>
    <s v="Federal Grants Fund"/>
    <n v="917622.96"/>
  </r>
  <r>
    <x v="5"/>
    <x v="6"/>
    <x v="139"/>
    <x v="138"/>
    <s v="MM3"/>
    <s v="General Fund"/>
    <n v="2694839.29"/>
  </r>
  <r>
    <x v="5"/>
    <x v="9"/>
    <x v="24"/>
    <x v="24"/>
    <s v="M03"/>
    <s v="General Fund"/>
    <n v="5365562.2300000004"/>
  </r>
  <r>
    <x v="2"/>
    <x v="6"/>
    <x v="477"/>
    <x v="481"/>
    <s v="M04"/>
    <s v="General Fund"/>
    <n v="407299"/>
  </r>
  <r>
    <x v="2"/>
    <x v="6"/>
    <x v="249"/>
    <x v="247"/>
    <s v="M04"/>
    <s v="Federal Grants Fund"/>
    <n v="524110.16"/>
  </r>
  <r>
    <x v="4"/>
    <x v="0"/>
    <x v="25"/>
    <x v="25"/>
    <s v="M03"/>
    <s v="General Fund"/>
    <n v="494451.62"/>
  </r>
  <r>
    <x v="3"/>
    <x v="0"/>
    <x v="354"/>
    <x v="360"/>
    <s v="M04"/>
    <s v="Intragovernmental Services Fund"/>
    <n v="16800"/>
  </r>
  <r>
    <x v="0"/>
    <x v="9"/>
    <x v="46"/>
    <x v="46"/>
    <s v="M03"/>
    <s v="General Fund"/>
    <n v="158813.35999999999"/>
  </r>
  <r>
    <x v="1"/>
    <x v="9"/>
    <x v="388"/>
    <x v="392"/>
    <s v="M03"/>
    <s v="General Fund"/>
    <n v="2984177.51"/>
  </r>
  <r>
    <x v="1"/>
    <x v="0"/>
    <x v="336"/>
    <x v="340"/>
    <s v="M04"/>
    <s v="General Fund"/>
    <n v="376026.91"/>
  </r>
  <r>
    <x v="2"/>
    <x v="6"/>
    <x v="118"/>
    <x v="118"/>
    <s v="M04"/>
    <s v="Federal Grants Fund"/>
    <n v="428924.88"/>
  </r>
  <r>
    <x v="1"/>
    <x v="6"/>
    <x v="123"/>
    <x v="123"/>
    <s v="M04"/>
    <s v="Federal Grants Fund"/>
    <n v="260500"/>
  </r>
  <r>
    <x v="2"/>
    <x v="0"/>
    <x v="215"/>
    <x v="212"/>
    <s v="MM3"/>
    <s v="General Fund"/>
    <n v="137545.79"/>
  </r>
  <r>
    <x v="2"/>
    <x v="6"/>
    <x v="355"/>
    <x v="361"/>
    <s v="M03"/>
    <s v="General Fund"/>
    <n v="550000"/>
  </r>
  <r>
    <x v="4"/>
    <x v="6"/>
    <x v="146"/>
    <x v="145"/>
    <s v="M04"/>
    <s v="General Fund"/>
    <n v="144996.46"/>
  </r>
  <r>
    <x v="4"/>
    <x v="0"/>
    <x v="221"/>
    <x v="219"/>
    <s v="M04"/>
    <s v="General Fund"/>
    <n v="51249.11"/>
  </r>
  <r>
    <x v="5"/>
    <x v="0"/>
    <x v="217"/>
    <x v="215"/>
    <s v="MM3"/>
    <s v="General Fund"/>
    <n v="337777.71"/>
  </r>
  <r>
    <x v="5"/>
    <x v="0"/>
    <x v="369"/>
    <x v="374"/>
    <s v="M03"/>
    <s v="General Fund"/>
    <n v="1345.74"/>
  </r>
  <r>
    <x v="5"/>
    <x v="5"/>
    <x v="76"/>
    <x v="76"/>
    <s v="MM3"/>
    <s v="General Fund"/>
    <n v="69999.98"/>
  </r>
  <r>
    <x v="0"/>
    <x v="1"/>
    <x v="250"/>
    <x v="248"/>
    <s v="MM3"/>
    <s v="Federal Grants Fund"/>
    <n v="102846.35"/>
  </r>
  <r>
    <x v="1"/>
    <x v="5"/>
    <x v="351"/>
    <x v="356"/>
    <s v="M03"/>
    <s v="General Fund"/>
    <n v="198785.48"/>
  </r>
  <r>
    <x v="4"/>
    <x v="6"/>
    <x v="87"/>
    <x v="87"/>
    <s v="M04"/>
    <s v="Substance Abuse Services Fund"/>
    <n v="1141864.05"/>
  </r>
  <r>
    <x v="5"/>
    <x v="5"/>
    <x v="362"/>
    <x v="368"/>
    <s v="MM3"/>
    <s v="General Fund"/>
    <n v="762738.89"/>
  </r>
  <r>
    <x v="5"/>
    <x v="5"/>
    <x v="239"/>
    <x v="237"/>
    <s v="M03"/>
    <s v="Federal Grants Fund"/>
    <n v="1581965.44"/>
  </r>
  <r>
    <x v="2"/>
    <x v="6"/>
    <x v="485"/>
    <x v="489"/>
    <s v="M04"/>
    <s v="Federal Grants Fund"/>
    <n v="0"/>
  </r>
  <r>
    <x v="1"/>
    <x v="6"/>
    <x v="185"/>
    <x v="182"/>
    <s v="MM3"/>
    <s v="Federal Grants Fund"/>
    <n v="606117.24"/>
  </r>
  <r>
    <x v="0"/>
    <x v="5"/>
    <x v="75"/>
    <x v="75"/>
    <s v="M03"/>
    <s v="Federal Grants Fund"/>
    <n v="106546"/>
  </r>
  <r>
    <x v="1"/>
    <x v="0"/>
    <x v="315"/>
    <x v="318"/>
    <s v="MM3"/>
    <s v="General Fund"/>
    <n v="35801.29"/>
  </r>
  <r>
    <x v="4"/>
    <x v="7"/>
    <x v="34"/>
    <x v="34"/>
    <s v="M03"/>
    <s v="Federal Grants Fund"/>
    <n v="133167.92000000001"/>
  </r>
  <r>
    <x v="2"/>
    <x v="6"/>
    <x v="345"/>
    <x v="350"/>
    <s v="MM3"/>
    <s v="Federal Grants Fund"/>
    <n v="0"/>
  </r>
  <r>
    <x v="0"/>
    <x v="6"/>
    <x v="413"/>
    <x v="416"/>
    <s v="M04"/>
    <s v="General Fund"/>
    <n v="458660"/>
  </r>
  <r>
    <x v="2"/>
    <x v="6"/>
    <x v="450"/>
    <x v="452"/>
    <s v="M03"/>
    <s v="Federal Grants Fund"/>
    <n v="112347.04"/>
  </r>
  <r>
    <x v="5"/>
    <x v="0"/>
    <x v="73"/>
    <x v="73"/>
    <s v="M03"/>
    <s v="Expendable Trust Fund - External"/>
    <n v="7027.9"/>
  </r>
  <r>
    <x v="5"/>
    <x v="12"/>
    <x v="317"/>
    <x v="320"/>
    <s v="M03"/>
    <s v="General Fund"/>
    <n v="248032.76"/>
  </r>
  <r>
    <x v="1"/>
    <x v="0"/>
    <x v="260"/>
    <x v="260"/>
    <s v="MM3"/>
    <s v="General Fund"/>
    <n v="5094.95"/>
  </r>
  <r>
    <x v="2"/>
    <x v="0"/>
    <x v="336"/>
    <x v="340"/>
    <s v="MM3"/>
    <s v="General Fund"/>
    <n v="116378"/>
  </r>
  <r>
    <x v="1"/>
    <x v="5"/>
    <x v="138"/>
    <x v="137"/>
    <s v="MM3"/>
    <s v="Federal Grants Fund"/>
    <n v="105896"/>
  </r>
  <r>
    <x v="0"/>
    <x v="3"/>
    <x v="373"/>
    <x v="378"/>
    <s v="M03"/>
    <s v="General Fund"/>
    <n v="298200.84000000003"/>
  </r>
  <r>
    <x v="1"/>
    <x v="7"/>
    <x v="47"/>
    <x v="47"/>
    <s v="M03"/>
    <s v="Trust Fund For the Head Injury Treatment Service Fund"/>
    <n v="43492.2"/>
  </r>
  <r>
    <x v="3"/>
    <x v="0"/>
    <x v="220"/>
    <x v="218"/>
    <s v="M03"/>
    <s v="Expendable Trust Fund - External"/>
    <n v="0"/>
  </r>
  <r>
    <x v="2"/>
    <x v="6"/>
    <x v="137"/>
    <x v="136"/>
    <s v="M03"/>
    <s v="Federal Grants Fund"/>
    <n v="64673.4"/>
  </r>
  <r>
    <x v="2"/>
    <x v="14"/>
    <x v="156"/>
    <x v="155"/>
    <s v="M04"/>
    <s v="General Fund"/>
    <n v="1199.25"/>
  </r>
  <r>
    <x v="1"/>
    <x v="6"/>
    <x v="256"/>
    <x v="255"/>
    <s v="M04"/>
    <s v="General Fund"/>
    <n v="49999.89"/>
  </r>
  <r>
    <x v="4"/>
    <x v="7"/>
    <x v="15"/>
    <x v="15"/>
    <s v="M03"/>
    <s v="Federal Grants Fund"/>
    <n v="2675"/>
  </r>
  <r>
    <x v="4"/>
    <x v="3"/>
    <x v="64"/>
    <x v="64"/>
    <s v="M04"/>
    <s v="General Fund"/>
    <n v="25000"/>
  </r>
  <r>
    <x v="4"/>
    <x v="6"/>
    <x v="86"/>
    <x v="86"/>
    <s v="M04"/>
    <s v="Federal Grants Fund"/>
    <n v="216796.29"/>
  </r>
  <r>
    <x v="4"/>
    <x v="6"/>
    <x v="166"/>
    <x v="164"/>
    <s v="M04"/>
    <s v="General Fund"/>
    <n v="693514.75"/>
  </r>
  <r>
    <x v="5"/>
    <x v="6"/>
    <x v="137"/>
    <x v="136"/>
    <s v="MM3"/>
    <s v="Federal Grants Fund"/>
    <n v="15528.4"/>
  </r>
  <r>
    <x v="5"/>
    <x v="0"/>
    <x v="104"/>
    <x v="104"/>
    <s v="M04"/>
    <s v="Expendable Trust Fund - External"/>
    <n v="17523.27"/>
  </r>
  <r>
    <x v="5"/>
    <x v="6"/>
    <x v="226"/>
    <x v="224"/>
    <s v="MM3"/>
    <s v="Expendable Trust Fund - External"/>
    <n v="0"/>
  </r>
  <r>
    <x v="5"/>
    <x v="7"/>
    <x v="323"/>
    <x v="326"/>
    <s v="M03"/>
    <s v="General Fund"/>
    <n v="37446"/>
  </r>
  <r>
    <x v="1"/>
    <x v="11"/>
    <x v="244"/>
    <x v="242"/>
    <s v="M04"/>
    <s v="General Fund"/>
    <n v="1160895.67"/>
  </r>
  <r>
    <x v="0"/>
    <x v="0"/>
    <x v="141"/>
    <x v="357"/>
    <s v="M03"/>
    <s v="General Fund"/>
    <n v="2940.66"/>
  </r>
  <r>
    <x v="1"/>
    <x v="6"/>
    <x v="287"/>
    <x v="289"/>
    <s v="M04"/>
    <s v="Federal Grants Fund"/>
    <n v="0"/>
  </r>
  <r>
    <x v="3"/>
    <x v="6"/>
    <x v="256"/>
    <x v="255"/>
    <s v="M04"/>
    <s v="General Fund"/>
    <n v="49996.75"/>
  </r>
  <r>
    <x v="1"/>
    <x v="0"/>
    <x v="179"/>
    <x v="176"/>
    <s v="MM3"/>
    <s v="Expendable Trust Fund - External"/>
    <n v="0"/>
  </r>
  <r>
    <x v="4"/>
    <x v="0"/>
    <x v="186"/>
    <x v="183"/>
    <s v="M03"/>
    <s v="General Fund"/>
    <n v="74134.75"/>
  </r>
  <r>
    <x v="5"/>
    <x v="5"/>
    <x v="351"/>
    <x v="356"/>
    <s v="M04"/>
    <s v="General Fund"/>
    <n v="73500"/>
  </r>
  <r>
    <x v="1"/>
    <x v="9"/>
    <x v="200"/>
    <x v="197"/>
    <s v="M03"/>
    <s v="General Fund"/>
    <n v="0"/>
  </r>
  <r>
    <x v="4"/>
    <x v="0"/>
    <x v="315"/>
    <x v="318"/>
    <s v="M03"/>
    <s v="Expendable Trust Fund - External"/>
    <n v="0"/>
  </r>
  <r>
    <x v="3"/>
    <x v="7"/>
    <x v="296"/>
    <x v="298"/>
    <s v="M03"/>
    <s v="Trust Fund For the Head Injury Treatment Service Fund"/>
    <n v="2250"/>
  </r>
  <r>
    <x v="0"/>
    <x v="7"/>
    <x v="208"/>
    <x v="214"/>
    <s v="M03"/>
    <s v="Expendable Trust Fund - External"/>
    <n v="0"/>
  </r>
  <r>
    <x v="2"/>
    <x v="6"/>
    <x v="137"/>
    <x v="136"/>
    <s v="M03"/>
    <s v="General Fund"/>
    <n v="366482.6"/>
  </r>
  <r>
    <x v="5"/>
    <x v="6"/>
    <x v="174"/>
    <x v="171"/>
    <s v="M04"/>
    <s v="Prevention and Wellness Trust Fund"/>
    <n v="14125"/>
  </r>
  <r>
    <x v="4"/>
    <x v="6"/>
    <x v="180"/>
    <x v="177"/>
    <s v="M03"/>
    <s v="Suspense Fund"/>
    <n v="165722.44"/>
  </r>
  <r>
    <x v="2"/>
    <x v="6"/>
    <x v="337"/>
    <x v="341"/>
    <s v="M04"/>
    <s v="Federal Grants Fund"/>
    <n v="0"/>
  </r>
  <r>
    <x v="3"/>
    <x v="6"/>
    <x v="308"/>
    <x v="311"/>
    <s v="MM3"/>
    <s v="Expendable Trust Fund - External"/>
    <n v="724999.87"/>
  </r>
  <r>
    <x v="4"/>
    <x v="1"/>
    <x v="231"/>
    <x v="119"/>
    <s v="M04"/>
    <s v="General Fund"/>
    <n v="1692"/>
  </r>
  <r>
    <x v="0"/>
    <x v="2"/>
    <x v="230"/>
    <x v="228"/>
    <s v="M03"/>
    <s v="Federal Grants Fund"/>
    <n v="0"/>
  </r>
  <r>
    <x v="4"/>
    <x v="6"/>
    <x v="87"/>
    <x v="87"/>
    <s v="M04"/>
    <s v="Mass Gaming Control Fund"/>
    <n v="17500"/>
  </r>
  <r>
    <x v="4"/>
    <x v="6"/>
    <x v="358"/>
    <x v="364"/>
    <s v="MM3"/>
    <s v="General Fund"/>
    <n v="24956.99"/>
  </r>
  <r>
    <x v="1"/>
    <x v="1"/>
    <x v="119"/>
    <x v="119"/>
    <s v="M04"/>
    <s v="Federal Grants Fund"/>
    <n v="485.2"/>
  </r>
  <r>
    <x v="2"/>
    <x v="6"/>
    <x v="396"/>
    <x v="400"/>
    <s v="MM3"/>
    <s v="Federal Grants Fund"/>
    <n v="0"/>
  </r>
  <r>
    <x v="1"/>
    <x v="7"/>
    <x v="271"/>
    <x v="271"/>
    <s v="M03"/>
    <s v="Federal Grants Fund"/>
    <n v="169.25"/>
  </r>
  <r>
    <x v="1"/>
    <x v="0"/>
    <x v="105"/>
    <x v="105"/>
    <s v="M03"/>
    <s v="General Fund"/>
    <n v="25000"/>
  </r>
  <r>
    <x v="2"/>
    <x v="6"/>
    <x v="417"/>
    <x v="420"/>
    <s v="M04"/>
    <s v="Federal Grants Fund"/>
    <n v="0"/>
  </r>
  <r>
    <x v="4"/>
    <x v="0"/>
    <x v="273"/>
    <x v="274"/>
    <s v="M03"/>
    <s v="Expendable Trust Fund - External"/>
    <n v="0"/>
  </r>
  <r>
    <x v="4"/>
    <x v="6"/>
    <x v="305"/>
    <x v="308"/>
    <s v="M04"/>
    <s v="General Fund"/>
    <n v="0"/>
  </r>
  <r>
    <x v="1"/>
    <x v="5"/>
    <x v="131"/>
    <x v="131"/>
    <s v="MM3"/>
    <s v="Federal Grants Fund"/>
    <n v="0"/>
  </r>
  <r>
    <x v="5"/>
    <x v="6"/>
    <x v="301"/>
    <x v="304"/>
    <s v="M04"/>
    <s v="Federal Grants Fund"/>
    <n v="34863.599999999999"/>
  </r>
  <r>
    <x v="1"/>
    <x v="11"/>
    <x v="376"/>
    <x v="381"/>
    <s v="M04"/>
    <s v="Community First Trust Fund - Non-Budgeted"/>
    <n v="259716"/>
  </r>
  <r>
    <x v="4"/>
    <x v="0"/>
    <x v="25"/>
    <x v="25"/>
    <s v="MM3"/>
    <s v="Expendable Trust Fund - External"/>
    <n v="0"/>
  </r>
  <r>
    <x v="5"/>
    <x v="0"/>
    <x v="374"/>
    <x v="379"/>
    <s v="M03"/>
    <s v="General Fund"/>
    <n v="935.1"/>
  </r>
  <r>
    <x v="5"/>
    <x v="6"/>
    <x v="335"/>
    <x v="339"/>
    <s v="M03"/>
    <s v="General Fund"/>
    <n v="0"/>
  </r>
  <r>
    <x v="3"/>
    <x v="5"/>
    <x v="138"/>
    <x v="137"/>
    <s v="MM3"/>
    <s v="General Fund"/>
    <n v="0"/>
  </r>
  <r>
    <x v="2"/>
    <x v="3"/>
    <x v="404"/>
    <x v="407"/>
    <s v="M03"/>
    <s v="Federal Grants Fund"/>
    <n v="498602.62"/>
  </r>
  <r>
    <x v="4"/>
    <x v="7"/>
    <x v="140"/>
    <x v="139"/>
    <s v="M03"/>
    <s v="General Fund"/>
    <n v="7288"/>
  </r>
  <r>
    <x v="4"/>
    <x v="0"/>
    <x v="49"/>
    <x v="49"/>
    <s v="MM3"/>
    <s v="Expendable Trust Fund - External"/>
    <n v="0"/>
  </r>
  <r>
    <x v="1"/>
    <x v="5"/>
    <x v="130"/>
    <x v="130"/>
    <s v="MM3"/>
    <s v="Federal Grants Fund"/>
    <n v="2224930.71"/>
  </r>
  <r>
    <x v="0"/>
    <x v="0"/>
    <x v="10"/>
    <x v="10"/>
    <s v="M03"/>
    <s v="General Fund"/>
    <n v="1595978.09"/>
  </r>
  <r>
    <x v="0"/>
    <x v="0"/>
    <x v="220"/>
    <x v="218"/>
    <s v="M03"/>
    <s v="General Fund"/>
    <n v="17869490.289999999"/>
  </r>
  <r>
    <x v="0"/>
    <x v="6"/>
    <x v="174"/>
    <x v="171"/>
    <s v="M04"/>
    <s v="Federal Grants Fund"/>
    <n v="272970.12"/>
  </r>
  <r>
    <x v="1"/>
    <x v="6"/>
    <x v="137"/>
    <x v="136"/>
    <s v="MM3"/>
    <s v="General Fund"/>
    <n v="37071552.899999999"/>
  </r>
  <r>
    <x v="0"/>
    <x v="0"/>
    <x v="0"/>
    <x v="0"/>
    <s v="M03"/>
    <s v="General Fund"/>
    <n v="3723726.55"/>
  </r>
  <r>
    <x v="1"/>
    <x v="7"/>
    <x v="23"/>
    <x v="23"/>
    <s v="M03"/>
    <s v="Federal Grants Fund"/>
    <n v="1493858.07"/>
  </r>
  <r>
    <x v="0"/>
    <x v="5"/>
    <x v="195"/>
    <x v="192"/>
    <s v="MM3"/>
    <s v="General Fund"/>
    <n v="4637991.24"/>
  </r>
  <r>
    <x v="1"/>
    <x v="0"/>
    <x v="97"/>
    <x v="97"/>
    <s v="M03"/>
    <s v="General Fund"/>
    <n v="12906880.060000001"/>
  </r>
  <r>
    <x v="0"/>
    <x v="7"/>
    <x v="296"/>
    <x v="298"/>
    <s v="M03"/>
    <s v="Federal Grants Fund"/>
    <n v="1214934.18"/>
  </r>
  <r>
    <x v="3"/>
    <x v="0"/>
    <x v="103"/>
    <x v="103"/>
    <s v="M04"/>
    <s v="General Fund"/>
    <n v="1197255.3"/>
  </r>
  <r>
    <x v="3"/>
    <x v="6"/>
    <x v="226"/>
    <x v="224"/>
    <s v="M03"/>
    <s v="Federal Grants Fund"/>
    <n v="721739.14"/>
  </r>
  <r>
    <x v="3"/>
    <x v="7"/>
    <x v="363"/>
    <x v="20"/>
    <s v="M03"/>
    <s v="Trust Fund For the Head Injury Treatment Service Fund"/>
    <n v="58481.599999999999"/>
  </r>
  <r>
    <x v="3"/>
    <x v="6"/>
    <x v="216"/>
    <x v="213"/>
    <s v="MM3"/>
    <s v="General Fund"/>
    <n v="2993326.65"/>
  </r>
  <r>
    <x v="3"/>
    <x v="6"/>
    <x v="19"/>
    <x v="19"/>
    <s v="M03"/>
    <s v="General Fund"/>
    <n v="4948324.74"/>
  </r>
  <r>
    <x v="3"/>
    <x v="0"/>
    <x v="26"/>
    <x v="26"/>
    <s v="M04"/>
    <s v="General Fund"/>
    <n v="873806.21"/>
  </r>
  <r>
    <x v="3"/>
    <x v="6"/>
    <x v="474"/>
    <x v="478"/>
    <s v="MM3"/>
    <s v="General Fund"/>
    <n v="17336576.100000001"/>
  </r>
  <r>
    <x v="0"/>
    <x v="0"/>
    <x v="58"/>
    <x v="58"/>
    <s v="MM3"/>
    <s v="General Fund"/>
    <n v="56598.720000000001"/>
  </r>
  <r>
    <x v="3"/>
    <x v="6"/>
    <x v="486"/>
    <x v="490"/>
    <s v="M04"/>
    <s v="General Fund"/>
    <n v="250000"/>
  </r>
  <r>
    <x v="3"/>
    <x v="0"/>
    <x v="93"/>
    <x v="93"/>
    <s v="M03"/>
    <s v="General Fund"/>
    <n v="4146690.08"/>
  </r>
  <r>
    <x v="3"/>
    <x v="7"/>
    <x v="34"/>
    <x v="34"/>
    <s v="M03"/>
    <s v="Federal Grants Fund"/>
    <n v="636992.15"/>
  </r>
  <r>
    <x v="2"/>
    <x v="0"/>
    <x v="102"/>
    <x v="102"/>
    <s v="MM3"/>
    <s v="General Fund"/>
    <n v="486475.27"/>
  </r>
  <r>
    <x v="0"/>
    <x v="0"/>
    <x v="73"/>
    <x v="73"/>
    <s v="M03"/>
    <s v="General Fund"/>
    <n v="34008.959999999999"/>
  </r>
  <r>
    <x v="0"/>
    <x v="2"/>
    <x v="207"/>
    <x v="204"/>
    <s v="M03"/>
    <s v="Federal Grants Fund"/>
    <n v="2642714.4300000002"/>
  </r>
  <r>
    <x v="0"/>
    <x v="2"/>
    <x v="364"/>
    <x v="369"/>
    <s v="M03"/>
    <s v="General Fund"/>
    <n v="131406324.98999999"/>
  </r>
  <r>
    <x v="0"/>
    <x v="6"/>
    <x v="192"/>
    <x v="189"/>
    <s v="M03"/>
    <s v="General Fund"/>
    <n v="2113208.5"/>
  </r>
  <r>
    <x v="0"/>
    <x v="0"/>
    <x v="58"/>
    <x v="58"/>
    <s v="M03"/>
    <s v="General Fund"/>
    <n v="198568.8"/>
  </r>
  <r>
    <x v="2"/>
    <x v="5"/>
    <x v="30"/>
    <x v="30"/>
    <s v="MM3"/>
    <s v="Federal Grants Fund"/>
    <n v="247837.84"/>
  </r>
  <r>
    <x v="0"/>
    <x v="6"/>
    <x v="233"/>
    <x v="230"/>
    <s v="MM3"/>
    <s v="Federal Grants Fund"/>
    <n v="5592042.6200000001"/>
  </r>
  <r>
    <x v="2"/>
    <x v="7"/>
    <x v="294"/>
    <x v="296"/>
    <s v="M03"/>
    <s v="General Fund"/>
    <n v="229702.87"/>
  </r>
  <r>
    <x v="2"/>
    <x v="12"/>
    <x v="129"/>
    <x v="129"/>
    <s v="M03"/>
    <s v="General Fund"/>
    <n v="1653935"/>
  </r>
  <r>
    <x v="1"/>
    <x v="2"/>
    <x v="340"/>
    <x v="344"/>
    <s v="M03"/>
    <s v="General Fund"/>
    <n v="49949782.759999998"/>
  </r>
  <r>
    <x v="2"/>
    <x v="7"/>
    <x v="326"/>
    <x v="330"/>
    <s v="M03"/>
    <s v="Federal Grants Fund"/>
    <n v="312839.21999999997"/>
  </r>
  <r>
    <x v="1"/>
    <x v="13"/>
    <x v="475"/>
    <x v="479"/>
    <s v="M03"/>
    <s v="General Fund"/>
    <n v="6232169.0300000003"/>
  </r>
  <r>
    <x v="1"/>
    <x v="0"/>
    <x v="49"/>
    <x v="49"/>
    <s v="MM3"/>
    <s v="General Fund"/>
    <n v="248061.67"/>
  </r>
  <r>
    <x v="2"/>
    <x v="6"/>
    <x v="118"/>
    <x v="118"/>
    <s v="M04"/>
    <s v="General Fund"/>
    <n v="145000"/>
  </r>
  <r>
    <x v="0"/>
    <x v="7"/>
    <x v="120"/>
    <x v="120"/>
    <s v="M03"/>
    <s v="Trust Fund For the Head Injury Treatment Service Fund"/>
    <n v="337800.35"/>
  </r>
  <r>
    <x v="1"/>
    <x v="0"/>
    <x v="186"/>
    <x v="183"/>
    <s v="M04"/>
    <s v="General Fund"/>
    <n v="370973.71"/>
  </r>
  <r>
    <x v="1"/>
    <x v="3"/>
    <x v="64"/>
    <x v="64"/>
    <s v="M03"/>
    <s v="Federal Grants Fund"/>
    <n v="3379947.82"/>
  </r>
  <r>
    <x v="2"/>
    <x v="0"/>
    <x v="116"/>
    <x v="116"/>
    <s v="M03"/>
    <s v="General Fund"/>
    <n v="924414.71"/>
  </r>
  <r>
    <x v="0"/>
    <x v="6"/>
    <x v="35"/>
    <x v="35"/>
    <s v="MM3"/>
    <s v="General Fund"/>
    <n v="834750"/>
  </r>
  <r>
    <x v="0"/>
    <x v="0"/>
    <x v="11"/>
    <x v="11"/>
    <s v="MM3"/>
    <s v="Intragovernmental Services Fund"/>
    <n v="196203.84"/>
  </r>
  <r>
    <x v="1"/>
    <x v="6"/>
    <x v="50"/>
    <x v="50"/>
    <s v="M04"/>
    <s v="General Fund"/>
    <n v="917500"/>
  </r>
  <r>
    <x v="1"/>
    <x v="2"/>
    <x v="409"/>
    <x v="412"/>
    <s v="M03"/>
    <s v="General Fund"/>
    <n v="35519561"/>
  </r>
  <r>
    <x v="0"/>
    <x v="6"/>
    <x v="240"/>
    <x v="238"/>
    <s v="MM3"/>
    <s v="General Fund"/>
    <n v="499957"/>
  </r>
  <r>
    <x v="1"/>
    <x v="9"/>
    <x v="222"/>
    <x v="277"/>
    <s v="M03"/>
    <s v="General Fund"/>
    <n v="3545314.23"/>
  </r>
  <r>
    <x v="2"/>
    <x v="12"/>
    <x v="487"/>
    <x v="491"/>
    <s v="M03"/>
    <s v="Federal Grants Fund"/>
    <n v="1270462.21"/>
  </r>
  <r>
    <x v="2"/>
    <x v="0"/>
    <x v="221"/>
    <x v="219"/>
    <s v="M03"/>
    <s v="Expendable Trust Fund - External"/>
    <n v="42683.94"/>
  </r>
  <r>
    <x v="1"/>
    <x v="8"/>
    <x v="342"/>
    <x v="347"/>
    <s v="M03"/>
    <s v="Office of Refugees and Immigrants Trust"/>
    <n v="299286"/>
  </r>
  <r>
    <x v="2"/>
    <x v="2"/>
    <x v="459"/>
    <x v="461"/>
    <s v="M03"/>
    <s v="General Fund"/>
    <n v="290210"/>
  </r>
  <r>
    <x v="4"/>
    <x v="3"/>
    <x v="414"/>
    <x v="417"/>
    <s v="M03"/>
    <s v="General Fund"/>
    <n v="0"/>
  </r>
  <r>
    <x v="3"/>
    <x v="0"/>
    <x v="354"/>
    <x v="360"/>
    <s v="M04"/>
    <s v="General Fund"/>
    <n v="465089"/>
  </r>
  <r>
    <x v="3"/>
    <x v="2"/>
    <x v="298"/>
    <x v="301"/>
    <s v="M03"/>
    <s v="Veterans Independence Plus Initiative Fund"/>
    <n v="928361.51"/>
  </r>
  <r>
    <x v="0"/>
    <x v="5"/>
    <x v="131"/>
    <x v="131"/>
    <s v="M03"/>
    <s v="General Fund"/>
    <n v="265848.24"/>
  </r>
  <r>
    <x v="2"/>
    <x v="0"/>
    <x v="150"/>
    <x v="149"/>
    <s v="M03"/>
    <s v="General Fund"/>
    <n v="104916.55"/>
  </r>
  <r>
    <x v="0"/>
    <x v="2"/>
    <x v="457"/>
    <x v="459"/>
    <s v="M04"/>
    <s v="General Fund"/>
    <n v="325000"/>
  </r>
  <r>
    <x v="1"/>
    <x v="9"/>
    <x v="222"/>
    <x v="220"/>
    <s v="M03"/>
    <s v="General Fund"/>
    <n v="6295257.7000000002"/>
  </r>
  <r>
    <x v="0"/>
    <x v="6"/>
    <x v="142"/>
    <x v="141"/>
    <s v="MM3"/>
    <s v="Federal Grants Fund"/>
    <n v="0"/>
  </r>
  <r>
    <x v="4"/>
    <x v="0"/>
    <x v="122"/>
    <x v="122"/>
    <s v="M04"/>
    <s v="General Fund"/>
    <n v="6395518.9000000004"/>
  </r>
  <r>
    <x v="0"/>
    <x v="7"/>
    <x v="454"/>
    <x v="456"/>
    <s v="M03"/>
    <s v="General Fund"/>
    <n v="14483658.27"/>
  </r>
  <r>
    <x v="2"/>
    <x v="4"/>
    <x v="4"/>
    <x v="4"/>
    <s v="M03"/>
    <s v="Federal Grants Fund"/>
    <n v="404556.26"/>
  </r>
  <r>
    <x v="3"/>
    <x v="5"/>
    <x v="488"/>
    <x v="492"/>
    <s v="MM3"/>
    <s v="General Fund"/>
    <n v="187500"/>
  </r>
  <r>
    <x v="4"/>
    <x v="6"/>
    <x v="22"/>
    <x v="22"/>
    <s v="MM3"/>
    <s v="General Fund"/>
    <n v="763558.34"/>
  </r>
  <r>
    <x v="0"/>
    <x v="2"/>
    <x v="298"/>
    <x v="301"/>
    <s v="M03"/>
    <s v="General Fund"/>
    <n v="171462.98"/>
  </r>
  <r>
    <x v="2"/>
    <x v="6"/>
    <x v="91"/>
    <x v="91"/>
    <s v="M04"/>
    <s v="Federal Grants Fund"/>
    <n v="633776"/>
  </r>
  <r>
    <x v="1"/>
    <x v="6"/>
    <x v="334"/>
    <x v="338"/>
    <s v="M04"/>
    <s v="General Fund"/>
    <n v="891971.76"/>
  </r>
  <r>
    <x v="0"/>
    <x v="7"/>
    <x v="51"/>
    <x v="51"/>
    <s v="M03"/>
    <s v="Federal Grants Fund"/>
    <n v="126397.89"/>
  </r>
  <r>
    <x v="4"/>
    <x v="7"/>
    <x v="47"/>
    <x v="47"/>
    <s v="M03"/>
    <s v="Trust Fund For the Head Injury Treatment Service Fund"/>
    <n v="0"/>
  </r>
  <r>
    <x v="1"/>
    <x v="6"/>
    <x v="142"/>
    <x v="141"/>
    <s v="M04"/>
    <s v="General Fund"/>
    <n v="25000"/>
  </r>
  <r>
    <x v="3"/>
    <x v="7"/>
    <x v="173"/>
    <x v="104"/>
    <s v="M04"/>
    <s v="Trust Fund For the Head Injury Treatment Service Fund"/>
    <n v="64770.75"/>
  </r>
  <r>
    <x v="0"/>
    <x v="6"/>
    <x v="305"/>
    <x v="308"/>
    <s v="M04"/>
    <s v="General Fund"/>
    <n v="9393375.4800000004"/>
  </r>
  <r>
    <x v="2"/>
    <x v="0"/>
    <x v="121"/>
    <x v="121"/>
    <s v="MM3"/>
    <s v="Expendable Trust Fund - External"/>
    <n v="5603"/>
  </r>
  <r>
    <x v="0"/>
    <x v="0"/>
    <x v="147"/>
    <x v="256"/>
    <s v="MM3"/>
    <s v="General Fund"/>
    <n v="216480.49"/>
  </r>
  <r>
    <x v="0"/>
    <x v="6"/>
    <x v="192"/>
    <x v="189"/>
    <s v="MM3"/>
    <s v="General Fund"/>
    <n v="903840.49"/>
  </r>
  <r>
    <x v="4"/>
    <x v="0"/>
    <x v="116"/>
    <x v="116"/>
    <s v="M03"/>
    <s v="General Fund"/>
    <n v="990166.77"/>
  </r>
  <r>
    <x v="0"/>
    <x v="5"/>
    <x v="270"/>
    <x v="270"/>
    <s v="M04"/>
    <s v="Federal Grants Fund"/>
    <n v="579200.64"/>
  </r>
  <r>
    <x v="4"/>
    <x v="5"/>
    <x v="158"/>
    <x v="157"/>
    <s v="M04"/>
    <s v="General Fund"/>
    <n v="171426.05"/>
  </r>
  <r>
    <x v="4"/>
    <x v="6"/>
    <x v="39"/>
    <x v="39"/>
    <s v="M04"/>
    <s v="Federal Grants Fund"/>
    <n v="308314.18"/>
  </r>
  <r>
    <x v="4"/>
    <x v="6"/>
    <x v="233"/>
    <x v="230"/>
    <s v="MM3"/>
    <s v="Federal Grants Fund"/>
    <n v="5156566.29"/>
  </r>
  <r>
    <x v="4"/>
    <x v="6"/>
    <x v="263"/>
    <x v="263"/>
    <s v="MM3"/>
    <s v="Federal Grants Fund"/>
    <n v="2551735.4"/>
  </r>
  <r>
    <x v="4"/>
    <x v="5"/>
    <x v="351"/>
    <x v="356"/>
    <s v="M03"/>
    <s v="General Fund"/>
    <n v="1248887.27"/>
  </r>
  <r>
    <x v="5"/>
    <x v="0"/>
    <x v="223"/>
    <x v="221"/>
    <s v="M03"/>
    <s v="General Fund"/>
    <n v="7116129.9400000004"/>
  </r>
  <r>
    <x v="5"/>
    <x v="4"/>
    <x v="254"/>
    <x v="252"/>
    <s v="M03"/>
    <s v="General Fund"/>
    <n v="5498341.7400000002"/>
  </r>
  <r>
    <x v="5"/>
    <x v="7"/>
    <x v="173"/>
    <x v="104"/>
    <s v="M04"/>
    <s v="Trust Fund For the Head Injury Treatment Service Fund"/>
    <n v="251219.49"/>
  </r>
  <r>
    <x v="5"/>
    <x v="5"/>
    <x v="424"/>
    <x v="427"/>
    <s v="MM3"/>
    <s v="General Fund"/>
    <n v="852715.14"/>
  </r>
  <r>
    <x v="5"/>
    <x v="5"/>
    <x v="75"/>
    <x v="75"/>
    <s v="M03"/>
    <s v="General Fund"/>
    <n v="1016096.8"/>
  </r>
  <r>
    <x v="5"/>
    <x v="0"/>
    <x v="221"/>
    <x v="219"/>
    <s v="M03"/>
    <s v="General Fund"/>
    <n v="48007448.969999999"/>
  </r>
  <r>
    <x v="5"/>
    <x v="7"/>
    <x v="329"/>
    <x v="333"/>
    <s v="M03"/>
    <s v="General Fund"/>
    <n v="2621498.7200000002"/>
  </r>
  <r>
    <x v="5"/>
    <x v="0"/>
    <x v="221"/>
    <x v="219"/>
    <s v="MM3"/>
    <s v="Expendable Trust Fund - External"/>
    <n v="-17542.689999999999"/>
  </r>
  <r>
    <x v="5"/>
    <x v="6"/>
    <x v="166"/>
    <x v="164"/>
    <s v="M04"/>
    <s v="General Fund"/>
    <n v="649525.77"/>
  </r>
  <r>
    <x v="5"/>
    <x v="6"/>
    <x v="152"/>
    <x v="151"/>
    <s v="MM3"/>
    <s v="General Fund"/>
    <n v="1389743.72"/>
  </r>
  <r>
    <x v="5"/>
    <x v="6"/>
    <x v="87"/>
    <x v="87"/>
    <s v="M04"/>
    <s v="Federal Grants Fund"/>
    <n v="5090201.68"/>
  </r>
  <r>
    <x v="5"/>
    <x v="2"/>
    <x v="207"/>
    <x v="204"/>
    <s v="M03"/>
    <s v="Federal Grants Fund"/>
    <n v="2880149.57"/>
  </r>
  <r>
    <x v="5"/>
    <x v="1"/>
    <x v="266"/>
    <x v="300"/>
    <s v="M04"/>
    <s v="General Fund"/>
    <n v="600849.02"/>
  </r>
  <r>
    <x v="5"/>
    <x v="6"/>
    <x v="288"/>
    <x v="290"/>
    <s v="M04"/>
    <s v="General Fund"/>
    <n v="148241.03"/>
  </r>
  <r>
    <x v="5"/>
    <x v="0"/>
    <x v="102"/>
    <x v="102"/>
    <s v="MM3"/>
    <s v="General Fund"/>
    <n v="701041.75"/>
  </r>
  <r>
    <x v="5"/>
    <x v="0"/>
    <x v="126"/>
    <x v="126"/>
    <s v="MM3"/>
    <s v="General Fund"/>
    <n v="78953.8"/>
  </r>
  <r>
    <x v="2"/>
    <x v="3"/>
    <x v="203"/>
    <x v="200"/>
    <s v="M03"/>
    <s v="General Fund"/>
    <n v="1827246"/>
  </r>
  <r>
    <x v="2"/>
    <x v="0"/>
    <x v="26"/>
    <x v="26"/>
    <s v="M04"/>
    <s v="General Fund"/>
    <n v="2500"/>
  </r>
  <r>
    <x v="0"/>
    <x v="2"/>
    <x v="459"/>
    <x v="461"/>
    <s v="M03"/>
    <s v="General Fund"/>
    <n v="145170"/>
  </r>
  <r>
    <x v="1"/>
    <x v="5"/>
    <x v="30"/>
    <x v="30"/>
    <s v="MM3"/>
    <s v="Federal Grants Fund"/>
    <n v="0"/>
  </r>
  <r>
    <x v="1"/>
    <x v="0"/>
    <x v="189"/>
    <x v="186"/>
    <s v="M03"/>
    <s v="General Fund"/>
    <n v="62104.32"/>
  </r>
  <r>
    <x v="0"/>
    <x v="0"/>
    <x v="278"/>
    <x v="280"/>
    <s v="M03"/>
    <s v="Expendable Trust Fund - External"/>
    <n v="0"/>
  </r>
  <r>
    <x v="2"/>
    <x v="6"/>
    <x v="252"/>
    <x v="250"/>
    <s v="MM3"/>
    <s v="General Fund"/>
    <n v="722879.61"/>
  </r>
  <r>
    <x v="1"/>
    <x v="7"/>
    <x v="140"/>
    <x v="139"/>
    <s v="M03"/>
    <s v="Federal Grants Fund"/>
    <n v="209150.67"/>
  </r>
  <r>
    <x v="4"/>
    <x v="0"/>
    <x v="18"/>
    <x v="18"/>
    <s v="M03"/>
    <s v="General Fund"/>
    <n v="176929.3"/>
  </r>
  <r>
    <x v="4"/>
    <x v="6"/>
    <x v="216"/>
    <x v="213"/>
    <s v="MM3"/>
    <s v="General Fund"/>
    <n v="2959792.44"/>
  </r>
  <r>
    <x v="4"/>
    <x v="6"/>
    <x v="334"/>
    <x v="338"/>
    <s v="M04"/>
    <s v="General Fund"/>
    <n v="667146.73"/>
  </r>
  <r>
    <x v="4"/>
    <x v="6"/>
    <x v="82"/>
    <x v="82"/>
    <s v="MM3"/>
    <s v="Federal Grants Fund"/>
    <n v="1228238.94"/>
  </r>
  <r>
    <x v="4"/>
    <x v="6"/>
    <x v="337"/>
    <x v="341"/>
    <s v="M04"/>
    <s v="General Fund"/>
    <n v="1000000"/>
  </r>
  <r>
    <x v="5"/>
    <x v="6"/>
    <x v="137"/>
    <x v="136"/>
    <s v="MM3"/>
    <s v="General Fund"/>
    <n v="90943.12"/>
  </r>
  <r>
    <x v="5"/>
    <x v="13"/>
    <x v="475"/>
    <x v="479"/>
    <s v="M03"/>
    <s v="General Fund"/>
    <n v="6153743.0199999996"/>
  </r>
  <r>
    <x v="5"/>
    <x v="2"/>
    <x v="328"/>
    <x v="332"/>
    <s v="M03"/>
    <s v="General Fund"/>
    <n v="113374791.75"/>
  </r>
  <r>
    <x v="5"/>
    <x v="6"/>
    <x v="39"/>
    <x v="39"/>
    <s v="M04"/>
    <s v="Federal Grants Fund"/>
    <n v="466388.76"/>
  </r>
  <r>
    <x v="5"/>
    <x v="6"/>
    <x v="35"/>
    <x v="35"/>
    <s v="M03"/>
    <s v="Federal Grants Fund"/>
    <n v="62161.22"/>
  </r>
  <r>
    <x v="3"/>
    <x v="0"/>
    <x v="122"/>
    <x v="122"/>
    <s v="M04"/>
    <s v="Expendable Trust Fund - External"/>
    <n v="0"/>
  </r>
  <r>
    <x v="4"/>
    <x v="9"/>
    <x v="24"/>
    <x v="24"/>
    <s v="M03"/>
    <s v="General Fund"/>
    <n v="5577666.6500000004"/>
  </r>
  <r>
    <x v="4"/>
    <x v="0"/>
    <x v="215"/>
    <x v="212"/>
    <s v="MM3"/>
    <s v="General Fund"/>
    <n v="189378.58"/>
  </r>
  <r>
    <x v="5"/>
    <x v="6"/>
    <x v="486"/>
    <x v="490"/>
    <s v="M04"/>
    <s v="General Fund"/>
    <n v="250000"/>
  </r>
  <r>
    <x v="5"/>
    <x v="7"/>
    <x v="120"/>
    <x v="120"/>
    <s v="M03"/>
    <s v="General Fund"/>
    <n v="156658.21"/>
  </r>
  <r>
    <x v="5"/>
    <x v="6"/>
    <x v="37"/>
    <x v="37"/>
    <s v="MM3"/>
    <s v="Federal Grants Fund"/>
    <n v="704941.91"/>
  </r>
  <r>
    <x v="3"/>
    <x v="0"/>
    <x v="315"/>
    <x v="318"/>
    <s v="MM3"/>
    <s v="General Fund"/>
    <n v="0"/>
  </r>
  <r>
    <x v="3"/>
    <x v="6"/>
    <x v="91"/>
    <x v="91"/>
    <s v="M04"/>
    <s v="Federal Grants Fund"/>
    <n v="77451.62"/>
  </r>
  <r>
    <x v="5"/>
    <x v="6"/>
    <x v="324"/>
    <x v="327"/>
    <s v="M04"/>
    <s v="General Fund"/>
    <n v="176551.02"/>
  </r>
  <r>
    <x v="3"/>
    <x v="6"/>
    <x v="240"/>
    <x v="238"/>
    <s v="M04"/>
    <s v="General Fund"/>
    <n v="9980.65"/>
  </r>
  <r>
    <x v="1"/>
    <x v="6"/>
    <x v="91"/>
    <x v="91"/>
    <s v="M04"/>
    <s v="Federal Grants Fund"/>
    <n v="273500"/>
  </r>
  <r>
    <x v="1"/>
    <x v="1"/>
    <x v="291"/>
    <x v="293"/>
    <s v="M03"/>
    <s v="Federal Grants Fund"/>
    <n v="41190"/>
  </r>
  <r>
    <x v="1"/>
    <x v="6"/>
    <x v="285"/>
    <x v="287"/>
    <s v="M04"/>
    <s v="Federal Grants Fund"/>
    <n v="218025.27"/>
  </r>
  <r>
    <x v="0"/>
    <x v="7"/>
    <x v="268"/>
    <x v="268"/>
    <s v="M03"/>
    <s v="Trust Fund For the Head Injury Treatment Service Fund"/>
    <n v="41203.620000000003"/>
  </r>
  <r>
    <x v="0"/>
    <x v="0"/>
    <x v="73"/>
    <x v="73"/>
    <s v="MM3"/>
    <s v="General Fund"/>
    <n v="210453.03"/>
  </r>
  <r>
    <x v="0"/>
    <x v="3"/>
    <x v="3"/>
    <x v="3"/>
    <s v="M03"/>
    <s v="Federal Grants Fund"/>
    <n v="298567.52"/>
  </r>
  <r>
    <x v="4"/>
    <x v="2"/>
    <x v="347"/>
    <x v="352"/>
    <s v="M04"/>
    <s v="General Fund"/>
    <n v="317049.95"/>
  </r>
  <r>
    <x v="0"/>
    <x v="9"/>
    <x v="241"/>
    <x v="239"/>
    <s v="M03"/>
    <s v="General Fund"/>
    <n v="2000000"/>
  </r>
  <r>
    <x v="1"/>
    <x v="9"/>
    <x v="469"/>
    <x v="472"/>
    <s v="M03"/>
    <s v="General Fund"/>
    <n v="427285.28"/>
  </r>
  <r>
    <x v="4"/>
    <x v="5"/>
    <x v="94"/>
    <x v="94"/>
    <s v="MM3"/>
    <s v="Expendable Trust Fund - External"/>
    <n v="69459.429999999993"/>
  </r>
  <r>
    <x v="4"/>
    <x v="2"/>
    <x v="457"/>
    <x v="459"/>
    <s v="M04"/>
    <s v="General Fund"/>
    <n v="320426"/>
  </r>
  <r>
    <x v="4"/>
    <x v="5"/>
    <x v="242"/>
    <x v="240"/>
    <s v="MM3"/>
    <s v="General Fund"/>
    <n v="469040.24"/>
  </r>
  <r>
    <x v="4"/>
    <x v="0"/>
    <x v="159"/>
    <x v="62"/>
    <s v="M03"/>
    <s v="General Fund"/>
    <n v="9129.2199999999993"/>
  </r>
  <r>
    <x v="4"/>
    <x v="1"/>
    <x v="250"/>
    <x v="248"/>
    <s v="MM3"/>
    <s v="General Fund"/>
    <n v="55537.38"/>
  </r>
  <r>
    <x v="4"/>
    <x v="0"/>
    <x v="105"/>
    <x v="105"/>
    <s v="M04"/>
    <s v="General Fund"/>
    <n v="389983.44"/>
  </r>
  <r>
    <x v="4"/>
    <x v="0"/>
    <x v="53"/>
    <x v="53"/>
    <s v="MM3"/>
    <s v="General Fund"/>
    <n v="123299.24"/>
  </r>
  <r>
    <x v="4"/>
    <x v="5"/>
    <x v="362"/>
    <x v="368"/>
    <s v="MM3"/>
    <s v="Expendable Trust Fund - External"/>
    <n v="913285.12"/>
  </r>
  <r>
    <x v="4"/>
    <x v="5"/>
    <x v="76"/>
    <x v="76"/>
    <s v="MM3"/>
    <s v="General Fund"/>
    <n v="55000"/>
  </r>
  <r>
    <x v="5"/>
    <x v="0"/>
    <x v="217"/>
    <x v="215"/>
    <s v="M03"/>
    <s v="Expendable Trust Fund - External"/>
    <n v="4633.9799999999996"/>
  </r>
  <r>
    <x v="5"/>
    <x v="1"/>
    <x v="33"/>
    <x v="33"/>
    <s v="M03"/>
    <s v="General Fund"/>
    <n v="493429.3"/>
  </r>
  <r>
    <x v="4"/>
    <x v="6"/>
    <x v="81"/>
    <x v="81"/>
    <s v="MM3"/>
    <s v="General Fund"/>
    <n v="451249"/>
  </r>
  <r>
    <x v="4"/>
    <x v="0"/>
    <x v="205"/>
    <x v="202"/>
    <s v="M03"/>
    <s v="Federal Grants Fund"/>
    <n v="153193.76999999999"/>
  </r>
  <r>
    <x v="5"/>
    <x v="6"/>
    <x v="146"/>
    <x v="145"/>
    <s v="M04"/>
    <s v="General Fund"/>
    <n v="241090.46"/>
  </r>
  <r>
    <x v="5"/>
    <x v="6"/>
    <x v="146"/>
    <x v="145"/>
    <s v="M04"/>
    <s v="Federal Grants Fund"/>
    <n v="229086"/>
  </r>
  <r>
    <x v="3"/>
    <x v="1"/>
    <x v="14"/>
    <x v="14"/>
    <s v="MM3"/>
    <s v="General Fund"/>
    <n v="864.17"/>
  </r>
  <r>
    <x v="2"/>
    <x v="6"/>
    <x v="345"/>
    <x v="350"/>
    <s v="M03"/>
    <s v="Federal Grants Fund"/>
    <n v="139136.1"/>
  </r>
  <r>
    <x v="2"/>
    <x v="5"/>
    <x v="76"/>
    <x v="76"/>
    <s v="MM3"/>
    <s v="Expendable Trust Fund - External"/>
    <n v="17850"/>
  </r>
  <r>
    <x v="0"/>
    <x v="6"/>
    <x v="62"/>
    <x v="62"/>
    <s v="MM3"/>
    <s v="Federal Grants Fund"/>
    <n v="999185.74"/>
  </r>
  <r>
    <x v="2"/>
    <x v="3"/>
    <x v="448"/>
    <x v="450"/>
    <s v="M03"/>
    <s v="General Fund"/>
    <n v="653042.19999999995"/>
  </r>
  <r>
    <x v="3"/>
    <x v="0"/>
    <x v="52"/>
    <x v="52"/>
    <s v="M03"/>
    <s v="Expendable Trust Fund - External"/>
    <n v="0"/>
  </r>
  <r>
    <x v="4"/>
    <x v="7"/>
    <x v="271"/>
    <x v="271"/>
    <s v="M03"/>
    <s v="Federal Grants Fund"/>
    <n v="4659.2"/>
  </r>
  <r>
    <x v="4"/>
    <x v="6"/>
    <x v="175"/>
    <x v="172"/>
    <s v="M03"/>
    <s v="Federal Grants Fund"/>
    <n v="46487.92"/>
  </r>
  <r>
    <x v="5"/>
    <x v="6"/>
    <x v="63"/>
    <x v="63"/>
    <s v="M04"/>
    <s v="Federal Grants Fund"/>
    <n v="1"/>
  </r>
  <r>
    <x v="0"/>
    <x v="5"/>
    <x v="195"/>
    <x v="192"/>
    <s v="MM3"/>
    <s v="Expendable Trust Fund - External"/>
    <n v="50000"/>
  </r>
  <r>
    <x v="1"/>
    <x v="6"/>
    <x v="21"/>
    <x v="21"/>
    <s v="MM3"/>
    <s v="Federal Grants Fund"/>
    <n v="0"/>
  </r>
  <r>
    <x v="3"/>
    <x v="6"/>
    <x v="350"/>
    <x v="355"/>
    <s v="M03"/>
    <s v="General Fund"/>
    <n v="8911"/>
  </r>
  <r>
    <x v="3"/>
    <x v="5"/>
    <x v="361"/>
    <x v="367"/>
    <s v="M03"/>
    <s v="Federal Grants Fund"/>
    <n v="125697.75"/>
  </r>
  <r>
    <x v="4"/>
    <x v="0"/>
    <x v="167"/>
    <x v="165"/>
    <s v="M04"/>
    <s v="General Fund"/>
    <n v="167994"/>
  </r>
  <r>
    <x v="2"/>
    <x v="0"/>
    <x v="202"/>
    <x v="199"/>
    <s v="MM3"/>
    <s v="Expendable Trust Fund - External"/>
    <n v="7986.16"/>
  </r>
  <r>
    <x v="4"/>
    <x v="7"/>
    <x v="329"/>
    <x v="333"/>
    <s v="M03"/>
    <s v="Trust Fund For the Head Injury Treatment Service Fund"/>
    <n v="2460"/>
  </r>
  <r>
    <x v="4"/>
    <x v="6"/>
    <x v="56"/>
    <x v="56"/>
    <s v="M03"/>
    <s v="General Fund"/>
    <n v="126129.22"/>
  </r>
  <r>
    <x v="5"/>
    <x v="6"/>
    <x v="91"/>
    <x v="91"/>
    <s v="M04"/>
    <s v="Federal Grants Fund"/>
    <n v="472190.4"/>
  </r>
  <r>
    <x v="3"/>
    <x v="6"/>
    <x v="482"/>
    <x v="486"/>
    <s v="MM3"/>
    <s v="General Fund"/>
    <n v="178759.67999999999"/>
  </r>
  <r>
    <x v="1"/>
    <x v="6"/>
    <x v="450"/>
    <x v="452"/>
    <s v="M03"/>
    <s v="Federal Grants Fund"/>
    <n v="112500"/>
  </r>
  <r>
    <x v="4"/>
    <x v="0"/>
    <x v="315"/>
    <x v="318"/>
    <s v="MM3"/>
    <s v="General Fund"/>
    <n v="6661.57"/>
  </r>
  <r>
    <x v="0"/>
    <x v="6"/>
    <x v="87"/>
    <x v="87"/>
    <s v="M04"/>
    <s v="State Racing Fund"/>
    <n v="101377"/>
  </r>
  <r>
    <x v="5"/>
    <x v="6"/>
    <x v="109"/>
    <x v="109"/>
    <s v="MM3"/>
    <s v="Federal Grants Fund"/>
    <n v="0"/>
  </r>
  <r>
    <x v="5"/>
    <x v="6"/>
    <x v="175"/>
    <x v="172"/>
    <s v="M03"/>
    <s v="Federal Grants Fund"/>
    <n v="46487.92"/>
  </r>
  <r>
    <x v="2"/>
    <x v="6"/>
    <x v="256"/>
    <x v="255"/>
    <s v="M04"/>
    <s v="General Fund"/>
    <n v="50000"/>
  </r>
  <r>
    <x v="2"/>
    <x v="6"/>
    <x v="180"/>
    <x v="177"/>
    <s v="M04"/>
    <s v="General Fund"/>
    <n v="0"/>
  </r>
  <r>
    <x v="5"/>
    <x v="5"/>
    <x v="361"/>
    <x v="367"/>
    <s v="M04"/>
    <s v="General Fund"/>
    <n v="98127.360000000001"/>
  </r>
  <r>
    <x v="1"/>
    <x v="6"/>
    <x v="139"/>
    <x v="138"/>
    <s v="MM3"/>
    <s v="Federal Grants Fund"/>
    <n v="44999.040000000001"/>
  </r>
  <r>
    <x v="5"/>
    <x v="5"/>
    <x v="59"/>
    <x v="59"/>
    <s v="M04"/>
    <s v="General Fund"/>
    <n v="1577"/>
  </r>
  <r>
    <x v="3"/>
    <x v="6"/>
    <x v="252"/>
    <x v="253"/>
    <s v="MM3"/>
    <s v="Federal Grants Fund"/>
    <n v="0"/>
  </r>
  <r>
    <x v="3"/>
    <x v="6"/>
    <x v="63"/>
    <x v="63"/>
    <s v="M04"/>
    <s v="Federal Grants Fund"/>
    <n v="0"/>
  </r>
  <r>
    <x v="4"/>
    <x v="0"/>
    <x v="122"/>
    <x v="122"/>
    <s v="M03"/>
    <s v="Expendable Trust Fund - External"/>
    <n v="0"/>
  </r>
  <r>
    <x v="0"/>
    <x v="9"/>
    <x v="200"/>
    <x v="197"/>
    <s v="M03"/>
    <s v="Federal Grants Fund"/>
    <n v="56329.06"/>
  </r>
  <r>
    <x v="3"/>
    <x v="5"/>
    <x v="59"/>
    <x v="59"/>
    <s v="M04"/>
    <s v="Federal Grants Fund"/>
    <n v="2442.5"/>
  </r>
  <r>
    <x v="5"/>
    <x v="1"/>
    <x v="231"/>
    <x v="119"/>
    <s v="M04"/>
    <s v="General Fund"/>
    <n v="1305"/>
  </r>
  <r>
    <x v="2"/>
    <x v="1"/>
    <x v="206"/>
    <x v="203"/>
    <s v="M03"/>
    <s v="Human Service Salary Reserve Fund"/>
    <n v="0"/>
  </r>
  <r>
    <x v="0"/>
    <x v="0"/>
    <x v="273"/>
    <x v="274"/>
    <s v="MM3"/>
    <s v="Expendable Trust Fund - External"/>
    <n v="0"/>
  </r>
  <r>
    <x v="2"/>
    <x v="0"/>
    <x v="260"/>
    <x v="260"/>
    <s v="M03"/>
    <s v="Expendable Trust Fund - External"/>
    <n v="0"/>
  </r>
  <r>
    <x v="5"/>
    <x v="12"/>
    <x v="452"/>
    <x v="454"/>
    <s v="M03"/>
    <s v="General Fund"/>
    <n v="0"/>
  </r>
  <r>
    <x v="5"/>
    <x v="6"/>
    <x v="82"/>
    <x v="82"/>
    <s v="M04"/>
    <s v="General Fund"/>
    <n v="0"/>
  </r>
  <r>
    <x v="0"/>
    <x v="6"/>
    <x v="277"/>
    <x v="279"/>
    <s v="M03"/>
    <s v="Federal Grants Fund"/>
    <n v="78918.02"/>
  </r>
  <r>
    <x v="2"/>
    <x v="0"/>
    <x v="314"/>
    <x v="317"/>
    <s v="MM3"/>
    <s v="Expendable Trust Fund - External"/>
    <n v="2976.96"/>
  </r>
  <r>
    <x v="1"/>
    <x v="0"/>
    <x v="205"/>
    <x v="202"/>
    <s v="M03"/>
    <s v="General Fund"/>
    <n v="0"/>
  </r>
  <r>
    <x v="3"/>
    <x v="6"/>
    <x v="324"/>
    <x v="327"/>
    <s v="M04"/>
    <s v="Federal Grants Fund"/>
    <n v="859.21"/>
  </r>
  <r>
    <x v="3"/>
    <x v="5"/>
    <x v="362"/>
    <x v="368"/>
    <s v="MM3"/>
    <s v="Expendable Trust Fund - External"/>
    <n v="0"/>
  </r>
  <r>
    <x v="0"/>
    <x v="11"/>
    <x v="244"/>
    <x v="242"/>
    <s v="M04"/>
    <s v="General Fund"/>
    <n v="224765.48"/>
  </r>
  <r>
    <x v="5"/>
    <x v="6"/>
    <x v="466"/>
    <x v="469"/>
    <s v="M04"/>
    <s v="Federal Grants Fund"/>
    <n v="8999.39"/>
  </r>
  <r>
    <x v="2"/>
    <x v="0"/>
    <x v="79"/>
    <x v="79"/>
    <s v="M04"/>
    <s v="Expendable Trust Fund - External"/>
    <n v="61904.15"/>
  </r>
  <r>
    <x v="4"/>
    <x v="0"/>
    <x v="193"/>
    <x v="190"/>
    <s v="MM3"/>
    <s v="General Fund"/>
    <n v="0"/>
  </r>
  <r>
    <x v="3"/>
    <x v="0"/>
    <x v="479"/>
    <x v="483"/>
    <s v="MM3"/>
    <s v="General Fund"/>
    <n v="0"/>
  </r>
  <r>
    <x v="3"/>
    <x v="6"/>
    <x v="481"/>
    <x v="463"/>
    <s v="M04"/>
    <s v="General Fund"/>
    <n v="0"/>
  </r>
  <r>
    <x v="0"/>
    <x v="6"/>
    <x v="308"/>
    <x v="311"/>
    <s v="MM3"/>
    <s v="Federal Grants Fund"/>
    <n v="0"/>
  </r>
  <r>
    <x v="4"/>
    <x v="6"/>
    <x v="204"/>
    <x v="201"/>
    <s v="M04"/>
    <s v="Expendable Trust Fund - External"/>
    <n v="0"/>
  </r>
  <r>
    <x v="1"/>
    <x v="6"/>
    <x v="91"/>
    <x v="91"/>
    <s v="M04"/>
    <s v="General Fund"/>
    <n v="658585.9"/>
  </r>
  <r>
    <x v="0"/>
    <x v="3"/>
    <x v="265"/>
    <x v="265"/>
    <s v="M03"/>
    <s v="General Fund"/>
    <n v="35633877.07"/>
  </r>
  <r>
    <x v="2"/>
    <x v="2"/>
    <x v="338"/>
    <x v="342"/>
    <s v="M03"/>
    <s v="Federal Grants Fund"/>
    <n v="2280649.9500000002"/>
  </r>
  <r>
    <x v="3"/>
    <x v="0"/>
    <x v="102"/>
    <x v="102"/>
    <s v="M03"/>
    <s v="General Fund"/>
    <n v="4660105.8"/>
  </r>
  <r>
    <x v="3"/>
    <x v="2"/>
    <x v="197"/>
    <x v="194"/>
    <s v="M03"/>
    <s v="General Fund"/>
    <n v="1211368.68"/>
  </r>
  <r>
    <x v="3"/>
    <x v="2"/>
    <x v="2"/>
    <x v="2"/>
    <s v="M03"/>
    <s v="Federal Grants Fund"/>
    <n v="10972125.48"/>
  </r>
  <r>
    <x v="3"/>
    <x v="6"/>
    <x v="62"/>
    <x v="62"/>
    <s v="MM3"/>
    <s v="General Fund"/>
    <n v="15774517.17"/>
  </r>
  <r>
    <x v="3"/>
    <x v="0"/>
    <x v="97"/>
    <x v="97"/>
    <s v="M03"/>
    <s v="General Fund"/>
    <n v="16098994.550000001"/>
  </r>
  <r>
    <x v="3"/>
    <x v="6"/>
    <x v="109"/>
    <x v="109"/>
    <s v="M03"/>
    <s v="General Fund"/>
    <n v="350000"/>
  </r>
  <r>
    <x v="3"/>
    <x v="6"/>
    <x v="357"/>
    <x v="363"/>
    <s v="MM3"/>
    <s v="General Fund"/>
    <n v="1422759.34"/>
  </r>
  <r>
    <x v="1"/>
    <x v="5"/>
    <x v="134"/>
    <x v="134"/>
    <s v="MM3"/>
    <s v="Federal Grants Fund"/>
    <n v="5766233.3700000001"/>
  </r>
  <r>
    <x v="2"/>
    <x v="0"/>
    <x v="66"/>
    <x v="66"/>
    <s v="M03"/>
    <s v="Intragovernmental Services Fund"/>
    <n v="3576274.14"/>
  </r>
  <r>
    <x v="1"/>
    <x v="5"/>
    <x v="5"/>
    <x v="5"/>
    <s v="MM3"/>
    <s v="General Fund"/>
    <n v="250455894.66"/>
  </r>
  <r>
    <x v="2"/>
    <x v="13"/>
    <x v="128"/>
    <x v="128"/>
    <s v="M03"/>
    <s v="General Fund"/>
    <n v="8470918.6999999993"/>
  </r>
  <r>
    <x v="2"/>
    <x v="0"/>
    <x v="79"/>
    <x v="79"/>
    <s v="MM3"/>
    <s v="General Fund"/>
    <n v="679561.85"/>
  </r>
  <r>
    <x v="3"/>
    <x v="0"/>
    <x v="53"/>
    <x v="53"/>
    <s v="M03"/>
    <s v="General Fund"/>
    <n v="1050731.1599999999"/>
  </r>
  <r>
    <x v="3"/>
    <x v="11"/>
    <x v="421"/>
    <x v="424"/>
    <s v="M03"/>
    <s v="General Fund"/>
    <n v="6972677"/>
  </r>
  <r>
    <x v="3"/>
    <x v="5"/>
    <x v="330"/>
    <x v="334"/>
    <s v="M04"/>
    <s v="Expendable Trust Fund - External"/>
    <n v="137362"/>
  </r>
  <r>
    <x v="3"/>
    <x v="2"/>
    <x v="340"/>
    <x v="344"/>
    <s v="M03"/>
    <s v="General Fund"/>
    <n v="61601685.140000001"/>
  </r>
  <r>
    <x v="3"/>
    <x v="6"/>
    <x v="355"/>
    <x v="361"/>
    <s v="MM3"/>
    <s v="Federal Grants Fund"/>
    <n v="453889"/>
  </r>
  <r>
    <x v="1"/>
    <x v="0"/>
    <x v="115"/>
    <x v="115"/>
    <s v="M03"/>
    <s v="General Fund"/>
    <n v="150324.6"/>
  </r>
  <r>
    <x v="2"/>
    <x v="9"/>
    <x v="332"/>
    <x v="336"/>
    <s v="M03"/>
    <s v="General Fund"/>
    <n v="6207832.6699999999"/>
  </r>
  <r>
    <x v="3"/>
    <x v="2"/>
    <x v="457"/>
    <x v="459"/>
    <s v="M04"/>
    <s v="General Fund"/>
    <n v="274614.59999999998"/>
  </r>
  <r>
    <x v="3"/>
    <x v="2"/>
    <x v="457"/>
    <x v="459"/>
    <s v="M03"/>
    <s v="General Fund"/>
    <n v="156974"/>
  </r>
  <r>
    <x v="3"/>
    <x v="6"/>
    <x v="281"/>
    <x v="283"/>
    <s v="MM3"/>
    <s v="General Fund"/>
    <n v="4950000"/>
  </r>
  <r>
    <x v="3"/>
    <x v="7"/>
    <x v="173"/>
    <x v="104"/>
    <s v="M04"/>
    <s v="Federal Grants Fund"/>
    <n v="253212.79999999999"/>
  </r>
  <r>
    <x v="3"/>
    <x v="0"/>
    <x v="11"/>
    <x v="11"/>
    <s v="MM3"/>
    <s v="General Fund"/>
    <n v="438312.04"/>
  </r>
  <r>
    <x v="2"/>
    <x v="6"/>
    <x v="83"/>
    <x v="83"/>
    <s v="MM3"/>
    <s v="Federal Grants Fund"/>
    <n v="943102.35"/>
  </r>
  <r>
    <x v="1"/>
    <x v="6"/>
    <x v="281"/>
    <x v="283"/>
    <s v="MM3"/>
    <s v="General Fund"/>
    <n v="2348160.85"/>
  </r>
  <r>
    <x v="4"/>
    <x v="5"/>
    <x v="131"/>
    <x v="131"/>
    <s v="MM3"/>
    <s v="General Fund"/>
    <n v="6418285.9699999997"/>
  </r>
  <r>
    <x v="0"/>
    <x v="10"/>
    <x v="162"/>
    <x v="160"/>
    <s v="M03"/>
    <s v="General Fund"/>
    <n v="90945644.290000007"/>
  </r>
  <r>
    <x v="2"/>
    <x v="0"/>
    <x v="278"/>
    <x v="280"/>
    <s v="MM3"/>
    <s v="General Fund"/>
    <n v="9074159.1099999994"/>
  </r>
  <r>
    <x v="1"/>
    <x v="5"/>
    <x v="94"/>
    <x v="94"/>
    <s v="MM3"/>
    <s v="General Fund"/>
    <n v="7590773.6500000004"/>
  </r>
  <r>
    <x v="1"/>
    <x v="0"/>
    <x v="278"/>
    <x v="280"/>
    <s v="M03"/>
    <s v="General Fund"/>
    <n v="6931558.2699999996"/>
  </r>
  <r>
    <x v="0"/>
    <x v="8"/>
    <x v="406"/>
    <x v="409"/>
    <s v="M03"/>
    <s v="Federal Grants Fund"/>
    <n v="787559.98"/>
  </r>
  <r>
    <x v="0"/>
    <x v="13"/>
    <x v="475"/>
    <x v="479"/>
    <s v="M03"/>
    <s v="General Fund"/>
    <n v="6222894.3200000003"/>
  </r>
  <r>
    <x v="0"/>
    <x v="5"/>
    <x v="76"/>
    <x v="76"/>
    <s v="M04"/>
    <s v="General Fund"/>
    <n v="364000"/>
  </r>
  <r>
    <x v="1"/>
    <x v="2"/>
    <x v="328"/>
    <x v="332"/>
    <s v="M03"/>
    <s v="General Fund"/>
    <n v="107712438.40000001"/>
  </r>
  <r>
    <x v="2"/>
    <x v="2"/>
    <x v="298"/>
    <x v="301"/>
    <s v="M03"/>
    <s v="General Fund"/>
    <n v="517322.23"/>
  </r>
  <r>
    <x v="1"/>
    <x v="0"/>
    <x v="122"/>
    <x v="122"/>
    <s v="MM3"/>
    <s v="General Fund"/>
    <n v="185332.05"/>
  </r>
  <r>
    <x v="0"/>
    <x v="0"/>
    <x v="122"/>
    <x v="346"/>
    <s v="M03"/>
    <s v="General Fund"/>
    <n v="2497937.79"/>
  </r>
  <r>
    <x v="0"/>
    <x v="5"/>
    <x v="133"/>
    <x v="133"/>
    <s v="M03"/>
    <s v="Federal Grants Fund"/>
    <n v="170165.49"/>
  </r>
  <r>
    <x v="4"/>
    <x v="6"/>
    <x v="166"/>
    <x v="164"/>
    <s v="M04"/>
    <s v="Federal Grants Fund"/>
    <n v="0"/>
  </r>
  <r>
    <x v="2"/>
    <x v="6"/>
    <x v="368"/>
    <x v="373"/>
    <s v="M03"/>
    <s v="General Fund"/>
    <n v="294938.05"/>
  </r>
  <r>
    <x v="1"/>
    <x v="8"/>
    <x v="17"/>
    <x v="17"/>
    <s v="M03"/>
    <s v="Federal Grants Fund"/>
    <n v="2171141.56"/>
  </r>
  <r>
    <x v="4"/>
    <x v="7"/>
    <x v="127"/>
    <x v="127"/>
    <s v="M03"/>
    <s v="General Fund"/>
    <n v="3103049.85"/>
  </r>
  <r>
    <x v="0"/>
    <x v="1"/>
    <x v="455"/>
    <x v="457"/>
    <s v="M04"/>
    <s v="General Fund"/>
    <n v="148982.82"/>
  </r>
  <r>
    <x v="0"/>
    <x v="1"/>
    <x v="436"/>
    <x v="437"/>
    <s v="M03"/>
    <s v="Federal Grants Fund"/>
    <n v="103859"/>
  </r>
  <r>
    <x v="1"/>
    <x v="1"/>
    <x v="90"/>
    <x v="90"/>
    <s v="M03"/>
    <s v="General Fund"/>
    <n v="205368.5"/>
  </r>
  <r>
    <x v="1"/>
    <x v="8"/>
    <x v="406"/>
    <x v="409"/>
    <s v="M03"/>
    <s v="Federal Grants Fund"/>
    <n v="774941.87"/>
  </r>
  <r>
    <x v="2"/>
    <x v="5"/>
    <x v="133"/>
    <x v="133"/>
    <s v="MM3"/>
    <s v="Federal Grants Fund"/>
    <n v="349516.41"/>
  </r>
  <r>
    <x v="4"/>
    <x v="6"/>
    <x v="109"/>
    <x v="109"/>
    <s v="MM3"/>
    <s v="General Fund"/>
    <n v="305805.2"/>
  </r>
  <r>
    <x v="1"/>
    <x v="0"/>
    <x v="79"/>
    <x v="79"/>
    <s v="M03"/>
    <s v="General Fund"/>
    <n v="519579.5"/>
  </r>
  <r>
    <x v="0"/>
    <x v="1"/>
    <x v="54"/>
    <x v="54"/>
    <s v="M03"/>
    <s v="General Fund"/>
    <n v="253948.1"/>
  </r>
  <r>
    <x v="3"/>
    <x v="6"/>
    <x v="240"/>
    <x v="238"/>
    <s v="M04"/>
    <s v="Federal Grants Fund"/>
    <n v="3310.65"/>
  </r>
  <r>
    <x v="3"/>
    <x v="6"/>
    <x v="190"/>
    <x v="187"/>
    <s v="M03"/>
    <s v="General Fund"/>
    <n v="989418.14"/>
  </r>
  <r>
    <x v="4"/>
    <x v="0"/>
    <x v="79"/>
    <x v="79"/>
    <s v="MM3"/>
    <s v="General Fund"/>
    <n v="378450.56"/>
  </r>
  <r>
    <x v="4"/>
    <x v="1"/>
    <x v="206"/>
    <x v="203"/>
    <s v="M03"/>
    <s v="General Fund"/>
    <n v="122306.27"/>
  </r>
  <r>
    <x v="3"/>
    <x v="6"/>
    <x v="82"/>
    <x v="82"/>
    <s v="MM3"/>
    <s v="Federal Grants Fund"/>
    <n v="1472286.14"/>
  </r>
  <r>
    <x v="3"/>
    <x v="2"/>
    <x v="420"/>
    <x v="423"/>
    <s v="M03"/>
    <s v="Federal Grants Fund"/>
    <n v="336923.82"/>
  </r>
  <r>
    <x v="3"/>
    <x v="13"/>
    <x v="489"/>
    <x v="493"/>
    <s v="M04"/>
    <s v="General Fund"/>
    <n v="344229.32"/>
  </r>
  <r>
    <x v="3"/>
    <x v="6"/>
    <x v="62"/>
    <x v="62"/>
    <s v="MM3"/>
    <s v="Federal Grants Fund"/>
    <n v="1288831.81"/>
  </r>
  <r>
    <x v="2"/>
    <x v="6"/>
    <x v="237"/>
    <x v="235"/>
    <s v="MM3"/>
    <s v="Federal Grants Fund"/>
    <n v="441323"/>
  </r>
  <r>
    <x v="0"/>
    <x v="3"/>
    <x v="418"/>
    <x v="421"/>
    <s v="M03"/>
    <s v="General Fund"/>
    <n v="5549919.8099999996"/>
  </r>
  <r>
    <x v="0"/>
    <x v="7"/>
    <x v="478"/>
    <x v="482"/>
    <s v="M03"/>
    <s v="General Fund"/>
    <n v="650688.35"/>
  </r>
  <r>
    <x v="4"/>
    <x v="0"/>
    <x v="11"/>
    <x v="11"/>
    <s v="MM3"/>
    <s v="General Fund"/>
    <n v="257612.04"/>
  </r>
  <r>
    <x v="1"/>
    <x v="0"/>
    <x v="126"/>
    <x v="126"/>
    <s v="MM3"/>
    <s v="General Fund"/>
    <n v="70626"/>
  </r>
  <r>
    <x v="2"/>
    <x v="6"/>
    <x v="85"/>
    <x v="85"/>
    <s v="MM3"/>
    <s v="General Fund"/>
    <n v="320596.31"/>
  </r>
  <r>
    <x v="3"/>
    <x v="6"/>
    <x v="204"/>
    <x v="201"/>
    <s v="M04"/>
    <s v="Federal Grants Fund"/>
    <n v="905170.04"/>
  </r>
  <r>
    <x v="3"/>
    <x v="7"/>
    <x v="42"/>
    <x v="42"/>
    <s v="M03"/>
    <s v="Trust Fund For the Head Injury Treatment Service Fund"/>
    <n v="32972.65"/>
  </r>
  <r>
    <x v="1"/>
    <x v="7"/>
    <x v="173"/>
    <x v="104"/>
    <s v="M04"/>
    <s v="General Fund"/>
    <n v="388604.97"/>
  </r>
  <r>
    <x v="2"/>
    <x v="3"/>
    <x v="64"/>
    <x v="64"/>
    <s v="M04"/>
    <s v="General Fund"/>
    <n v="25000"/>
  </r>
  <r>
    <x v="2"/>
    <x v="0"/>
    <x v="217"/>
    <x v="215"/>
    <s v="MM3"/>
    <s v="General Fund"/>
    <n v="240421.96"/>
  </r>
  <r>
    <x v="3"/>
    <x v="6"/>
    <x v="277"/>
    <x v="279"/>
    <s v="M03"/>
    <s v="Federal Grants Fund"/>
    <n v="199986.31"/>
  </r>
  <r>
    <x v="3"/>
    <x v="5"/>
    <x v="270"/>
    <x v="270"/>
    <s v="M03"/>
    <s v="Federal Grants Fund"/>
    <n v="358914.91"/>
  </r>
  <r>
    <x v="2"/>
    <x v="6"/>
    <x v="287"/>
    <x v="289"/>
    <s v="M04"/>
    <s v="Federal Grants Fund"/>
    <n v="568578"/>
  </r>
  <r>
    <x v="4"/>
    <x v="6"/>
    <x v="95"/>
    <x v="95"/>
    <s v="MM3"/>
    <s v="Federal Grants Fund"/>
    <n v="4617560.59"/>
  </r>
  <r>
    <x v="4"/>
    <x v="2"/>
    <x v="409"/>
    <x v="412"/>
    <s v="M03"/>
    <s v="General Fund"/>
    <n v="35914191.259999998"/>
  </r>
  <r>
    <x v="5"/>
    <x v="0"/>
    <x v="10"/>
    <x v="10"/>
    <s v="MM3"/>
    <s v="General Fund"/>
    <n v="4223475.8899999997"/>
  </r>
  <r>
    <x v="5"/>
    <x v="0"/>
    <x v="220"/>
    <x v="218"/>
    <s v="MM3"/>
    <s v="General Fund"/>
    <n v="18026640.170000002"/>
  </r>
  <r>
    <x v="5"/>
    <x v="4"/>
    <x v="4"/>
    <x v="4"/>
    <s v="M03"/>
    <s v="General Fund"/>
    <n v="2963430.16"/>
  </r>
  <r>
    <x v="5"/>
    <x v="12"/>
    <x v="383"/>
    <x v="386"/>
    <s v="M03"/>
    <s v="General Fund"/>
    <n v="3460800"/>
  </r>
  <r>
    <x v="5"/>
    <x v="6"/>
    <x v="192"/>
    <x v="189"/>
    <s v="M03"/>
    <s v="General Fund"/>
    <n v="2550240.16"/>
  </r>
  <r>
    <x v="5"/>
    <x v="6"/>
    <x v="192"/>
    <x v="189"/>
    <s v="MM3"/>
    <s v="General Fund"/>
    <n v="815577.21"/>
  </r>
  <r>
    <x v="5"/>
    <x v="0"/>
    <x v="154"/>
    <x v="153"/>
    <s v="MM3"/>
    <s v="General Fund"/>
    <n v="26211186.010000002"/>
  </r>
  <r>
    <x v="5"/>
    <x v="6"/>
    <x v="281"/>
    <x v="283"/>
    <s v="MM3"/>
    <s v="General Fund"/>
    <n v="3287225.6"/>
  </r>
  <r>
    <x v="5"/>
    <x v="2"/>
    <x v="2"/>
    <x v="2"/>
    <s v="M03"/>
    <s v="Federal Grants Fund"/>
    <n v="11711367.560000001"/>
  </r>
  <r>
    <x v="5"/>
    <x v="6"/>
    <x v="165"/>
    <x v="163"/>
    <s v="MM3"/>
    <s v="Federal Grants Fund"/>
    <n v="137180.42000000001"/>
  </r>
  <r>
    <x v="4"/>
    <x v="6"/>
    <x v="37"/>
    <x v="37"/>
    <s v="MM3"/>
    <s v="Federal Grants Fund"/>
    <n v="720983.28"/>
  </r>
  <r>
    <x v="2"/>
    <x v="0"/>
    <x v="104"/>
    <x v="104"/>
    <s v="MM3"/>
    <s v="Expendable Trust Fund - External"/>
    <n v="1807.96"/>
  </r>
  <r>
    <x v="5"/>
    <x v="5"/>
    <x v="270"/>
    <x v="270"/>
    <s v="M04"/>
    <s v="Federal Grants Fund"/>
    <n v="677658.82"/>
  </r>
  <r>
    <x v="5"/>
    <x v="6"/>
    <x v="63"/>
    <x v="63"/>
    <s v="M04"/>
    <s v="General Fund"/>
    <n v="1745000"/>
  </r>
  <r>
    <x v="5"/>
    <x v="6"/>
    <x v="61"/>
    <x v="61"/>
    <s v="M04"/>
    <s v="General Fund"/>
    <n v="674804.52"/>
  </r>
  <r>
    <x v="5"/>
    <x v="6"/>
    <x v="61"/>
    <x v="61"/>
    <s v="M04"/>
    <s v="Federal Grants Fund"/>
    <n v="645575.76"/>
  </r>
  <r>
    <x v="5"/>
    <x v="0"/>
    <x v="20"/>
    <x v="20"/>
    <s v="M04"/>
    <s v="Expendable Trust Fund - External"/>
    <n v="6283.27"/>
  </r>
  <r>
    <x v="2"/>
    <x v="6"/>
    <x v="240"/>
    <x v="238"/>
    <s v="M04"/>
    <s v="General Fund"/>
    <n v="4965.2"/>
  </r>
  <r>
    <x v="1"/>
    <x v="6"/>
    <x v="253"/>
    <x v="251"/>
    <s v="MM3"/>
    <s v="Federal Grants Fund"/>
    <n v="888718.87"/>
  </r>
  <r>
    <x v="2"/>
    <x v="2"/>
    <x v="230"/>
    <x v="228"/>
    <s v="M03"/>
    <s v="General Fund"/>
    <n v="1234826.95"/>
  </r>
  <r>
    <x v="0"/>
    <x v="1"/>
    <x v="231"/>
    <x v="119"/>
    <s v="M04"/>
    <s v="General Fund"/>
    <n v="2283.52"/>
  </r>
  <r>
    <x v="1"/>
    <x v="5"/>
    <x v="387"/>
    <x v="391"/>
    <s v="MM3"/>
    <s v="General Fund"/>
    <n v="8832661.0500000007"/>
  </r>
  <r>
    <x v="1"/>
    <x v="0"/>
    <x v="299"/>
    <x v="302"/>
    <s v="MM3"/>
    <s v="General Fund"/>
    <n v="3452.37"/>
  </r>
  <r>
    <x v="2"/>
    <x v="0"/>
    <x v="104"/>
    <x v="104"/>
    <s v="MM3"/>
    <s v="General Fund"/>
    <n v="149657.76999999999"/>
  </r>
  <r>
    <x v="0"/>
    <x v="0"/>
    <x v="0"/>
    <x v="0"/>
    <s v="MM3"/>
    <s v="Expendable Trust Fund - External"/>
    <n v="252536.91"/>
  </r>
  <r>
    <x v="0"/>
    <x v="0"/>
    <x v="419"/>
    <x v="422"/>
    <s v="MM3"/>
    <s v="General Fund"/>
    <n v="201320.64"/>
  </r>
  <r>
    <x v="4"/>
    <x v="6"/>
    <x v="368"/>
    <x v="373"/>
    <s v="M03"/>
    <s v="General Fund"/>
    <n v="76776.17"/>
  </r>
  <r>
    <x v="4"/>
    <x v="9"/>
    <x v="163"/>
    <x v="161"/>
    <s v="M03"/>
    <s v="General Fund"/>
    <n v="1905301.67"/>
  </r>
  <r>
    <x v="4"/>
    <x v="6"/>
    <x v="139"/>
    <x v="138"/>
    <s v="MM3"/>
    <s v="General Fund"/>
    <n v="2785591.46"/>
  </r>
  <r>
    <x v="4"/>
    <x v="5"/>
    <x v="5"/>
    <x v="5"/>
    <s v="MM3"/>
    <s v="Expendable Trust Fund - External"/>
    <n v="131017.93"/>
  </r>
  <r>
    <x v="4"/>
    <x v="6"/>
    <x v="181"/>
    <x v="178"/>
    <s v="M04"/>
    <s v="Massachusetts Aids Fund"/>
    <n v="93667.39"/>
  </r>
  <r>
    <x v="4"/>
    <x v="6"/>
    <x v="192"/>
    <x v="189"/>
    <s v="MM3"/>
    <s v="Federal Grants Fund"/>
    <n v="486583.45"/>
  </r>
  <r>
    <x v="5"/>
    <x v="0"/>
    <x v="25"/>
    <x v="25"/>
    <s v="MM3"/>
    <s v="Expendable Trust Fund - External"/>
    <n v="0"/>
  </r>
  <r>
    <x v="5"/>
    <x v="5"/>
    <x v="270"/>
    <x v="270"/>
    <s v="MM3"/>
    <s v="General Fund"/>
    <n v="2162253.75"/>
  </r>
  <r>
    <x v="1"/>
    <x v="6"/>
    <x v="63"/>
    <x v="63"/>
    <s v="M03"/>
    <s v="Federal Grants Fund"/>
    <n v="121872.47"/>
  </r>
  <r>
    <x v="0"/>
    <x v="2"/>
    <x v="258"/>
    <x v="258"/>
    <s v="M03"/>
    <s v="Federal Grants Fund"/>
    <n v="41729.440000000002"/>
  </r>
  <r>
    <x v="5"/>
    <x v="6"/>
    <x v="182"/>
    <x v="179"/>
    <s v="M04"/>
    <s v="Federal Grants Fund"/>
    <n v="274384.92"/>
  </r>
  <r>
    <x v="1"/>
    <x v="5"/>
    <x v="362"/>
    <x v="368"/>
    <s v="MM3"/>
    <s v="General Fund"/>
    <n v="1386211.61"/>
  </r>
  <r>
    <x v="2"/>
    <x v="0"/>
    <x v="187"/>
    <x v="184"/>
    <s v="M04"/>
    <s v="Federal Grants Fund"/>
    <n v="15000"/>
  </r>
  <r>
    <x v="1"/>
    <x v="5"/>
    <x v="76"/>
    <x v="76"/>
    <s v="MM3"/>
    <s v="Federal Grants Fund"/>
    <n v="0"/>
  </r>
  <r>
    <x v="1"/>
    <x v="6"/>
    <x v="201"/>
    <x v="198"/>
    <s v="M03"/>
    <s v="Federal Grants Fund"/>
    <n v="105000"/>
  </r>
  <r>
    <x v="2"/>
    <x v="3"/>
    <x v="461"/>
    <x v="463"/>
    <s v="M04"/>
    <s v="General Fund"/>
    <n v="114360.4"/>
  </r>
  <r>
    <x v="0"/>
    <x v="6"/>
    <x v="236"/>
    <x v="234"/>
    <s v="M04"/>
    <s v="General Fund"/>
    <n v="400000"/>
  </r>
  <r>
    <x v="0"/>
    <x v="2"/>
    <x v="114"/>
    <x v="114"/>
    <s v="M03"/>
    <s v="General Fund"/>
    <n v="79950.86"/>
  </r>
  <r>
    <x v="2"/>
    <x v="2"/>
    <x v="411"/>
    <x v="414"/>
    <s v="M03"/>
    <s v="Federal Grants Fund"/>
    <n v="15400"/>
  </r>
  <r>
    <x v="4"/>
    <x v="9"/>
    <x v="388"/>
    <x v="392"/>
    <s v="M03"/>
    <s v="General Fund"/>
    <n v="3069225"/>
  </r>
  <r>
    <x v="4"/>
    <x v="6"/>
    <x v="324"/>
    <x v="327"/>
    <s v="M03"/>
    <s v="Federal Grants Fund"/>
    <n v="41409.279999999999"/>
  </r>
  <r>
    <x v="4"/>
    <x v="1"/>
    <x v="266"/>
    <x v="300"/>
    <s v="M04"/>
    <s v="Federal Grants Fund"/>
    <n v="53875.93"/>
  </r>
  <r>
    <x v="4"/>
    <x v="0"/>
    <x v="315"/>
    <x v="318"/>
    <s v="M03"/>
    <s v="General Fund"/>
    <n v="189491.52"/>
  </r>
  <r>
    <x v="4"/>
    <x v="6"/>
    <x v="99"/>
    <x v="99"/>
    <s v="M04"/>
    <s v="General Fund"/>
    <n v="183589.1"/>
  </r>
  <r>
    <x v="4"/>
    <x v="6"/>
    <x v="142"/>
    <x v="141"/>
    <s v="M04"/>
    <s v="General Fund"/>
    <n v="1243851.8600000001"/>
  </r>
  <r>
    <x v="4"/>
    <x v="0"/>
    <x v="121"/>
    <x v="121"/>
    <s v="MM3"/>
    <s v="Expendable Trust Fund - External"/>
    <n v="0"/>
  </r>
  <r>
    <x v="5"/>
    <x v="6"/>
    <x v="335"/>
    <x v="339"/>
    <s v="M03"/>
    <s v="Substance Abuse Services Fund"/>
    <n v="2777489.98"/>
  </r>
  <r>
    <x v="5"/>
    <x v="5"/>
    <x v="131"/>
    <x v="131"/>
    <s v="M03"/>
    <s v="General Fund"/>
    <n v="588147.46"/>
  </r>
  <r>
    <x v="5"/>
    <x v="6"/>
    <x v="368"/>
    <x v="373"/>
    <s v="M04"/>
    <s v="General Fund"/>
    <n v="238498.92"/>
  </r>
  <r>
    <x v="5"/>
    <x v="0"/>
    <x v="88"/>
    <x v="88"/>
    <s v="M04"/>
    <s v="General Fund"/>
    <n v="5319556.79"/>
  </r>
  <r>
    <x v="5"/>
    <x v="11"/>
    <x v="96"/>
    <x v="96"/>
    <s v="M04"/>
    <s v="Expendable Trust Fund - External"/>
    <n v="150000"/>
  </r>
  <r>
    <x v="4"/>
    <x v="7"/>
    <x v="363"/>
    <x v="20"/>
    <s v="M03"/>
    <s v="General Fund"/>
    <n v="32860.94"/>
  </r>
  <r>
    <x v="5"/>
    <x v="6"/>
    <x v="233"/>
    <x v="230"/>
    <s v="MM3"/>
    <s v="Federal Grants Fund"/>
    <n v="1070396.1299999999"/>
  </r>
  <r>
    <x v="5"/>
    <x v="6"/>
    <x v="341"/>
    <x v="345"/>
    <s v="M03"/>
    <s v="Federal Grants Fund"/>
    <n v="105000"/>
  </r>
  <r>
    <x v="5"/>
    <x v="0"/>
    <x v="53"/>
    <x v="53"/>
    <s v="MM3"/>
    <s v="General Fund"/>
    <n v="238749.22"/>
  </r>
  <r>
    <x v="5"/>
    <x v="7"/>
    <x v="208"/>
    <x v="205"/>
    <s v="M03"/>
    <s v="Trust Fund For the Head Injury Treatment Service Fund"/>
    <n v="16995.939999999999"/>
  </r>
  <r>
    <x v="2"/>
    <x v="1"/>
    <x v="33"/>
    <x v="33"/>
    <s v="M03"/>
    <s v="General Fund"/>
    <n v="450000"/>
  </r>
  <r>
    <x v="4"/>
    <x v="0"/>
    <x v="66"/>
    <x v="66"/>
    <s v="M03"/>
    <s v="General Fund"/>
    <n v="5070"/>
  </r>
  <r>
    <x v="2"/>
    <x v="9"/>
    <x v="155"/>
    <x v="154"/>
    <s v="M03"/>
    <s v="General Fund"/>
    <n v="36802.620000000003"/>
  </r>
  <r>
    <x v="1"/>
    <x v="5"/>
    <x v="242"/>
    <x v="240"/>
    <s v="M04"/>
    <s v="General Fund"/>
    <n v="666936.88"/>
  </r>
  <r>
    <x v="2"/>
    <x v="6"/>
    <x v="401"/>
    <x v="404"/>
    <s v="M04"/>
    <s v="Federal Grants Fund"/>
    <n v="374953.69"/>
  </r>
  <r>
    <x v="3"/>
    <x v="6"/>
    <x v="78"/>
    <x v="78"/>
    <s v="M04"/>
    <s v="Federal Grants Fund"/>
    <n v="408263.62"/>
  </r>
  <r>
    <x v="3"/>
    <x v="6"/>
    <x v="490"/>
    <x v="494"/>
    <s v="M04"/>
    <s v="Federal Grants Fund"/>
    <n v="235521.03"/>
  </r>
  <r>
    <x v="2"/>
    <x v="6"/>
    <x v="149"/>
    <x v="148"/>
    <s v="M04"/>
    <s v="Federal Grants Fund"/>
    <n v="2153.6999999999998"/>
  </r>
  <r>
    <x v="0"/>
    <x v="0"/>
    <x v="178"/>
    <x v="175"/>
    <s v="MM3"/>
    <s v="General Fund"/>
    <n v="70400"/>
  </r>
  <r>
    <x v="2"/>
    <x v="7"/>
    <x v="55"/>
    <x v="55"/>
    <s v="M03"/>
    <s v="Trust Fund For the Head Injury Treatment Service Fund"/>
    <n v="19665"/>
  </r>
  <r>
    <x v="0"/>
    <x v="6"/>
    <x v="118"/>
    <x v="118"/>
    <s v="M04"/>
    <s v="Federal Grants Fund"/>
    <n v="429000"/>
  </r>
  <r>
    <x v="2"/>
    <x v="5"/>
    <x v="330"/>
    <x v="334"/>
    <s v="M04"/>
    <s v="Federal Grants Fund"/>
    <n v="122210.82"/>
  </r>
  <r>
    <x v="0"/>
    <x v="6"/>
    <x v="201"/>
    <x v="198"/>
    <s v="M03"/>
    <s v="Federal Grants Fund"/>
    <n v="105000"/>
  </r>
  <r>
    <x v="3"/>
    <x v="6"/>
    <x v="400"/>
    <x v="403"/>
    <s v="M03"/>
    <s v="Federal Grants Fund"/>
    <n v="178419.3"/>
  </r>
  <r>
    <x v="2"/>
    <x v="6"/>
    <x v="264"/>
    <x v="264"/>
    <s v="MM3"/>
    <s v="General Fund"/>
    <n v="558780.65"/>
  </r>
  <r>
    <x v="0"/>
    <x v="5"/>
    <x v="134"/>
    <x v="134"/>
    <s v="MM3"/>
    <s v="Federal Grants Fund"/>
    <n v="96422.64"/>
  </r>
  <r>
    <x v="4"/>
    <x v="6"/>
    <x v="486"/>
    <x v="490"/>
    <s v="M04"/>
    <s v="General Fund"/>
    <n v="288300"/>
  </r>
  <r>
    <x v="4"/>
    <x v="0"/>
    <x v="105"/>
    <x v="105"/>
    <s v="MM3"/>
    <s v="Money Follows the Person Rebalancing Demonstration Grant Tr"/>
    <n v="1814124.31"/>
  </r>
  <r>
    <x v="5"/>
    <x v="7"/>
    <x v="151"/>
    <x v="150"/>
    <s v="M03"/>
    <s v="General Fund"/>
    <n v="18000"/>
  </r>
  <r>
    <x v="5"/>
    <x v="5"/>
    <x v="134"/>
    <x v="134"/>
    <s v="MM3"/>
    <s v="Expendable Trust Fund - External"/>
    <n v="217193.39"/>
  </r>
  <r>
    <x v="2"/>
    <x v="0"/>
    <x v="122"/>
    <x v="346"/>
    <s v="MM3"/>
    <s v="Intragovernmental Services Fund"/>
    <n v="0"/>
  </r>
  <r>
    <x v="4"/>
    <x v="6"/>
    <x v="300"/>
    <x v="303"/>
    <s v="M04"/>
    <s v="Federal Grants Fund"/>
    <n v="15062.55"/>
  </r>
  <r>
    <x v="4"/>
    <x v="3"/>
    <x v="463"/>
    <x v="465"/>
    <s v="M03"/>
    <s v="General Fund"/>
    <n v="0"/>
  </r>
  <r>
    <x v="1"/>
    <x v="0"/>
    <x v="177"/>
    <x v="174"/>
    <s v="M03"/>
    <s v="Expendable Trust Fund - External"/>
    <n v="0"/>
  </r>
  <r>
    <x v="5"/>
    <x v="6"/>
    <x v="263"/>
    <x v="263"/>
    <s v="M04"/>
    <s v="Federal Grants Fund"/>
    <n v="99058.03"/>
  </r>
  <r>
    <x v="5"/>
    <x v="6"/>
    <x v="358"/>
    <x v="364"/>
    <s v="MM3"/>
    <s v="Federal Grants Fund"/>
    <n v="20157.3"/>
  </r>
  <r>
    <x v="4"/>
    <x v="5"/>
    <x v="297"/>
    <x v="299"/>
    <s v="M04"/>
    <s v="General Fund"/>
    <n v="11550"/>
  </r>
  <r>
    <x v="5"/>
    <x v="7"/>
    <x v="296"/>
    <x v="298"/>
    <s v="M03"/>
    <s v="Trust Fund For the Head Injury Treatment Service Fund"/>
    <n v="0"/>
  </r>
  <r>
    <x v="4"/>
    <x v="2"/>
    <x v="197"/>
    <x v="194"/>
    <s v="M03"/>
    <s v="Federal Grants Fund"/>
    <n v="8502.48"/>
  </r>
  <r>
    <x v="4"/>
    <x v="2"/>
    <x v="429"/>
    <x v="432"/>
    <s v="M03"/>
    <s v="Federal Grants Fund"/>
    <n v="10393.950000000001"/>
  </r>
  <r>
    <x v="5"/>
    <x v="3"/>
    <x v="461"/>
    <x v="463"/>
    <s v="M04"/>
    <s v="General Fund"/>
    <n v="12000"/>
  </r>
  <r>
    <x v="2"/>
    <x v="7"/>
    <x v="343"/>
    <x v="348"/>
    <s v="M03"/>
    <s v="General Fund"/>
    <n v="1262"/>
  </r>
  <r>
    <x v="1"/>
    <x v="3"/>
    <x v="89"/>
    <x v="89"/>
    <s v="M04"/>
    <s v="Federal Grants Fund"/>
    <n v="75000"/>
  </r>
  <r>
    <x v="4"/>
    <x v="7"/>
    <x v="15"/>
    <x v="15"/>
    <s v="M03"/>
    <s v="Expendable Trust Fund - External"/>
    <n v="33500"/>
  </r>
  <r>
    <x v="4"/>
    <x v="6"/>
    <x v="256"/>
    <x v="255"/>
    <s v="M04"/>
    <s v="General Fund"/>
    <n v="49559.1"/>
  </r>
  <r>
    <x v="5"/>
    <x v="7"/>
    <x v="326"/>
    <x v="330"/>
    <s v="M04"/>
    <s v="Federal Grants Fund"/>
    <n v="3045"/>
  </r>
  <r>
    <x v="0"/>
    <x v="0"/>
    <x v="168"/>
    <x v="166"/>
    <s v="M03"/>
    <s v="General Fund"/>
    <n v="0"/>
  </r>
  <r>
    <x v="4"/>
    <x v="7"/>
    <x v="326"/>
    <x v="330"/>
    <s v="M03"/>
    <s v="Trust Fund For the Head Injury Treatment Service Fund"/>
    <n v="-168051.87"/>
  </r>
  <r>
    <x v="1"/>
    <x v="2"/>
    <x v="108"/>
    <x v="108"/>
    <s v="M03"/>
    <s v="General Fund"/>
    <n v="186000"/>
  </r>
  <r>
    <x v="4"/>
    <x v="6"/>
    <x v="334"/>
    <x v="338"/>
    <s v="M04"/>
    <s v="Federal Grants Fund"/>
    <n v="0"/>
  </r>
  <r>
    <x v="3"/>
    <x v="0"/>
    <x v="0"/>
    <x v="0"/>
    <s v="M03"/>
    <s v="Expendable Trust Fund - External"/>
    <n v="0"/>
  </r>
  <r>
    <x v="3"/>
    <x v="7"/>
    <x v="151"/>
    <x v="150"/>
    <s v="M03"/>
    <s v="General Fund"/>
    <n v="0"/>
  </r>
  <r>
    <x v="3"/>
    <x v="6"/>
    <x v="408"/>
    <x v="411"/>
    <s v="M03"/>
    <s v="General Fund"/>
    <n v="0"/>
  </r>
  <r>
    <x v="0"/>
    <x v="0"/>
    <x v="115"/>
    <x v="115"/>
    <s v="M03"/>
    <s v="Expendable Trust Fund - External"/>
    <n v="0"/>
  </r>
  <r>
    <x v="5"/>
    <x v="5"/>
    <x v="160"/>
    <x v="158"/>
    <s v="M04"/>
    <s v="General Fund"/>
    <n v="149825"/>
  </r>
  <r>
    <x v="5"/>
    <x v="6"/>
    <x v="109"/>
    <x v="109"/>
    <s v="MM3"/>
    <s v="General Fund"/>
    <n v="0"/>
  </r>
  <r>
    <x v="1"/>
    <x v="7"/>
    <x v="326"/>
    <x v="330"/>
    <s v="M03"/>
    <s v="Expendable Trust Fund - External"/>
    <n v="210881.97"/>
  </r>
  <r>
    <x v="1"/>
    <x v="5"/>
    <x v="214"/>
    <x v="211"/>
    <s v="MM3"/>
    <s v="Federal Grants Fund"/>
    <n v="0"/>
  </r>
  <r>
    <x v="4"/>
    <x v="1"/>
    <x v="90"/>
    <x v="90"/>
    <s v="M03"/>
    <s v="Federal Grants Fund"/>
    <n v="0"/>
  </r>
  <r>
    <x v="3"/>
    <x v="6"/>
    <x v="285"/>
    <x v="287"/>
    <s v="M04"/>
    <s v="Prevention and Wellness Trust Fund"/>
    <n v="0"/>
  </r>
  <r>
    <x v="4"/>
    <x v="7"/>
    <x v="296"/>
    <x v="298"/>
    <s v="M03"/>
    <s v="Trust Fund For the Head Injury Treatment Service Fund"/>
    <n v="3850"/>
  </r>
  <r>
    <x v="4"/>
    <x v="6"/>
    <x v="204"/>
    <x v="201"/>
    <s v="M04"/>
    <s v="Catastrophic Illness in Children Relief Fund"/>
    <n v="1"/>
  </r>
  <r>
    <x v="0"/>
    <x v="0"/>
    <x v="25"/>
    <x v="25"/>
    <s v="MM3"/>
    <s v="Expendable Trust Fund - External"/>
    <n v="0"/>
  </r>
  <r>
    <x v="2"/>
    <x v="0"/>
    <x v="66"/>
    <x v="66"/>
    <s v="M03"/>
    <s v="General Fund"/>
    <n v="0"/>
  </r>
  <r>
    <x v="0"/>
    <x v="0"/>
    <x v="187"/>
    <x v="184"/>
    <s v="M04"/>
    <s v="Federal Grants Fund"/>
    <n v="0"/>
  </r>
  <r>
    <x v="3"/>
    <x v="6"/>
    <x v="139"/>
    <x v="138"/>
    <s v="MM3"/>
    <s v="Federal Grants Fund"/>
    <n v="1756.5"/>
  </r>
  <r>
    <x v="3"/>
    <x v="6"/>
    <x v="476"/>
    <x v="480"/>
    <s v="M04"/>
    <s v="Substance Abuse Services Fund"/>
    <n v="0"/>
  </r>
  <r>
    <x v="1"/>
    <x v="3"/>
    <x v="64"/>
    <x v="64"/>
    <s v="M03"/>
    <s v="General Fund"/>
    <n v="5000515.1399999997"/>
  </r>
  <r>
    <x v="1"/>
    <x v="6"/>
    <x v="325"/>
    <x v="328"/>
    <s v="M04"/>
    <s v="General Fund"/>
    <n v="312953"/>
  </r>
  <r>
    <x v="0"/>
    <x v="1"/>
    <x v="107"/>
    <x v="107"/>
    <s v="M03"/>
    <s v="Federal Grants Fund"/>
    <n v="51080.85"/>
  </r>
  <r>
    <x v="2"/>
    <x v="0"/>
    <x v="221"/>
    <x v="219"/>
    <s v="MM3"/>
    <s v="General Fund"/>
    <n v="628892632.85000002"/>
  </r>
  <r>
    <x v="3"/>
    <x v="7"/>
    <x v="15"/>
    <x v="15"/>
    <s v="M03"/>
    <s v="General Fund"/>
    <n v="1009346.6"/>
  </r>
  <r>
    <x v="3"/>
    <x v="6"/>
    <x v="38"/>
    <x v="38"/>
    <s v="MM3"/>
    <s v="General Fund"/>
    <n v="4144586.68"/>
  </r>
  <r>
    <x v="3"/>
    <x v="7"/>
    <x v="145"/>
    <x v="144"/>
    <s v="M03"/>
    <s v="Federal Grants Fund"/>
    <n v="49311.25"/>
  </r>
  <r>
    <x v="3"/>
    <x v="2"/>
    <x v="207"/>
    <x v="204"/>
    <s v="M03"/>
    <s v="Federal Grants Fund"/>
    <n v="2324355.4500000002"/>
  </r>
  <r>
    <x v="3"/>
    <x v="0"/>
    <x v="220"/>
    <x v="218"/>
    <s v="MM3"/>
    <s v="General Fund"/>
    <n v="17482054.27"/>
  </r>
  <r>
    <x v="3"/>
    <x v="5"/>
    <x v="242"/>
    <x v="240"/>
    <s v="MM3"/>
    <s v="Federal Grants Fund"/>
    <n v="337770.79"/>
  </r>
  <r>
    <x v="3"/>
    <x v="1"/>
    <x v="286"/>
    <x v="288"/>
    <s v="M03"/>
    <s v="General Fund"/>
    <n v="292186.40000000002"/>
  </r>
  <r>
    <x v="1"/>
    <x v="5"/>
    <x v="188"/>
    <x v="185"/>
    <s v="MM3"/>
    <s v="General Fund"/>
    <n v="13753559.85"/>
  </r>
  <r>
    <x v="2"/>
    <x v="3"/>
    <x v="64"/>
    <x v="64"/>
    <s v="M03"/>
    <s v="Federal Grants Fund"/>
    <n v="4414832.04"/>
  </r>
  <r>
    <x v="0"/>
    <x v="6"/>
    <x v="87"/>
    <x v="87"/>
    <s v="M04"/>
    <s v="General Fund"/>
    <n v="5117009.33"/>
  </r>
  <r>
    <x v="1"/>
    <x v="0"/>
    <x v="273"/>
    <x v="274"/>
    <s v="M03"/>
    <s v="General Fund"/>
    <n v="11078701.869999999"/>
  </r>
  <r>
    <x v="2"/>
    <x v="0"/>
    <x v="177"/>
    <x v="174"/>
    <s v="M03"/>
    <s v="General Fund"/>
    <n v="13254505.83"/>
  </r>
  <r>
    <x v="0"/>
    <x v="0"/>
    <x v="66"/>
    <x v="66"/>
    <s v="MM3"/>
    <s v="Intragovernmental Services Fund"/>
    <n v="1415996.22"/>
  </r>
  <r>
    <x v="1"/>
    <x v="2"/>
    <x v="428"/>
    <x v="431"/>
    <s v="M03"/>
    <s v="General Fund"/>
    <n v="14659145.16"/>
  </r>
  <r>
    <x v="1"/>
    <x v="6"/>
    <x v="236"/>
    <x v="234"/>
    <s v="M04"/>
    <s v="Federal Grants Fund"/>
    <n v="1435697"/>
  </r>
  <r>
    <x v="2"/>
    <x v="0"/>
    <x v="121"/>
    <x v="121"/>
    <s v="M03"/>
    <s v="General Fund"/>
    <n v="20032129.84"/>
  </r>
  <r>
    <x v="1"/>
    <x v="2"/>
    <x v="2"/>
    <x v="2"/>
    <s v="M03"/>
    <s v="Federal Grants Fund"/>
    <n v="12113345.35"/>
  </r>
  <r>
    <x v="4"/>
    <x v="7"/>
    <x v="208"/>
    <x v="205"/>
    <s v="M03"/>
    <s v="General Fund"/>
    <n v="1466362.87"/>
  </r>
  <r>
    <x v="2"/>
    <x v="5"/>
    <x v="131"/>
    <x v="131"/>
    <s v="MM3"/>
    <s v="General Fund"/>
    <n v="6431106.21"/>
  </r>
  <r>
    <x v="3"/>
    <x v="0"/>
    <x v="28"/>
    <x v="28"/>
    <s v="MM3"/>
    <s v="General Fund"/>
    <n v="1258065.26"/>
  </r>
  <r>
    <x v="1"/>
    <x v="6"/>
    <x v="216"/>
    <x v="213"/>
    <s v="MM3"/>
    <s v="General Fund"/>
    <n v="2943291.28"/>
  </r>
  <r>
    <x v="2"/>
    <x v="5"/>
    <x v="5"/>
    <x v="5"/>
    <s v="MM3"/>
    <s v="Federal Grants Fund"/>
    <n v="3810397.93"/>
  </r>
  <r>
    <x v="4"/>
    <x v="5"/>
    <x v="5"/>
    <x v="5"/>
    <s v="MM3"/>
    <s v="General Fund"/>
    <n v="262076312.80000001"/>
  </r>
  <r>
    <x v="2"/>
    <x v="0"/>
    <x v="314"/>
    <x v="317"/>
    <s v="M03"/>
    <s v="General Fund"/>
    <n v="4907677.4800000004"/>
  </r>
  <r>
    <x v="1"/>
    <x v="0"/>
    <x v="220"/>
    <x v="218"/>
    <s v="MM3"/>
    <s v="General Fund"/>
    <n v="35207189.090000004"/>
  </r>
  <r>
    <x v="3"/>
    <x v="6"/>
    <x v="39"/>
    <x v="39"/>
    <s v="M04"/>
    <s v="Federal Grants Fund"/>
    <n v="94970.73"/>
  </r>
  <r>
    <x v="1"/>
    <x v="6"/>
    <x v="253"/>
    <x v="251"/>
    <s v="MM3"/>
    <s v="General Fund"/>
    <n v="5818913.5599999996"/>
  </r>
  <r>
    <x v="0"/>
    <x v="2"/>
    <x v="272"/>
    <x v="272"/>
    <s v="M03"/>
    <s v="Federal Grants Fund"/>
    <n v="5511594.8600000003"/>
  </r>
  <r>
    <x v="1"/>
    <x v="6"/>
    <x v="95"/>
    <x v="95"/>
    <s v="MM3"/>
    <s v="Federal Grants Fund"/>
    <n v="5051492.41"/>
  </r>
  <r>
    <x v="0"/>
    <x v="0"/>
    <x v="104"/>
    <x v="104"/>
    <s v="MM3"/>
    <s v="General Fund"/>
    <n v="13315.2"/>
  </r>
  <r>
    <x v="2"/>
    <x v="0"/>
    <x v="189"/>
    <x v="186"/>
    <s v="M03"/>
    <s v="General Fund"/>
    <n v="52438.64"/>
  </r>
  <r>
    <x v="1"/>
    <x v="3"/>
    <x v="27"/>
    <x v="27"/>
    <s v="M03"/>
    <s v="General Fund"/>
    <n v="11806122.859999999"/>
  </r>
  <r>
    <x v="1"/>
    <x v="0"/>
    <x v="28"/>
    <x v="28"/>
    <s v="M03"/>
    <s v="General Fund"/>
    <n v="997326"/>
  </r>
  <r>
    <x v="1"/>
    <x v="0"/>
    <x v="0"/>
    <x v="0"/>
    <s v="MM3"/>
    <s v="General Fund"/>
    <n v="17764350.620000001"/>
  </r>
  <r>
    <x v="1"/>
    <x v="0"/>
    <x v="223"/>
    <x v="221"/>
    <s v="M03"/>
    <s v="General Fund"/>
    <n v="6172088.9199999999"/>
  </r>
  <r>
    <x v="2"/>
    <x v="0"/>
    <x v="79"/>
    <x v="79"/>
    <s v="MM3"/>
    <s v="Expendable Trust Fund - External"/>
    <n v="108524.87"/>
  </r>
  <r>
    <x v="2"/>
    <x v="0"/>
    <x v="458"/>
    <x v="460"/>
    <s v="MM3"/>
    <s v="General Fund"/>
    <n v="0"/>
  </r>
  <r>
    <x v="2"/>
    <x v="6"/>
    <x v="277"/>
    <x v="279"/>
    <s v="M03"/>
    <s v="General Fund"/>
    <n v="464660.66"/>
  </r>
  <r>
    <x v="0"/>
    <x v="6"/>
    <x v="368"/>
    <x v="373"/>
    <s v="M03"/>
    <s v="General Fund"/>
    <n v="308063.09000000003"/>
  </r>
  <r>
    <x v="1"/>
    <x v="6"/>
    <x v="408"/>
    <x v="411"/>
    <s v="M03"/>
    <s v="General Fund"/>
    <n v="751426.53"/>
  </r>
  <r>
    <x v="2"/>
    <x v="5"/>
    <x v="30"/>
    <x v="30"/>
    <s v="MM3"/>
    <s v="General Fund"/>
    <n v="1166150.18"/>
  </r>
  <r>
    <x v="2"/>
    <x v="2"/>
    <x v="389"/>
    <x v="393"/>
    <s v="M03"/>
    <s v="General Fund"/>
    <n v="1320991"/>
  </r>
  <r>
    <x v="2"/>
    <x v="0"/>
    <x v="73"/>
    <x v="73"/>
    <s v="M03"/>
    <s v="General Fund"/>
    <n v="66967.33"/>
  </r>
  <r>
    <x v="2"/>
    <x v="2"/>
    <x v="69"/>
    <x v="69"/>
    <s v="M03"/>
    <s v="General Fund"/>
    <n v="4176206.02"/>
  </r>
  <r>
    <x v="0"/>
    <x v="10"/>
    <x v="68"/>
    <x v="68"/>
    <s v="M03"/>
    <s v="General Fund"/>
    <n v="6480866.4699999997"/>
  </r>
  <r>
    <x v="2"/>
    <x v="0"/>
    <x v="11"/>
    <x v="11"/>
    <s v="M03"/>
    <s v="General Fund"/>
    <n v="60905.04"/>
  </r>
  <r>
    <x v="0"/>
    <x v="6"/>
    <x v="78"/>
    <x v="78"/>
    <s v="M04"/>
    <s v="General Fund"/>
    <n v="882693.98"/>
  </r>
  <r>
    <x v="2"/>
    <x v="6"/>
    <x v="137"/>
    <x v="136"/>
    <s v="MM3"/>
    <s v="Federal Grants Fund"/>
    <n v="5304072.68"/>
  </r>
  <r>
    <x v="2"/>
    <x v="9"/>
    <x v="469"/>
    <x v="472"/>
    <s v="M03"/>
    <s v="General Fund"/>
    <n v="406684.27"/>
  </r>
  <r>
    <x v="0"/>
    <x v="13"/>
    <x v="426"/>
    <x v="429"/>
    <s v="M03"/>
    <s v="General Fund"/>
    <n v="5704139.5099999998"/>
  </r>
  <r>
    <x v="0"/>
    <x v="8"/>
    <x v="17"/>
    <x v="17"/>
    <s v="M03"/>
    <s v="Federal Grants Fund"/>
    <n v="1935887.08"/>
  </r>
  <r>
    <x v="2"/>
    <x v="6"/>
    <x v="365"/>
    <x v="370"/>
    <s v="MM3"/>
    <s v="General Fund"/>
    <n v="709592.49"/>
  </r>
  <r>
    <x v="2"/>
    <x v="6"/>
    <x v="109"/>
    <x v="109"/>
    <s v="MM3"/>
    <s v="Federal Grants Fund"/>
    <n v="47961.9"/>
  </r>
  <r>
    <x v="0"/>
    <x v="7"/>
    <x v="55"/>
    <x v="55"/>
    <s v="M03"/>
    <s v="Federal Grants Fund"/>
    <n v="11706.42"/>
  </r>
  <r>
    <x v="2"/>
    <x v="1"/>
    <x v="54"/>
    <x v="54"/>
    <s v="M04"/>
    <s v="General Fund"/>
    <n v="48142.92"/>
  </r>
  <r>
    <x v="0"/>
    <x v="6"/>
    <x v="365"/>
    <x v="370"/>
    <s v="MM3"/>
    <s v="General Fund"/>
    <n v="1338460.4099999999"/>
  </r>
  <r>
    <x v="0"/>
    <x v="0"/>
    <x v="93"/>
    <x v="93"/>
    <s v="M03"/>
    <s v="General Fund"/>
    <n v="2174658.4500000002"/>
  </r>
  <r>
    <x v="2"/>
    <x v="6"/>
    <x v="192"/>
    <x v="189"/>
    <s v="M03"/>
    <s v="Federal Grants Fund"/>
    <n v="499301.14"/>
  </r>
  <r>
    <x v="0"/>
    <x v="0"/>
    <x v="202"/>
    <x v="199"/>
    <s v="MM3"/>
    <s v="General Fund"/>
    <n v="31402"/>
  </r>
  <r>
    <x v="4"/>
    <x v="5"/>
    <x v="94"/>
    <x v="94"/>
    <s v="MM3"/>
    <s v="General Fund"/>
    <n v="8619578.8800000008"/>
  </r>
  <r>
    <x v="4"/>
    <x v="0"/>
    <x v="278"/>
    <x v="280"/>
    <s v="MM3"/>
    <s v="General Fund"/>
    <n v="0"/>
  </r>
  <r>
    <x v="0"/>
    <x v="6"/>
    <x v="83"/>
    <x v="83"/>
    <s v="MM3"/>
    <s v="General Fund"/>
    <n v="5450495.7300000004"/>
  </r>
  <r>
    <x v="4"/>
    <x v="0"/>
    <x v="260"/>
    <x v="260"/>
    <s v="M03"/>
    <s v="General Fund"/>
    <n v="405640.58"/>
  </r>
  <r>
    <x v="1"/>
    <x v="0"/>
    <x v="103"/>
    <x v="103"/>
    <s v="MM3"/>
    <s v="General Fund"/>
    <n v="109354.57"/>
  </r>
  <r>
    <x v="1"/>
    <x v="15"/>
    <x v="275"/>
    <x v="276"/>
    <s v="M03"/>
    <s v="General Fund"/>
    <n v="1469571.26"/>
  </r>
  <r>
    <x v="2"/>
    <x v="1"/>
    <x v="266"/>
    <x v="300"/>
    <s v="M04"/>
    <s v="General Fund"/>
    <n v="335629.42"/>
  </r>
  <r>
    <x v="4"/>
    <x v="0"/>
    <x v="217"/>
    <x v="215"/>
    <s v="M03"/>
    <s v="General Fund"/>
    <n v="1709690.19"/>
  </r>
  <r>
    <x v="1"/>
    <x v="1"/>
    <x v="54"/>
    <x v="54"/>
    <s v="M03"/>
    <s v="General Fund"/>
    <n v="709658.8"/>
  </r>
  <r>
    <x v="1"/>
    <x v="0"/>
    <x v="339"/>
    <x v="343"/>
    <s v="M03"/>
    <s v="General Fund"/>
    <n v="1395955.2"/>
  </r>
  <r>
    <x v="3"/>
    <x v="9"/>
    <x v="163"/>
    <x v="161"/>
    <s v="M03"/>
    <s v="General Fund"/>
    <n v="2145667.56"/>
  </r>
  <r>
    <x v="2"/>
    <x v="0"/>
    <x v="93"/>
    <x v="93"/>
    <s v="M03"/>
    <s v="General Fund"/>
    <n v="1759993.06"/>
  </r>
  <r>
    <x v="2"/>
    <x v="6"/>
    <x v="123"/>
    <x v="123"/>
    <s v="M04"/>
    <s v="General Fund"/>
    <n v="1454294.84"/>
  </r>
  <r>
    <x v="0"/>
    <x v="1"/>
    <x v="14"/>
    <x v="14"/>
    <s v="MM3"/>
    <s v="General Fund"/>
    <n v="3896.03"/>
  </r>
  <r>
    <x v="3"/>
    <x v="0"/>
    <x v="354"/>
    <x v="360"/>
    <s v="M03"/>
    <s v="General Fund"/>
    <n v="402081"/>
  </r>
  <r>
    <x v="3"/>
    <x v="6"/>
    <x v="61"/>
    <x v="61"/>
    <s v="M04"/>
    <s v="General Fund"/>
    <n v="211445.95"/>
  </r>
  <r>
    <x v="0"/>
    <x v="0"/>
    <x v="229"/>
    <x v="227"/>
    <s v="MM3"/>
    <s v="General Fund"/>
    <n v="43643.78"/>
  </r>
  <r>
    <x v="3"/>
    <x v="0"/>
    <x v="339"/>
    <x v="343"/>
    <s v="M03"/>
    <s v="Expendable Trust Fund - External"/>
    <n v="0"/>
  </r>
  <r>
    <x v="2"/>
    <x v="6"/>
    <x v="99"/>
    <x v="99"/>
    <s v="MM3"/>
    <s v="Federal Grants Fund"/>
    <n v="2892773.49"/>
  </r>
  <r>
    <x v="2"/>
    <x v="6"/>
    <x v="176"/>
    <x v="173"/>
    <s v="M04"/>
    <s v="General Fund"/>
    <n v="261671.23"/>
  </r>
  <r>
    <x v="3"/>
    <x v="5"/>
    <x v="270"/>
    <x v="270"/>
    <s v="MM3"/>
    <s v="General Fund"/>
    <n v="2114284.94"/>
  </r>
  <r>
    <x v="3"/>
    <x v="6"/>
    <x v="146"/>
    <x v="145"/>
    <s v="M04"/>
    <s v="Federal Grants Fund"/>
    <n v="245180"/>
  </r>
  <r>
    <x v="0"/>
    <x v="0"/>
    <x v="143"/>
    <x v="142"/>
    <s v="M03"/>
    <s v="General Fund"/>
    <n v="7334.32"/>
  </r>
  <r>
    <x v="3"/>
    <x v="6"/>
    <x v="442"/>
    <x v="444"/>
    <s v="M03"/>
    <s v="General Fund"/>
    <n v="1431085.23"/>
  </r>
  <r>
    <x v="0"/>
    <x v="6"/>
    <x v="226"/>
    <x v="224"/>
    <s v="MM3"/>
    <s v="Expendable Trust Fund - External"/>
    <n v="320758"/>
  </r>
  <r>
    <x v="0"/>
    <x v="5"/>
    <x v="94"/>
    <x v="94"/>
    <s v="MM3"/>
    <s v="Federal Grants Fund"/>
    <n v="160409.15"/>
  </r>
  <r>
    <x v="2"/>
    <x v="15"/>
    <x v="275"/>
    <x v="276"/>
    <s v="M03"/>
    <s v="General Fund"/>
    <n v="1434899.99"/>
  </r>
  <r>
    <x v="2"/>
    <x v="0"/>
    <x v="246"/>
    <x v="244"/>
    <s v="MM3"/>
    <s v="General Fund"/>
    <n v="163967.76"/>
  </r>
  <r>
    <x v="3"/>
    <x v="6"/>
    <x v="137"/>
    <x v="136"/>
    <s v="M03"/>
    <s v="Federal Grants Fund"/>
    <n v="3768217.67"/>
  </r>
  <r>
    <x v="2"/>
    <x v="6"/>
    <x v="78"/>
    <x v="78"/>
    <s v="M04"/>
    <s v="Federal Grants Fund"/>
    <n v="1171656.31"/>
  </r>
  <r>
    <x v="3"/>
    <x v="0"/>
    <x v="102"/>
    <x v="102"/>
    <s v="M04"/>
    <s v="General Fund"/>
    <n v="13882.93"/>
  </r>
  <r>
    <x v="1"/>
    <x v="0"/>
    <x v="169"/>
    <x v="167"/>
    <s v="M03"/>
    <s v="General Fund"/>
    <n v="56380.07"/>
  </r>
  <r>
    <x v="0"/>
    <x v="0"/>
    <x v="169"/>
    <x v="167"/>
    <s v="M03"/>
    <s v="General Fund"/>
    <n v="38632.870000000003"/>
  </r>
  <r>
    <x v="0"/>
    <x v="0"/>
    <x v="150"/>
    <x v="149"/>
    <s v="M03"/>
    <s v="General Fund"/>
    <n v="140951.16"/>
  </r>
  <r>
    <x v="4"/>
    <x v="6"/>
    <x v="365"/>
    <x v="370"/>
    <s v="MM3"/>
    <s v="General Fund"/>
    <n v="1622884.4"/>
  </r>
  <r>
    <x v="4"/>
    <x v="6"/>
    <x v="204"/>
    <x v="201"/>
    <s v="M04"/>
    <s v="Federal Grants Fund"/>
    <n v="819404.3"/>
  </r>
  <r>
    <x v="4"/>
    <x v="0"/>
    <x v="88"/>
    <x v="88"/>
    <s v="M04"/>
    <s v="Intragovernmental Services Fund"/>
    <n v="223511.92"/>
  </r>
  <r>
    <x v="4"/>
    <x v="6"/>
    <x v="83"/>
    <x v="83"/>
    <s v="MM3"/>
    <s v="General Fund"/>
    <n v="4213849.0199999996"/>
  </r>
  <r>
    <x v="4"/>
    <x v="0"/>
    <x v="215"/>
    <x v="212"/>
    <s v="M03"/>
    <s v="General Fund"/>
    <n v="2389832.6"/>
  </r>
  <r>
    <x v="5"/>
    <x v="0"/>
    <x v="121"/>
    <x v="121"/>
    <s v="M03"/>
    <s v="General Fund"/>
    <n v="56677546.359999999"/>
  </r>
  <r>
    <x v="5"/>
    <x v="6"/>
    <x v="226"/>
    <x v="224"/>
    <s v="MM3"/>
    <s v="Federal Grants Fund"/>
    <n v="741801.05"/>
  </r>
  <r>
    <x v="5"/>
    <x v="0"/>
    <x v="122"/>
    <x v="122"/>
    <s v="M03"/>
    <s v="General Fund"/>
    <n v="22299.18"/>
  </r>
  <r>
    <x v="5"/>
    <x v="0"/>
    <x v="220"/>
    <x v="218"/>
    <s v="M03"/>
    <s v="General Fund"/>
    <n v="44149398.109999999"/>
  </r>
  <r>
    <x v="5"/>
    <x v="6"/>
    <x v="216"/>
    <x v="213"/>
    <s v="MM3"/>
    <s v="General Fund"/>
    <n v="2966024.09"/>
  </r>
  <r>
    <x v="5"/>
    <x v="0"/>
    <x v="177"/>
    <x v="174"/>
    <s v="MM3"/>
    <s v="General Fund"/>
    <n v="6599880.6299999999"/>
  </r>
  <r>
    <x v="5"/>
    <x v="5"/>
    <x v="387"/>
    <x v="391"/>
    <s v="MM3"/>
    <s v="General Fund"/>
    <n v="9987881.1899999995"/>
  </r>
  <r>
    <x v="5"/>
    <x v="2"/>
    <x v="340"/>
    <x v="344"/>
    <s v="M03"/>
    <s v="General Fund"/>
    <n v="53300004.079999998"/>
  </r>
  <r>
    <x v="5"/>
    <x v="0"/>
    <x v="25"/>
    <x v="25"/>
    <s v="M03"/>
    <s v="General Fund"/>
    <n v="673923.12"/>
  </r>
  <r>
    <x v="5"/>
    <x v="2"/>
    <x v="298"/>
    <x v="301"/>
    <s v="M03"/>
    <s v="Veterans Independence Plus Initiative Fund"/>
    <n v="1528012.63"/>
  </r>
  <r>
    <x v="4"/>
    <x v="6"/>
    <x v="63"/>
    <x v="63"/>
    <s v="M04"/>
    <s v="General Fund"/>
    <n v="1792502.94"/>
  </r>
  <r>
    <x v="0"/>
    <x v="6"/>
    <x v="21"/>
    <x v="21"/>
    <s v="MM3"/>
    <s v="Federal Grants Fund"/>
    <n v="10725.49"/>
  </r>
  <r>
    <x v="1"/>
    <x v="0"/>
    <x v="57"/>
    <x v="57"/>
    <s v="MM3"/>
    <s v="General Fund"/>
    <n v="5644.8"/>
  </r>
  <r>
    <x v="0"/>
    <x v="2"/>
    <x v="347"/>
    <x v="352"/>
    <s v="M03"/>
    <s v="General Fund"/>
    <n v="317049.95"/>
  </r>
  <r>
    <x v="0"/>
    <x v="0"/>
    <x v="336"/>
    <x v="340"/>
    <s v="M03"/>
    <s v="General Fund"/>
    <n v="107048"/>
  </r>
  <r>
    <x v="1"/>
    <x v="0"/>
    <x v="116"/>
    <x v="116"/>
    <s v="M03"/>
    <s v="Expendable Trust Fund - External"/>
    <n v="0"/>
  </r>
  <r>
    <x v="0"/>
    <x v="0"/>
    <x v="336"/>
    <x v="340"/>
    <s v="MM3"/>
    <s v="General Fund"/>
    <n v="272103"/>
  </r>
  <r>
    <x v="2"/>
    <x v="0"/>
    <x v="315"/>
    <x v="318"/>
    <s v="M03"/>
    <s v="General Fund"/>
    <n v="64387.05"/>
  </r>
  <r>
    <x v="1"/>
    <x v="6"/>
    <x v="386"/>
    <x v="390"/>
    <s v="MM3"/>
    <s v="Federal Grants Fund"/>
    <n v="447863.09"/>
  </r>
  <r>
    <x v="4"/>
    <x v="2"/>
    <x v="420"/>
    <x v="423"/>
    <s v="M03"/>
    <s v="Federal Grants Fund"/>
    <n v="380047.66"/>
  </r>
  <r>
    <x v="4"/>
    <x v="8"/>
    <x v="243"/>
    <x v="241"/>
    <s v="M03"/>
    <s v="Federal Grants Fund"/>
    <n v="417645.03"/>
  </r>
  <r>
    <x v="4"/>
    <x v="0"/>
    <x v="210"/>
    <x v="207"/>
    <s v="M03"/>
    <s v="General Fund"/>
    <n v="320370.94"/>
  </r>
  <r>
    <x v="4"/>
    <x v="0"/>
    <x v="52"/>
    <x v="52"/>
    <s v="MM3"/>
    <s v="Expendable Trust Fund - External"/>
    <n v="0"/>
  </r>
  <r>
    <x v="5"/>
    <x v="6"/>
    <x v="337"/>
    <x v="341"/>
    <s v="M04"/>
    <s v="General Fund"/>
    <n v="1000000"/>
  </r>
  <r>
    <x v="4"/>
    <x v="5"/>
    <x v="138"/>
    <x v="137"/>
    <s v="M03"/>
    <s v="General Fund"/>
    <n v="436106.79"/>
  </r>
  <r>
    <x v="1"/>
    <x v="6"/>
    <x v="396"/>
    <x v="400"/>
    <s v="MM3"/>
    <s v="Federal Grants Fund"/>
    <n v="29328"/>
  </r>
  <r>
    <x v="5"/>
    <x v="5"/>
    <x v="30"/>
    <x v="30"/>
    <s v="MM3"/>
    <s v="General Fund"/>
    <n v="500240"/>
  </r>
  <r>
    <x v="3"/>
    <x v="7"/>
    <x v="294"/>
    <x v="296"/>
    <s v="M03"/>
    <s v="General Fund"/>
    <n v="0"/>
  </r>
  <r>
    <x v="5"/>
    <x v="0"/>
    <x v="79"/>
    <x v="79"/>
    <s v="MM3"/>
    <s v="Expendable Trust Fund - External"/>
    <n v="13532.36"/>
  </r>
  <r>
    <x v="0"/>
    <x v="7"/>
    <x v="491"/>
    <x v="495"/>
    <s v="M03"/>
    <s v="General Fund"/>
    <n v="84483.31"/>
  </r>
  <r>
    <x v="4"/>
    <x v="3"/>
    <x v="64"/>
    <x v="64"/>
    <s v="M03"/>
    <s v="Federal Grants Fund"/>
    <n v="0"/>
  </r>
  <r>
    <x v="0"/>
    <x v="6"/>
    <x v="185"/>
    <x v="182"/>
    <s v="MM3"/>
    <s v="Federal Grants Fund"/>
    <n v="305771.44"/>
  </r>
  <r>
    <x v="1"/>
    <x v="6"/>
    <x v="277"/>
    <x v="279"/>
    <s v="M03"/>
    <s v="General Fund"/>
    <n v="685959.63"/>
  </r>
  <r>
    <x v="0"/>
    <x v="0"/>
    <x v="44"/>
    <x v="44"/>
    <s v="MM3"/>
    <s v="General Fund"/>
    <n v="3364.35"/>
  </r>
  <r>
    <x v="4"/>
    <x v="3"/>
    <x v="64"/>
    <x v="64"/>
    <s v="M04"/>
    <s v="Federal Grants Fund"/>
    <n v="277875"/>
  </r>
  <r>
    <x v="4"/>
    <x v="6"/>
    <x v="181"/>
    <x v="178"/>
    <s v="M04"/>
    <s v="Federal Grants Fund"/>
    <n v="5177766.28"/>
  </r>
  <r>
    <x v="5"/>
    <x v="6"/>
    <x v="240"/>
    <x v="238"/>
    <s v="M04"/>
    <s v="Federal Grants Fund"/>
    <n v="5385.52"/>
  </r>
  <r>
    <x v="5"/>
    <x v="6"/>
    <x v="386"/>
    <x v="390"/>
    <s v="MM3"/>
    <s v="Federal Grants Fund"/>
    <n v="236340.93"/>
  </r>
  <r>
    <x v="4"/>
    <x v="0"/>
    <x v="65"/>
    <x v="65"/>
    <s v="M03"/>
    <s v="General Fund"/>
    <n v="6566.27"/>
  </r>
  <r>
    <x v="4"/>
    <x v="7"/>
    <x v="55"/>
    <x v="55"/>
    <s v="M03"/>
    <s v="General Fund"/>
    <n v="42684.480000000003"/>
  </r>
  <r>
    <x v="5"/>
    <x v="13"/>
    <x v="489"/>
    <x v="493"/>
    <s v="M04"/>
    <s v="General Fund"/>
    <n v="344229.6"/>
  </r>
  <r>
    <x v="5"/>
    <x v="6"/>
    <x v="123"/>
    <x v="123"/>
    <s v="M04"/>
    <s v="Federal Grants Fund"/>
    <n v="463682.73"/>
  </r>
  <r>
    <x v="5"/>
    <x v="3"/>
    <x v="302"/>
    <x v="305"/>
    <s v="MM3"/>
    <s v="General Fund"/>
    <n v="194110.4"/>
  </r>
  <r>
    <x v="1"/>
    <x v="8"/>
    <x v="17"/>
    <x v="17"/>
    <s v="M03"/>
    <s v="General Fund"/>
    <n v="675000"/>
  </r>
  <r>
    <x v="3"/>
    <x v="2"/>
    <x v="114"/>
    <x v="114"/>
    <s v="M03"/>
    <s v="General Fund"/>
    <n v="128122.96"/>
  </r>
  <r>
    <x v="2"/>
    <x v="6"/>
    <x v="204"/>
    <x v="201"/>
    <s v="M04"/>
    <s v="Federal Grants Fund"/>
    <n v="795239.25"/>
  </r>
  <r>
    <x v="1"/>
    <x v="7"/>
    <x v="55"/>
    <x v="55"/>
    <s v="M03"/>
    <s v="General Fund"/>
    <n v="24799.9"/>
  </r>
  <r>
    <x v="3"/>
    <x v="6"/>
    <x v="86"/>
    <x v="86"/>
    <s v="M04"/>
    <s v="Federal Grants Fund"/>
    <n v="297475.53999999998"/>
  </r>
  <r>
    <x v="3"/>
    <x v="7"/>
    <x v="326"/>
    <x v="330"/>
    <s v="M03"/>
    <s v="Expendable Trust Fund - External"/>
    <n v="128252.95"/>
  </r>
  <r>
    <x v="0"/>
    <x v="0"/>
    <x v="26"/>
    <x v="26"/>
    <s v="M04"/>
    <s v="General Fund"/>
    <n v="0"/>
  </r>
  <r>
    <x v="5"/>
    <x v="0"/>
    <x v="229"/>
    <x v="227"/>
    <s v="M03"/>
    <s v="Expendable Trust Fund - External"/>
    <n v="0"/>
  </r>
  <r>
    <x v="5"/>
    <x v="6"/>
    <x v="56"/>
    <x v="56"/>
    <s v="M03"/>
    <s v="General Fund"/>
    <n v="126999.57"/>
  </r>
  <r>
    <x v="5"/>
    <x v="6"/>
    <x v="166"/>
    <x v="164"/>
    <s v="MM3"/>
    <s v="General Fund"/>
    <n v="421118.12"/>
  </r>
  <r>
    <x v="1"/>
    <x v="7"/>
    <x v="329"/>
    <x v="333"/>
    <s v="M03"/>
    <s v="Trust Fund For the Head Injury Treatment Service Fund"/>
    <n v="3936"/>
  </r>
  <r>
    <x v="0"/>
    <x v="7"/>
    <x v="296"/>
    <x v="298"/>
    <s v="M03"/>
    <s v="General Fund"/>
    <n v="32605.200000000001"/>
  </r>
  <r>
    <x v="0"/>
    <x v="6"/>
    <x v="87"/>
    <x v="87"/>
    <s v="M04"/>
    <s v="Prevention and Wellness Trust Fund"/>
    <n v="54101.13"/>
  </r>
  <r>
    <x v="0"/>
    <x v="5"/>
    <x v="456"/>
    <x v="458"/>
    <s v="MM3"/>
    <s v="General Fund"/>
    <n v="1954012.86"/>
  </r>
  <r>
    <x v="4"/>
    <x v="7"/>
    <x v="446"/>
    <x v="448"/>
    <s v="M03"/>
    <s v="Federal Grants Fund"/>
    <n v="17558.34"/>
  </r>
  <r>
    <x v="4"/>
    <x v="7"/>
    <x v="43"/>
    <x v="43"/>
    <s v="M03"/>
    <s v="Federal Grants Fund"/>
    <n v="0"/>
  </r>
  <r>
    <x v="3"/>
    <x v="0"/>
    <x v="210"/>
    <x v="207"/>
    <s v="M03"/>
    <s v="Expendable Trust Fund - External"/>
    <n v="0"/>
  </r>
  <r>
    <x v="2"/>
    <x v="3"/>
    <x v="112"/>
    <x v="112"/>
    <s v="M03"/>
    <s v="General Fund"/>
    <n v="198376.49"/>
  </r>
  <r>
    <x v="0"/>
    <x v="6"/>
    <x v="56"/>
    <x v="56"/>
    <s v="M03"/>
    <s v="General Fund"/>
    <n v="130235.52"/>
  </r>
  <r>
    <x v="5"/>
    <x v="0"/>
    <x v="354"/>
    <x v="360"/>
    <s v="M04"/>
    <s v="General Fund"/>
    <n v="405956.25"/>
  </r>
  <r>
    <x v="0"/>
    <x v="6"/>
    <x v="289"/>
    <x v="291"/>
    <s v="M04"/>
    <s v="Federal Grants Fund"/>
    <n v="32500"/>
  </r>
  <r>
    <x v="1"/>
    <x v="3"/>
    <x v="112"/>
    <x v="112"/>
    <s v="M03"/>
    <s v="Federal Grants Fund"/>
    <n v="95675.42"/>
  </r>
  <r>
    <x v="0"/>
    <x v="5"/>
    <x v="330"/>
    <x v="334"/>
    <s v="M04"/>
    <s v="Federal Grants Fund"/>
    <n v="226020.45"/>
  </r>
  <r>
    <x v="3"/>
    <x v="0"/>
    <x v="435"/>
    <x v="436"/>
    <s v="M03"/>
    <s v="General Fund"/>
    <n v="2674.64"/>
  </r>
  <r>
    <x v="2"/>
    <x v="6"/>
    <x v="287"/>
    <x v="289"/>
    <s v="M04"/>
    <s v="General Fund"/>
    <n v="475598.48"/>
  </r>
  <r>
    <x v="3"/>
    <x v="0"/>
    <x v="84"/>
    <x v="84"/>
    <s v="M04"/>
    <s v="Expendable Trust Fund - External"/>
    <n v="-540.59"/>
  </r>
  <r>
    <x v="5"/>
    <x v="0"/>
    <x v="97"/>
    <x v="97"/>
    <s v="MM3"/>
    <s v="Expendable Trust Fund - External"/>
    <n v="582.25"/>
  </r>
  <r>
    <x v="3"/>
    <x v="7"/>
    <x v="323"/>
    <x v="326"/>
    <s v="M03"/>
    <s v="General Fund"/>
    <n v="8227"/>
  </r>
  <r>
    <x v="5"/>
    <x v="2"/>
    <x v="108"/>
    <x v="108"/>
    <s v="M03"/>
    <s v="General Fund"/>
    <n v="184139.34"/>
  </r>
  <r>
    <x v="1"/>
    <x v="0"/>
    <x v="49"/>
    <x v="49"/>
    <s v="MM3"/>
    <s v="Expendable Trust Fund - External"/>
    <n v="0"/>
  </r>
  <r>
    <x v="5"/>
    <x v="0"/>
    <x v="159"/>
    <x v="62"/>
    <s v="M03"/>
    <s v="General Fund"/>
    <n v="3329.88"/>
  </r>
  <r>
    <x v="3"/>
    <x v="5"/>
    <x v="75"/>
    <x v="75"/>
    <s v="M03"/>
    <s v="Expendable Trust Fund - External"/>
    <n v="15950"/>
  </r>
  <r>
    <x v="1"/>
    <x v="1"/>
    <x v="14"/>
    <x v="14"/>
    <s v="MM3"/>
    <s v="General Fund"/>
    <n v="1622.64"/>
  </r>
  <r>
    <x v="2"/>
    <x v="1"/>
    <x v="266"/>
    <x v="300"/>
    <s v="M04"/>
    <s v="Federal Grants Fund"/>
    <n v="41060.839999999997"/>
  </r>
  <r>
    <x v="1"/>
    <x v="7"/>
    <x v="198"/>
    <x v="195"/>
    <s v="M03"/>
    <s v="General Fund"/>
    <n v="9977.44"/>
  </r>
  <r>
    <x v="2"/>
    <x v="0"/>
    <x v="220"/>
    <x v="218"/>
    <s v="M03"/>
    <s v="Expendable Trust Fund - External"/>
    <n v="6996.15"/>
  </r>
  <r>
    <x v="5"/>
    <x v="2"/>
    <x v="473"/>
    <x v="477"/>
    <s v="M03"/>
    <s v="Federal Grants Fund"/>
    <n v="58959"/>
  </r>
  <r>
    <x v="5"/>
    <x v="0"/>
    <x v="126"/>
    <x v="126"/>
    <s v="M03"/>
    <s v="Expendable Trust Fund - External"/>
    <n v="1226"/>
  </r>
  <r>
    <x v="0"/>
    <x v="6"/>
    <x v="408"/>
    <x v="411"/>
    <s v="M03"/>
    <s v="Federal Grants Fund"/>
    <n v="54833.17"/>
  </r>
  <r>
    <x v="2"/>
    <x v="3"/>
    <x v="89"/>
    <x v="89"/>
    <s v="M04"/>
    <s v="Expendable Trust Fund - External"/>
    <n v="613.20000000000005"/>
  </r>
  <r>
    <x v="5"/>
    <x v="7"/>
    <x v="344"/>
    <x v="349"/>
    <s v="M03"/>
    <s v="Federal Grants Fund"/>
    <n v="14240"/>
  </r>
  <r>
    <x v="3"/>
    <x v="3"/>
    <x v="89"/>
    <x v="89"/>
    <s v="M04"/>
    <s v="Federal Grants Fund"/>
    <n v="50000"/>
  </r>
  <r>
    <x v="2"/>
    <x v="0"/>
    <x v="215"/>
    <x v="212"/>
    <s v="M03"/>
    <s v="Expendable Trust Fund - External"/>
    <n v="0"/>
  </r>
  <r>
    <x v="2"/>
    <x v="7"/>
    <x v="208"/>
    <x v="214"/>
    <s v="M03"/>
    <s v="Federal Grants Fund"/>
    <n v="-2440.37"/>
  </r>
  <r>
    <x v="3"/>
    <x v="9"/>
    <x v="407"/>
    <x v="410"/>
    <s v="M03"/>
    <s v="Federal Grants Fund"/>
    <n v="3888.25"/>
  </r>
  <r>
    <x v="3"/>
    <x v="0"/>
    <x v="187"/>
    <x v="184"/>
    <s v="M03"/>
    <s v="General Fund"/>
    <n v="0"/>
  </r>
  <r>
    <x v="3"/>
    <x v="6"/>
    <x v="467"/>
    <x v="470"/>
    <s v="M04"/>
    <s v="Federal Grants Fund"/>
    <n v="0"/>
  </r>
  <r>
    <x v="0"/>
    <x v="0"/>
    <x v="314"/>
    <x v="317"/>
    <s v="MM3"/>
    <s v="Expendable Trust Fund - External"/>
    <n v="0"/>
  </r>
  <r>
    <x v="2"/>
    <x v="0"/>
    <x v="177"/>
    <x v="174"/>
    <s v="MM3"/>
    <s v="Expendable Trust Fund - External"/>
    <n v="0"/>
  </r>
  <r>
    <x v="1"/>
    <x v="6"/>
    <x v="300"/>
    <x v="303"/>
    <s v="M04"/>
    <s v="Federal Grants Fund"/>
    <n v="13173.71"/>
  </r>
  <r>
    <x v="4"/>
    <x v="6"/>
    <x v="166"/>
    <x v="164"/>
    <s v="MM3"/>
    <s v="Federal Grants Fund"/>
    <n v="0"/>
  </r>
  <r>
    <x v="2"/>
    <x v="10"/>
    <x v="492"/>
    <x v="496"/>
    <s v="M03"/>
    <s v="Federal Grants Fund"/>
    <n v="0"/>
  </r>
  <r>
    <x v="4"/>
    <x v="6"/>
    <x v="277"/>
    <x v="279"/>
    <s v="M03"/>
    <s v="Federal Grants Fund"/>
    <n v="11253.55"/>
  </r>
  <r>
    <x v="2"/>
    <x v="3"/>
    <x v="262"/>
    <x v="262"/>
    <s v="M03"/>
    <s v="Federal Grants Fund"/>
    <n v="1843.88"/>
  </r>
  <r>
    <x v="2"/>
    <x v="3"/>
    <x v="3"/>
    <x v="3"/>
    <s v="M03"/>
    <s v="General Fund"/>
    <n v="9912468.3800000008"/>
  </r>
  <r>
    <x v="2"/>
    <x v="0"/>
    <x v="11"/>
    <x v="11"/>
    <s v="MM3"/>
    <s v="General Fund"/>
    <n v="166545.12"/>
  </r>
  <r>
    <x v="3"/>
    <x v="0"/>
    <x v="104"/>
    <x v="104"/>
    <s v="M04"/>
    <s v="General Fund"/>
    <n v="35931682.18"/>
  </r>
  <r>
    <x v="3"/>
    <x v="0"/>
    <x v="104"/>
    <x v="104"/>
    <s v="M03"/>
    <s v="General Fund"/>
    <n v="97215.360000000001"/>
  </r>
  <r>
    <x v="3"/>
    <x v="6"/>
    <x v="181"/>
    <x v="178"/>
    <s v="M04"/>
    <s v="Massachusetts State Public Health HIV and Hepatitis Fund"/>
    <n v="92620.53"/>
  </r>
  <r>
    <x v="0"/>
    <x v="6"/>
    <x v="19"/>
    <x v="19"/>
    <s v="M03"/>
    <s v="General Fund"/>
    <n v="3833975.68"/>
  </r>
  <r>
    <x v="2"/>
    <x v="6"/>
    <x v="137"/>
    <x v="136"/>
    <s v="MM3"/>
    <s v="General Fund"/>
    <n v="28072714.850000001"/>
  </r>
  <r>
    <x v="2"/>
    <x v="0"/>
    <x v="52"/>
    <x v="52"/>
    <s v="MM3"/>
    <s v="General Fund"/>
    <n v="7042514.6699999999"/>
  </r>
  <r>
    <x v="0"/>
    <x v="3"/>
    <x v="6"/>
    <x v="6"/>
    <s v="M03"/>
    <s v="Agency Fund"/>
    <n v="549937.84"/>
  </r>
  <r>
    <x v="0"/>
    <x v="0"/>
    <x v="154"/>
    <x v="153"/>
    <s v="M03"/>
    <s v="General Fund"/>
    <n v="18973344"/>
  </r>
  <r>
    <x v="0"/>
    <x v="6"/>
    <x v="218"/>
    <x v="216"/>
    <s v="MM3"/>
    <s v="General Fund"/>
    <n v="11825575.6"/>
  </r>
  <r>
    <x v="1"/>
    <x v="0"/>
    <x v="79"/>
    <x v="79"/>
    <s v="MM3"/>
    <s v="General Fund"/>
    <n v="736688.59"/>
  </r>
  <r>
    <x v="4"/>
    <x v="0"/>
    <x v="177"/>
    <x v="174"/>
    <s v="M03"/>
    <s v="General Fund"/>
    <n v="25407141.539999999"/>
  </r>
  <r>
    <x v="3"/>
    <x v="7"/>
    <x v="412"/>
    <x v="415"/>
    <s v="M04"/>
    <s v="General Fund"/>
    <n v="249.96"/>
  </r>
  <r>
    <x v="3"/>
    <x v="7"/>
    <x v="173"/>
    <x v="104"/>
    <s v="M04"/>
    <s v="General Fund"/>
    <n v="544403.39"/>
  </r>
  <r>
    <x v="1"/>
    <x v="7"/>
    <x v="127"/>
    <x v="127"/>
    <s v="M03"/>
    <s v="General Fund"/>
    <n v="3127820.87"/>
  </r>
  <r>
    <x v="4"/>
    <x v="0"/>
    <x v="20"/>
    <x v="20"/>
    <s v="M03"/>
    <s v="General Fund"/>
    <n v="945148.72"/>
  </r>
  <r>
    <x v="3"/>
    <x v="8"/>
    <x v="391"/>
    <x v="395"/>
    <s v="M03"/>
    <s v="General Fund"/>
    <n v="288320.11"/>
  </r>
  <r>
    <x v="2"/>
    <x v="6"/>
    <x v="95"/>
    <x v="95"/>
    <s v="MM3"/>
    <s v="Federal Grants Fund"/>
    <n v="5387469.2400000002"/>
  </r>
  <r>
    <x v="1"/>
    <x v="2"/>
    <x v="272"/>
    <x v="272"/>
    <s v="M03"/>
    <s v="Federal Grants Fund"/>
    <n v="7250218.5"/>
  </r>
  <r>
    <x v="2"/>
    <x v="0"/>
    <x v="177"/>
    <x v="174"/>
    <s v="MM3"/>
    <s v="General Fund"/>
    <n v="4172862.9"/>
  </r>
  <r>
    <x v="3"/>
    <x v="6"/>
    <x v="493"/>
    <x v="497"/>
    <s v="M03"/>
    <s v="General Fund"/>
    <n v="1664928"/>
  </r>
  <r>
    <x v="3"/>
    <x v="2"/>
    <x v="364"/>
    <x v="369"/>
    <s v="M03"/>
    <s v="General Fund"/>
    <n v="208392744.99000001"/>
  </r>
  <r>
    <x v="3"/>
    <x v="6"/>
    <x v="86"/>
    <x v="86"/>
    <s v="M04"/>
    <s v="Distressed Hospital Trust Fund"/>
    <n v="374026.62"/>
  </r>
  <r>
    <x v="1"/>
    <x v="6"/>
    <x v="234"/>
    <x v="231"/>
    <s v="M03"/>
    <s v="General Fund"/>
    <n v="930435.9"/>
  </r>
  <r>
    <x v="2"/>
    <x v="5"/>
    <x v="134"/>
    <x v="134"/>
    <s v="MM3"/>
    <s v="General Fund"/>
    <n v="11830652.470000001"/>
  </r>
  <r>
    <x v="2"/>
    <x v="0"/>
    <x v="25"/>
    <x v="25"/>
    <s v="MM3"/>
    <s v="General Fund"/>
    <n v="3167092.58"/>
  </r>
  <r>
    <x v="0"/>
    <x v="0"/>
    <x v="278"/>
    <x v="280"/>
    <s v="MM3"/>
    <s v="General Fund"/>
    <n v="9521947.8000000007"/>
  </r>
  <r>
    <x v="2"/>
    <x v="7"/>
    <x v="296"/>
    <x v="298"/>
    <s v="M03"/>
    <s v="Federal Grants Fund"/>
    <n v="896778.03"/>
  </r>
  <r>
    <x v="0"/>
    <x v="0"/>
    <x v="28"/>
    <x v="28"/>
    <s v="MM3"/>
    <s v="General Fund"/>
    <n v="929276.13"/>
  </r>
  <r>
    <x v="0"/>
    <x v="1"/>
    <x v="172"/>
    <x v="170"/>
    <s v="M03"/>
    <s v="General Fund"/>
    <n v="1159979.1200000001"/>
  </r>
  <r>
    <x v="1"/>
    <x v="3"/>
    <x v="313"/>
    <x v="316"/>
    <s v="M03"/>
    <s v="General Fund"/>
    <n v="142055.65"/>
  </r>
  <r>
    <x v="2"/>
    <x v="13"/>
    <x v="426"/>
    <x v="429"/>
    <s v="M03"/>
    <s v="General Fund"/>
    <n v="6173090.9000000004"/>
  </r>
  <r>
    <x v="2"/>
    <x v="0"/>
    <x v="221"/>
    <x v="219"/>
    <s v="M03"/>
    <s v="General Fund"/>
    <n v="34374840.200000003"/>
  </r>
  <r>
    <x v="0"/>
    <x v="6"/>
    <x v="77"/>
    <x v="77"/>
    <s v="M04"/>
    <s v="Federal Grants Fund"/>
    <n v="126833.63"/>
  </r>
  <r>
    <x v="2"/>
    <x v="0"/>
    <x v="260"/>
    <x v="260"/>
    <s v="M03"/>
    <s v="General Fund"/>
    <n v="257533.9"/>
  </r>
  <r>
    <x v="1"/>
    <x v="2"/>
    <x v="420"/>
    <x v="423"/>
    <s v="M03"/>
    <s v="Federal Grants Fund"/>
    <n v="554596.79"/>
  </r>
  <r>
    <x v="2"/>
    <x v="7"/>
    <x v="16"/>
    <x v="16"/>
    <s v="M03"/>
    <s v="General Fund"/>
    <n v="2867871.01"/>
  </r>
  <r>
    <x v="2"/>
    <x v="6"/>
    <x v="19"/>
    <x v="19"/>
    <s v="M03"/>
    <s v="General Fund"/>
    <n v="3785856.16"/>
  </r>
  <r>
    <x v="0"/>
    <x v="6"/>
    <x v="137"/>
    <x v="136"/>
    <s v="MM3"/>
    <s v="Substance Abuse Services Fund"/>
    <n v="4714860.04"/>
  </r>
  <r>
    <x v="0"/>
    <x v="5"/>
    <x v="94"/>
    <x v="94"/>
    <s v="M04"/>
    <s v="General Fund"/>
    <n v="735638.72"/>
  </r>
  <r>
    <x v="1"/>
    <x v="2"/>
    <x v="292"/>
    <x v="294"/>
    <s v="M03"/>
    <s v="Federal Grants Fund"/>
    <n v="1965950.73"/>
  </r>
  <r>
    <x v="1"/>
    <x v="6"/>
    <x v="337"/>
    <x v="341"/>
    <s v="M04"/>
    <s v="General Fund"/>
    <n v="900000"/>
  </r>
  <r>
    <x v="1"/>
    <x v="6"/>
    <x v="118"/>
    <x v="118"/>
    <s v="M04"/>
    <s v="General Fund"/>
    <n v="244999"/>
  </r>
  <r>
    <x v="2"/>
    <x v="8"/>
    <x v="45"/>
    <x v="45"/>
    <s v="M03"/>
    <s v="Federal Grants Fund"/>
    <n v="550093.79"/>
  </r>
  <r>
    <x v="2"/>
    <x v="0"/>
    <x v="116"/>
    <x v="116"/>
    <s v="MM3"/>
    <s v="General Fund"/>
    <n v="974317.26"/>
  </r>
  <r>
    <x v="0"/>
    <x v="6"/>
    <x v="334"/>
    <x v="338"/>
    <s v="M04"/>
    <s v="General Fund"/>
    <n v="694601.32"/>
  </r>
  <r>
    <x v="0"/>
    <x v="6"/>
    <x v="337"/>
    <x v="341"/>
    <s v="M04"/>
    <s v="General Fund"/>
    <n v="1031300.9"/>
  </r>
  <r>
    <x v="0"/>
    <x v="5"/>
    <x v="447"/>
    <x v="449"/>
    <s v="MM3"/>
    <s v="General Fund"/>
    <n v="5797892.5300000003"/>
  </r>
  <r>
    <x v="1"/>
    <x v="6"/>
    <x v="396"/>
    <x v="400"/>
    <s v="MM3"/>
    <s v="General Fund"/>
    <n v="862232.36"/>
  </r>
  <r>
    <x v="2"/>
    <x v="0"/>
    <x v="339"/>
    <x v="343"/>
    <s v="M03"/>
    <s v="General Fund"/>
    <n v="1142939.52"/>
  </r>
  <r>
    <x v="4"/>
    <x v="1"/>
    <x v="235"/>
    <x v="232"/>
    <s v="M03"/>
    <s v="General Fund"/>
    <n v="454386.29"/>
  </r>
  <r>
    <x v="0"/>
    <x v="6"/>
    <x v="357"/>
    <x v="363"/>
    <s v="MM3"/>
    <s v="General Fund"/>
    <n v="1722016.95"/>
  </r>
  <r>
    <x v="1"/>
    <x v="6"/>
    <x v="19"/>
    <x v="19"/>
    <s v="M03"/>
    <s v="General Fund"/>
    <n v="3833976.36"/>
  </r>
  <r>
    <x v="1"/>
    <x v="2"/>
    <x v="347"/>
    <x v="352"/>
    <s v="M04"/>
    <s v="General Fund"/>
    <n v="317049.95"/>
  </r>
  <r>
    <x v="2"/>
    <x v="8"/>
    <x v="391"/>
    <x v="395"/>
    <s v="M03"/>
    <s v="General Fund"/>
    <n v="206063.45"/>
  </r>
  <r>
    <x v="1"/>
    <x v="0"/>
    <x v="189"/>
    <x v="186"/>
    <s v="MM3"/>
    <s v="General Fund"/>
    <n v="298883.20000000001"/>
  </r>
  <r>
    <x v="1"/>
    <x v="6"/>
    <x v="226"/>
    <x v="224"/>
    <s v="MM3"/>
    <s v="Federal Grants Fund"/>
    <n v="438264"/>
  </r>
  <r>
    <x v="1"/>
    <x v="6"/>
    <x v="37"/>
    <x v="37"/>
    <s v="MM3"/>
    <s v="Federal Grants Fund"/>
    <n v="1080176.83"/>
  </r>
  <r>
    <x v="1"/>
    <x v="5"/>
    <x v="158"/>
    <x v="157"/>
    <s v="M04"/>
    <s v="General Fund"/>
    <n v="171426.05"/>
  </r>
  <r>
    <x v="0"/>
    <x v="0"/>
    <x v="26"/>
    <x v="26"/>
    <s v="MM3"/>
    <s v="General Fund"/>
    <n v="178397.82"/>
  </r>
  <r>
    <x v="2"/>
    <x v="1"/>
    <x v="101"/>
    <x v="101"/>
    <s v="M03"/>
    <s v="General Fund"/>
    <n v="388584.42"/>
  </r>
  <r>
    <x v="2"/>
    <x v="0"/>
    <x v="103"/>
    <x v="103"/>
    <s v="M03"/>
    <s v="General Fund"/>
    <n v="364856.11"/>
  </r>
  <r>
    <x v="1"/>
    <x v="3"/>
    <x v="313"/>
    <x v="316"/>
    <s v="M03"/>
    <s v="Federal Grants Fund"/>
    <n v="147343.73000000001"/>
  </r>
  <r>
    <x v="0"/>
    <x v="0"/>
    <x v="49"/>
    <x v="49"/>
    <s v="M03"/>
    <s v="General Fund"/>
    <n v="219827.86"/>
  </r>
  <r>
    <x v="1"/>
    <x v="5"/>
    <x v="359"/>
    <x v="365"/>
    <s v="MM3"/>
    <s v="General Fund"/>
    <n v="523771.1"/>
  </r>
  <r>
    <x v="2"/>
    <x v="7"/>
    <x v="208"/>
    <x v="214"/>
    <s v="M03"/>
    <s v="Trust Fund For the Head Injury Treatment Service Fund"/>
    <n v="1328103.73"/>
  </r>
  <r>
    <x v="1"/>
    <x v="0"/>
    <x v="121"/>
    <x v="121"/>
    <s v="MM3"/>
    <s v="Expendable Trust Fund - External"/>
    <n v="0"/>
  </r>
  <r>
    <x v="0"/>
    <x v="3"/>
    <x v="463"/>
    <x v="465"/>
    <s v="M03"/>
    <s v="General Fund"/>
    <n v="462356.05"/>
  </r>
  <r>
    <x v="2"/>
    <x v="5"/>
    <x v="138"/>
    <x v="137"/>
    <s v="M03"/>
    <s v="General Fund"/>
    <n v="826521.67"/>
  </r>
  <r>
    <x v="2"/>
    <x v="6"/>
    <x v="21"/>
    <x v="21"/>
    <s v="MM3"/>
    <s v="Federal Grants Fund"/>
    <n v="30000"/>
  </r>
  <r>
    <x v="1"/>
    <x v="2"/>
    <x v="389"/>
    <x v="393"/>
    <s v="M03"/>
    <s v="General Fund"/>
    <n v="1409622.38"/>
  </r>
  <r>
    <x v="3"/>
    <x v="6"/>
    <x v="288"/>
    <x v="290"/>
    <s v="M04"/>
    <s v="General Fund"/>
    <n v="159545.81"/>
  </r>
  <r>
    <x v="3"/>
    <x v="0"/>
    <x v="189"/>
    <x v="186"/>
    <s v="MM3"/>
    <s v="General Fund"/>
    <n v="285502.8"/>
  </r>
  <r>
    <x v="4"/>
    <x v="0"/>
    <x v="41"/>
    <x v="41"/>
    <s v="M03"/>
    <s v="General Fund"/>
    <n v="2577562.16"/>
  </r>
  <r>
    <x v="1"/>
    <x v="6"/>
    <x v="38"/>
    <x v="38"/>
    <s v="MM3"/>
    <s v="Federal Grants Fund"/>
    <n v="1228821.3999999999"/>
  </r>
  <r>
    <x v="1"/>
    <x v="1"/>
    <x v="101"/>
    <x v="101"/>
    <s v="M03"/>
    <s v="Federal Grants Fund"/>
    <n v="738233.18"/>
  </r>
  <r>
    <x v="3"/>
    <x v="5"/>
    <x v="353"/>
    <x v="359"/>
    <s v="M04"/>
    <s v="Expendable Trust Fund - External"/>
    <n v="2395.7199999999998"/>
  </r>
  <r>
    <x v="3"/>
    <x v="6"/>
    <x v="490"/>
    <x v="494"/>
    <s v="M04"/>
    <s v="General Fund"/>
    <n v="734032"/>
  </r>
  <r>
    <x v="3"/>
    <x v="15"/>
    <x v="275"/>
    <x v="276"/>
    <s v="M03"/>
    <s v="General Fund"/>
    <n v="1788000"/>
  </r>
  <r>
    <x v="3"/>
    <x v="6"/>
    <x v="171"/>
    <x v="169"/>
    <s v="M03"/>
    <s v="Federal Grants Fund"/>
    <n v="643537.78"/>
  </r>
  <r>
    <x v="0"/>
    <x v="0"/>
    <x v="215"/>
    <x v="212"/>
    <s v="MM3"/>
    <s v="General Fund"/>
    <n v="141853.65"/>
  </r>
  <r>
    <x v="4"/>
    <x v="3"/>
    <x v="27"/>
    <x v="27"/>
    <s v="M03"/>
    <s v="General Fund"/>
    <n v="0"/>
  </r>
  <r>
    <x v="2"/>
    <x v="0"/>
    <x v="122"/>
    <x v="346"/>
    <s v="MM3"/>
    <s v="General Fund"/>
    <n v="15420.29"/>
  </r>
  <r>
    <x v="4"/>
    <x v="7"/>
    <x v="208"/>
    <x v="214"/>
    <s v="M04"/>
    <s v="General Fund"/>
    <n v="0"/>
  </r>
  <r>
    <x v="3"/>
    <x v="5"/>
    <x v="270"/>
    <x v="270"/>
    <s v="M04"/>
    <s v="Federal Grants Fund"/>
    <n v="125157.83"/>
  </r>
  <r>
    <x v="3"/>
    <x v="6"/>
    <x v="77"/>
    <x v="77"/>
    <s v="M04"/>
    <s v="Federal Grants Fund"/>
    <n v="32847.1"/>
  </r>
  <r>
    <x v="3"/>
    <x v="6"/>
    <x v="166"/>
    <x v="164"/>
    <s v="MM3"/>
    <s v="Federal Grants Fund"/>
    <n v="95850"/>
  </r>
  <r>
    <x v="0"/>
    <x v="0"/>
    <x v="103"/>
    <x v="103"/>
    <s v="M03"/>
    <s v="General Fund"/>
    <n v="440286.21"/>
  </r>
  <r>
    <x v="1"/>
    <x v="6"/>
    <x v="137"/>
    <x v="136"/>
    <s v="M03"/>
    <s v="General Fund"/>
    <n v="459140"/>
  </r>
  <r>
    <x v="2"/>
    <x v="6"/>
    <x v="378"/>
    <x v="382"/>
    <s v="M04"/>
    <s v="Federal Grants Fund"/>
    <n v="0"/>
  </r>
  <r>
    <x v="2"/>
    <x v="0"/>
    <x v="88"/>
    <x v="88"/>
    <s v="M04"/>
    <s v="Intragovernmental Services Fund"/>
    <n v="634000"/>
  </r>
  <r>
    <x v="0"/>
    <x v="5"/>
    <x v="138"/>
    <x v="137"/>
    <s v="M03"/>
    <s v="General Fund"/>
    <n v="831650.25"/>
  </r>
  <r>
    <x v="4"/>
    <x v="6"/>
    <x v="281"/>
    <x v="283"/>
    <s v="MM3"/>
    <s v="Federal Grants Fund"/>
    <n v="1090000"/>
  </r>
  <r>
    <x v="4"/>
    <x v="7"/>
    <x v="208"/>
    <x v="214"/>
    <s v="M03"/>
    <s v="General Fund"/>
    <n v="0"/>
  </r>
  <r>
    <x v="2"/>
    <x v="9"/>
    <x v="388"/>
    <x v="392"/>
    <s v="M03"/>
    <s v="General Fund"/>
    <n v="1976011.4"/>
  </r>
  <r>
    <x v="5"/>
    <x v="5"/>
    <x v="5"/>
    <x v="5"/>
    <s v="MM3"/>
    <s v="General Fund"/>
    <n v="263555247.49000001"/>
  </r>
  <r>
    <x v="5"/>
    <x v="7"/>
    <x v="251"/>
    <x v="249"/>
    <s v="M04"/>
    <s v="Trust Fund For the Head Injury Treatment Service Fund"/>
    <n v="2850"/>
  </r>
  <r>
    <x v="5"/>
    <x v="6"/>
    <x v="95"/>
    <x v="95"/>
    <s v="MM3"/>
    <s v="Federal Grants Fund"/>
    <n v="4771645.05"/>
  </r>
  <r>
    <x v="5"/>
    <x v="9"/>
    <x v="222"/>
    <x v="220"/>
    <s v="M03"/>
    <s v="General Fund"/>
    <n v="7906477.7400000002"/>
  </r>
  <r>
    <x v="5"/>
    <x v="3"/>
    <x v="29"/>
    <x v="29"/>
    <s v="M04"/>
    <s v="General Fund"/>
    <n v="10387616.85"/>
  </r>
  <r>
    <x v="5"/>
    <x v="2"/>
    <x v="292"/>
    <x v="294"/>
    <s v="M03"/>
    <s v="Federal Grants Fund"/>
    <n v="1492846.9"/>
  </r>
  <r>
    <x v="0"/>
    <x v="6"/>
    <x v="196"/>
    <x v="193"/>
    <s v="MM3"/>
    <s v="General Fund"/>
    <n v="801972.48"/>
  </r>
  <r>
    <x v="0"/>
    <x v="5"/>
    <x v="75"/>
    <x v="75"/>
    <s v="M03"/>
    <s v="Expendable Trust Fund - External"/>
    <n v="102526.19"/>
  </r>
  <r>
    <x v="1"/>
    <x v="7"/>
    <x v="294"/>
    <x v="296"/>
    <s v="M03"/>
    <s v="General Fund"/>
    <n v="231722.87"/>
  </r>
  <r>
    <x v="5"/>
    <x v="7"/>
    <x v="34"/>
    <x v="34"/>
    <s v="M03"/>
    <s v="Trust Fund For the Head Injury Treatment Service Fund"/>
    <n v="46937.1"/>
  </r>
  <r>
    <x v="5"/>
    <x v="6"/>
    <x v="263"/>
    <x v="263"/>
    <s v="MM3"/>
    <s v="General Fund"/>
    <n v="27065797.210000001"/>
  </r>
  <r>
    <x v="1"/>
    <x v="7"/>
    <x v="40"/>
    <x v="40"/>
    <s v="M03"/>
    <s v="Federal Grants Fund"/>
    <n v="52797.48"/>
  </r>
  <r>
    <x v="1"/>
    <x v="6"/>
    <x v="236"/>
    <x v="234"/>
    <s v="M04"/>
    <s v="General Fund"/>
    <n v="1103272.57"/>
  </r>
  <r>
    <x v="2"/>
    <x v="6"/>
    <x v="146"/>
    <x v="145"/>
    <s v="M04"/>
    <s v="General Fund"/>
    <n v="121000"/>
  </r>
  <r>
    <x v="2"/>
    <x v="6"/>
    <x v="146"/>
    <x v="145"/>
    <s v="M04"/>
    <s v="Federal Grants Fund"/>
    <n v="323951.99"/>
  </r>
  <r>
    <x v="4"/>
    <x v="6"/>
    <x v="234"/>
    <x v="231"/>
    <s v="M03"/>
    <s v="General Fund"/>
    <n v="995697.01"/>
  </r>
  <r>
    <x v="1"/>
    <x v="1"/>
    <x v="266"/>
    <x v="300"/>
    <s v="M04"/>
    <s v="Expendable Trust Fund - External"/>
    <n v="9837.68"/>
  </r>
  <r>
    <x v="2"/>
    <x v="5"/>
    <x v="447"/>
    <x v="449"/>
    <s v="MM3"/>
    <s v="General Fund"/>
    <n v="5469265"/>
  </r>
  <r>
    <x v="2"/>
    <x v="1"/>
    <x v="372"/>
    <x v="377"/>
    <s v="M03"/>
    <s v="General Fund"/>
    <n v="6601.8"/>
  </r>
  <r>
    <x v="0"/>
    <x v="5"/>
    <x v="242"/>
    <x v="240"/>
    <s v="MM3"/>
    <s v="General Fund"/>
    <n v="332739.20000000001"/>
  </r>
  <r>
    <x v="4"/>
    <x v="6"/>
    <x v="252"/>
    <x v="250"/>
    <s v="MM3"/>
    <s v="Federal Grants Fund"/>
    <n v="86985.39"/>
  </r>
  <r>
    <x v="1"/>
    <x v="1"/>
    <x v="266"/>
    <x v="300"/>
    <s v="M04"/>
    <s v="Federal Grants Fund"/>
    <n v="45578.879999999997"/>
  </r>
  <r>
    <x v="4"/>
    <x v="2"/>
    <x v="338"/>
    <x v="342"/>
    <s v="M03"/>
    <s v="Federal Grants Fund"/>
    <n v="2183881.9500000002"/>
  </r>
  <r>
    <x v="1"/>
    <x v="5"/>
    <x v="195"/>
    <x v="192"/>
    <s v="M04"/>
    <s v="General Fund"/>
    <n v="5330594.29"/>
  </r>
  <r>
    <x v="1"/>
    <x v="1"/>
    <x v="14"/>
    <x v="14"/>
    <s v="MM3"/>
    <s v="Federal Grants Fund"/>
    <n v="2771.5"/>
  </r>
  <r>
    <x v="4"/>
    <x v="3"/>
    <x v="89"/>
    <x v="89"/>
    <s v="M04"/>
    <s v="General Fund"/>
    <n v="155782.43"/>
  </r>
  <r>
    <x v="4"/>
    <x v="5"/>
    <x v="134"/>
    <x v="134"/>
    <s v="MM3"/>
    <s v="General Fund"/>
    <n v="8164803.8700000001"/>
  </r>
  <r>
    <x v="5"/>
    <x v="7"/>
    <x v="173"/>
    <x v="104"/>
    <s v="M04"/>
    <s v="General Fund"/>
    <n v="388537.75"/>
  </r>
  <r>
    <x v="5"/>
    <x v="6"/>
    <x v="83"/>
    <x v="83"/>
    <s v="MM3"/>
    <s v="General Fund"/>
    <n v="3730337.52"/>
  </r>
  <r>
    <x v="4"/>
    <x v="3"/>
    <x v="6"/>
    <x v="6"/>
    <s v="M03"/>
    <s v="General Fund"/>
    <n v="0"/>
  </r>
  <r>
    <x v="5"/>
    <x v="0"/>
    <x v="223"/>
    <x v="221"/>
    <s v="MM3"/>
    <s v="General Fund"/>
    <n v="4243457.82"/>
  </r>
  <r>
    <x v="3"/>
    <x v="6"/>
    <x v="95"/>
    <x v="95"/>
    <s v="M04"/>
    <s v="Federal Grants Fund"/>
    <n v="0"/>
  </r>
  <r>
    <x v="5"/>
    <x v="6"/>
    <x v="38"/>
    <x v="38"/>
    <s v="M03"/>
    <s v="General Fund"/>
    <n v="1805233.04"/>
  </r>
  <r>
    <x v="3"/>
    <x v="6"/>
    <x v="245"/>
    <x v="243"/>
    <s v="MM3"/>
    <s v="General Fund"/>
    <n v="0"/>
  </r>
  <r>
    <x v="5"/>
    <x v="7"/>
    <x v="127"/>
    <x v="127"/>
    <s v="M03"/>
    <s v="Trust Fund For the Head Injury Treatment Service Fund"/>
    <n v="8282.1200000000008"/>
  </r>
  <r>
    <x v="3"/>
    <x v="6"/>
    <x v="137"/>
    <x v="136"/>
    <s v="MM3"/>
    <s v="Federal Grants Fund"/>
    <n v="4380.6000000000004"/>
  </r>
  <r>
    <x v="3"/>
    <x v="5"/>
    <x v="242"/>
    <x v="240"/>
    <s v="MM3"/>
    <s v="General Fund"/>
    <n v="476463.84"/>
  </r>
  <r>
    <x v="0"/>
    <x v="11"/>
    <x v="309"/>
    <x v="312"/>
    <s v="M04"/>
    <s v="Intragovernmental Services Fund"/>
    <n v="6318646.9199999999"/>
  </r>
  <r>
    <x v="4"/>
    <x v="5"/>
    <x v="362"/>
    <x v="368"/>
    <s v="MM3"/>
    <s v="General Fund"/>
    <n v="1346037.43"/>
  </r>
  <r>
    <x v="2"/>
    <x v="5"/>
    <x v="242"/>
    <x v="240"/>
    <s v="M04"/>
    <s v="General Fund"/>
    <n v="604924.48"/>
  </r>
  <r>
    <x v="1"/>
    <x v="6"/>
    <x v="301"/>
    <x v="304"/>
    <s v="M04"/>
    <s v="General Fund"/>
    <n v="395391.1"/>
  </r>
  <r>
    <x v="0"/>
    <x v="6"/>
    <x v="305"/>
    <x v="308"/>
    <s v="M04"/>
    <s v="Massachusetts Aids Fund"/>
    <n v="81297.09"/>
  </r>
  <r>
    <x v="4"/>
    <x v="9"/>
    <x v="494"/>
    <x v="498"/>
    <s v="M03"/>
    <s v="General Fund"/>
    <n v="7500"/>
  </r>
  <r>
    <x v="4"/>
    <x v="1"/>
    <x v="107"/>
    <x v="107"/>
    <s v="M03"/>
    <s v="Federal Grants Fund"/>
    <n v="19173.64"/>
  </r>
  <r>
    <x v="4"/>
    <x v="7"/>
    <x v="40"/>
    <x v="40"/>
    <s v="M03"/>
    <s v="General Fund"/>
    <n v="166011.51999999999"/>
  </r>
  <r>
    <x v="4"/>
    <x v="4"/>
    <x v="254"/>
    <x v="252"/>
    <s v="M03"/>
    <s v="Federal Grants Fund"/>
    <n v="170688.5"/>
  </r>
  <r>
    <x v="4"/>
    <x v="0"/>
    <x v="0"/>
    <x v="0"/>
    <s v="M03"/>
    <s v="Expendable Trust Fund - External"/>
    <n v="0"/>
  </r>
  <r>
    <x v="4"/>
    <x v="5"/>
    <x v="92"/>
    <x v="92"/>
    <s v="MM3"/>
    <s v="General Fund"/>
    <n v="253916.98"/>
  </r>
  <r>
    <x v="4"/>
    <x v="6"/>
    <x v="467"/>
    <x v="470"/>
    <s v="M04"/>
    <s v="Federal Grants Fund"/>
    <n v="36007.24"/>
  </r>
  <r>
    <x v="4"/>
    <x v="5"/>
    <x v="92"/>
    <x v="92"/>
    <s v="M03"/>
    <s v="General Fund"/>
    <n v="216614.79"/>
  </r>
  <r>
    <x v="4"/>
    <x v="6"/>
    <x v="152"/>
    <x v="151"/>
    <s v="MM3"/>
    <s v="Federal Grants Fund"/>
    <n v="373861.11"/>
  </r>
  <r>
    <x v="4"/>
    <x v="7"/>
    <x v="251"/>
    <x v="249"/>
    <s v="M04"/>
    <s v="General Fund"/>
    <n v="22829.52"/>
  </r>
  <r>
    <x v="5"/>
    <x v="0"/>
    <x v="220"/>
    <x v="218"/>
    <s v="MM3"/>
    <s v="Expendable Trust Fund - External"/>
    <n v="0"/>
  </r>
  <r>
    <x v="5"/>
    <x v="6"/>
    <x v="450"/>
    <x v="452"/>
    <s v="M03"/>
    <s v="Federal Grants Fund"/>
    <n v="111810.84"/>
  </r>
  <r>
    <x v="5"/>
    <x v="0"/>
    <x v="161"/>
    <x v="159"/>
    <s v="MM3"/>
    <s v="General Fund"/>
    <n v="438356.7"/>
  </r>
  <r>
    <x v="4"/>
    <x v="3"/>
    <x v="89"/>
    <x v="89"/>
    <s v="M03"/>
    <s v="General Fund"/>
    <n v="362830"/>
  </r>
  <r>
    <x v="4"/>
    <x v="6"/>
    <x v="35"/>
    <x v="35"/>
    <s v="M03"/>
    <s v="Federal Grants Fund"/>
    <n v="109366.59"/>
  </r>
  <r>
    <x v="4"/>
    <x v="5"/>
    <x v="242"/>
    <x v="240"/>
    <s v="MM3"/>
    <s v="Federal Grants Fund"/>
    <n v="259143.9"/>
  </r>
  <r>
    <x v="5"/>
    <x v="7"/>
    <x v="251"/>
    <x v="249"/>
    <s v="M03"/>
    <s v="Trust Fund For the Head Injury Treatment Service Fund"/>
    <n v="327352.15999999997"/>
  </r>
  <r>
    <x v="5"/>
    <x v="5"/>
    <x v="5"/>
    <x v="5"/>
    <s v="MM3"/>
    <s v="Federal Grants Fund"/>
    <n v="67661.3"/>
  </r>
  <r>
    <x v="0"/>
    <x v="6"/>
    <x v="176"/>
    <x v="173"/>
    <s v="M04"/>
    <s v="Federal Grants Fund"/>
    <n v="33663.47"/>
  </r>
  <r>
    <x v="2"/>
    <x v="0"/>
    <x v="186"/>
    <x v="183"/>
    <s v="MM3"/>
    <s v="General Fund"/>
    <n v="163071.04999999999"/>
  </r>
  <r>
    <x v="3"/>
    <x v="5"/>
    <x v="387"/>
    <x v="391"/>
    <s v="MM3"/>
    <s v="General Fund"/>
    <n v="10310064.289999999"/>
  </r>
  <r>
    <x v="2"/>
    <x v="5"/>
    <x v="188"/>
    <x v="185"/>
    <s v="MM3"/>
    <s v="Federal Grants Fund"/>
    <n v="350028"/>
  </r>
  <r>
    <x v="3"/>
    <x v="6"/>
    <x v="413"/>
    <x v="416"/>
    <s v="M04"/>
    <s v="General Fund"/>
    <n v="763010.88"/>
  </r>
  <r>
    <x v="0"/>
    <x v="14"/>
    <x v="156"/>
    <x v="155"/>
    <s v="M04"/>
    <s v="General Fund"/>
    <n v="1796.5"/>
  </r>
  <r>
    <x v="2"/>
    <x v="6"/>
    <x v="123"/>
    <x v="123"/>
    <s v="M04"/>
    <s v="Federal Grants Fund"/>
    <n v="230154.35"/>
  </r>
  <r>
    <x v="5"/>
    <x v="6"/>
    <x v="166"/>
    <x v="164"/>
    <s v="MM3"/>
    <s v="Federal Grants Fund"/>
    <n v="95850"/>
  </r>
  <r>
    <x v="5"/>
    <x v="0"/>
    <x v="57"/>
    <x v="57"/>
    <s v="MM3"/>
    <s v="Expendable Trust Fund - External"/>
    <n v="0"/>
  </r>
  <r>
    <x v="5"/>
    <x v="9"/>
    <x v="407"/>
    <x v="410"/>
    <s v="M03"/>
    <s v="General Fund"/>
    <n v="7365.83"/>
  </r>
  <r>
    <x v="1"/>
    <x v="0"/>
    <x v="205"/>
    <x v="202"/>
    <s v="M03"/>
    <s v="Federal Grants Fund"/>
    <n v="105546.03"/>
  </r>
  <r>
    <x v="4"/>
    <x v="7"/>
    <x v="198"/>
    <x v="195"/>
    <s v="M03"/>
    <s v="Federal Grants Fund"/>
    <n v="21287.47"/>
  </r>
  <r>
    <x v="0"/>
    <x v="3"/>
    <x v="461"/>
    <x v="463"/>
    <s v="M04"/>
    <s v="General Fund"/>
    <n v="86168.56"/>
  </r>
  <r>
    <x v="3"/>
    <x v="7"/>
    <x v="323"/>
    <x v="326"/>
    <s v="M03"/>
    <s v="Trust Fund For the Head Injury Treatment Service Fund"/>
    <n v="0"/>
  </r>
  <r>
    <x v="4"/>
    <x v="6"/>
    <x v="19"/>
    <x v="19"/>
    <s v="M04"/>
    <s v="General Fund"/>
    <n v="0"/>
  </r>
  <r>
    <x v="4"/>
    <x v="0"/>
    <x v="445"/>
    <x v="447"/>
    <s v="M04"/>
    <s v="General Fund"/>
    <n v="0"/>
  </r>
  <r>
    <x v="4"/>
    <x v="7"/>
    <x v="140"/>
    <x v="139"/>
    <s v="M03"/>
    <s v="Federal Grants Fund"/>
    <n v="15711.63"/>
  </r>
  <r>
    <x v="5"/>
    <x v="6"/>
    <x v="38"/>
    <x v="38"/>
    <s v="M03"/>
    <s v="Federal Grants Fund"/>
    <n v="132164.45000000001"/>
  </r>
  <r>
    <x v="5"/>
    <x v="0"/>
    <x v="25"/>
    <x v="25"/>
    <s v="M04"/>
    <s v="General Fund"/>
    <n v="335204.7"/>
  </r>
  <r>
    <x v="5"/>
    <x v="7"/>
    <x v="198"/>
    <x v="195"/>
    <s v="M03"/>
    <s v="Federal Grants Fund"/>
    <n v="9083"/>
  </r>
  <r>
    <x v="5"/>
    <x v="7"/>
    <x v="208"/>
    <x v="205"/>
    <s v="M03"/>
    <s v="Expendable Trust Fund - External"/>
    <n v="21386.92"/>
  </r>
  <r>
    <x v="5"/>
    <x v="12"/>
    <x v="319"/>
    <x v="322"/>
    <s v="M03"/>
    <s v="General Fund"/>
    <n v="168603.38"/>
  </r>
  <r>
    <x v="0"/>
    <x v="0"/>
    <x v="104"/>
    <x v="104"/>
    <s v="M04"/>
    <s v="Expendable Trust Fund - External"/>
    <n v="0"/>
  </r>
  <r>
    <x v="1"/>
    <x v="0"/>
    <x v="217"/>
    <x v="215"/>
    <s v="M03"/>
    <s v="Expendable Trust Fund - External"/>
    <n v="0"/>
  </r>
  <r>
    <x v="2"/>
    <x v="7"/>
    <x v="47"/>
    <x v="47"/>
    <s v="M03"/>
    <s v="Trust Fund For the Head Injury Treatment Service Fund"/>
    <n v="0"/>
  </r>
  <r>
    <x v="3"/>
    <x v="7"/>
    <x v="120"/>
    <x v="120"/>
    <s v="M04"/>
    <s v="Trust Fund For the Head Injury Treatment Service Fund"/>
    <n v="0"/>
  </r>
  <r>
    <x v="2"/>
    <x v="1"/>
    <x v="250"/>
    <x v="248"/>
    <s v="MM3"/>
    <s v="General Fund"/>
    <n v="60000"/>
  </r>
  <r>
    <x v="3"/>
    <x v="6"/>
    <x v="87"/>
    <x v="87"/>
    <s v="M04"/>
    <s v="Prevention and Wellness Trust Fund"/>
    <n v="5351.88"/>
  </r>
  <r>
    <x v="1"/>
    <x v="0"/>
    <x v="84"/>
    <x v="84"/>
    <s v="M03"/>
    <s v="Expendable Trust Fund - External"/>
    <n v="-92500"/>
  </r>
  <r>
    <x v="5"/>
    <x v="0"/>
    <x v="0"/>
    <x v="0"/>
    <s v="MM3"/>
    <s v="Expendable Trust Fund - External"/>
    <n v="0"/>
  </r>
  <r>
    <x v="4"/>
    <x v="6"/>
    <x v="91"/>
    <x v="91"/>
    <s v="M04"/>
    <s v="Federal Grants Fund"/>
    <n v="140001"/>
  </r>
  <r>
    <x v="3"/>
    <x v="6"/>
    <x v="466"/>
    <x v="469"/>
    <s v="M04"/>
    <s v="Federal Grants Fund"/>
    <n v="12499.04"/>
  </r>
  <r>
    <x v="0"/>
    <x v="9"/>
    <x v="469"/>
    <x v="472"/>
    <s v="M03"/>
    <s v="General Fund"/>
    <n v="0"/>
  </r>
  <r>
    <x v="3"/>
    <x v="6"/>
    <x v="196"/>
    <x v="193"/>
    <s v="MM3"/>
    <s v="Federal Grants Fund"/>
    <n v="0"/>
  </r>
  <r>
    <x v="1"/>
    <x v="0"/>
    <x v="122"/>
    <x v="346"/>
    <s v="M04"/>
    <s v="General Fund"/>
    <n v="15800"/>
  </r>
  <r>
    <x v="1"/>
    <x v="6"/>
    <x v="63"/>
    <x v="63"/>
    <s v="M04"/>
    <s v="Federal Grants Fund"/>
    <n v="97184.41"/>
  </r>
  <r>
    <x v="2"/>
    <x v="0"/>
    <x v="278"/>
    <x v="280"/>
    <s v="M03"/>
    <s v="Expendable Trust Fund - External"/>
    <n v="64569.599999999999"/>
  </r>
  <r>
    <x v="1"/>
    <x v="2"/>
    <x v="457"/>
    <x v="459"/>
    <s v="M04"/>
    <s v="Federal Grants Fund"/>
    <n v="0"/>
  </r>
  <r>
    <x v="1"/>
    <x v="6"/>
    <x v="99"/>
    <x v="99"/>
    <s v="MM3"/>
    <s v="Substance Abuse Services Fund"/>
    <n v="61141.93"/>
  </r>
  <r>
    <x v="1"/>
    <x v="0"/>
    <x v="20"/>
    <x v="20"/>
    <s v="MM3"/>
    <s v="Expendable Trust Fund - External"/>
    <n v="0"/>
  </r>
  <r>
    <x v="3"/>
    <x v="2"/>
    <x v="473"/>
    <x v="477"/>
    <s v="M03"/>
    <s v="General Fund"/>
    <n v="0"/>
  </r>
  <r>
    <x v="0"/>
    <x v="0"/>
    <x v="314"/>
    <x v="317"/>
    <s v="M03"/>
    <s v="Expendable Trust Fund - External"/>
    <n v="0"/>
  </r>
  <r>
    <x v="3"/>
    <x v="5"/>
    <x v="464"/>
    <x v="467"/>
    <s v="M03"/>
    <s v="General Fund"/>
    <n v="9999.92"/>
  </r>
  <r>
    <x v="3"/>
    <x v="6"/>
    <x v="355"/>
    <x v="361"/>
    <s v="M03"/>
    <s v="Federal Grants Fund"/>
    <n v="250000"/>
  </r>
  <r>
    <x v="5"/>
    <x v="0"/>
    <x v="186"/>
    <x v="183"/>
    <s v="M04"/>
    <s v="Expendable Trust Fund - External"/>
    <n v="11092.65"/>
  </r>
  <r>
    <x v="0"/>
    <x v="0"/>
    <x v="31"/>
    <x v="31"/>
    <s v="MM3"/>
    <s v="General Fund"/>
    <n v="0"/>
  </r>
  <r>
    <x v="3"/>
    <x v="7"/>
    <x v="238"/>
    <x v="236"/>
    <s v="M03"/>
    <s v="Money Follows the Person Rebalancing Demonstration Grant Tr"/>
    <n v="6750"/>
  </r>
  <r>
    <x v="5"/>
    <x v="0"/>
    <x v="215"/>
    <x v="212"/>
    <s v="M03"/>
    <s v="Expendable Trust Fund - External"/>
    <n v="12613.84"/>
  </r>
  <r>
    <x v="4"/>
    <x v="6"/>
    <x v="434"/>
    <x v="435"/>
    <s v="M04"/>
    <s v="Federal Grants Fund"/>
    <n v="40000"/>
  </r>
  <r>
    <x v="5"/>
    <x v="0"/>
    <x v="102"/>
    <x v="102"/>
    <s v="MM3"/>
    <s v="Expendable Trust Fund - External"/>
    <n v="0"/>
  </r>
  <r>
    <x v="3"/>
    <x v="5"/>
    <x v="297"/>
    <x v="299"/>
    <s v="M04"/>
    <s v="General Fund"/>
    <n v="540"/>
  </r>
  <r>
    <x v="2"/>
    <x v="6"/>
    <x v="308"/>
    <x v="311"/>
    <s v="MM3"/>
    <s v="Federal Grants Fund"/>
    <n v="32000"/>
  </r>
  <r>
    <x v="4"/>
    <x v="6"/>
    <x v="305"/>
    <x v="308"/>
    <s v="M04"/>
    <s v="Massachusetts Aids Fund"/>
    <n v="0"/>
  </r>
  <r>
    <x v="2"/>
    <x v="5"/>
    <x v="160"/>
    <x v="158"/>
    <s v="MM3"/>
    <s v="General Fund"/>
    <n v="1890"/>
  </r>
  <r>
    <x v="3"/>
    <x v="6"/>
    <x v="118"/>
    <x v="118"/>
    <s v="M04"/>
    <s v="Federal Grants Fund"/>
    <n v="0"/>
  </r>
  <r>
    <x v="1"/>
    <x v="6"/>
    <x v="308"/>
    <x v="311"/>
    <s v="MM3"/>
    <s v="Expendable Trust Fund - External"/>
    <n v="0"/>
  </r>
  <r>
    <x v="2"/>
    <x v="3"/>
    <x v="6"/>
    <x v="6"/>
    <s v="M03"/>
    <s v="Agency Fund"/>
    <n v="649288.79"/>
  </r>
  <r>
    <x v="2"/>
    <x v="12"/>
    <x v="382"/>
    <x v="385"/>
    <s v="M03"/>
    <s v="General Fund"/>
    <n v="1192304"/>
  </r>
  <r>
    <x v="0"/>
    <x v="6"/>
    <x v="8"/>
    <x v="8"/>
    <s v="M03"/>
    <s v="Federal Grants Fund"/>
    <n v="17150788.539999999"/>
  </r>
  <r>
    <x v="1"/>
    <x v="11"/>
    <x v="316"/>
    <x v="319"/>
    <s v="M03"/>
    <s v="General Fund"/>
    <n v="5492639"/>
  </r>
  <r>
    <x v="3"/>
    <x v="0"/>
    <x v="121"/>
    <x v="121"/>
    <s v="M03"/>
    <s v="General Fund"/>
    <n v="68274461.390000001"/>
  </r>
  <r>
    <x v="3"/>
    <x v="5"/>
    <x v="76"/>
    <x v="76"/>
    <s v="M04"/>
    <s v="General Fund"/>
    <n v="4330484.7"/>
  </r>
  <r>
    <x v="3"/>
    <x v="0"/>
    <x v="220"/>
    <x v="218"/>
    <s v="M03"/>
    <s v="General Fund"/>
    <n v="43879537.939999998"/>
  </r>
  <r>
    <x v="3"/>
    <x v="1"/>
    <x v="206"/>
    <x v="203"/>
    <s v="M03"/>
    <s v="General Fund"/>
    <n v="82267.710000000006"/>
  </r>
  <r>
    <x v="3"/>
    <x v="8"/>
    <x v="45"/>
    <x v="45"/>
    <s v="M03"/>
    <s v="Federal Grants Fund"/>
    <n v="417047.44"/>
  </r>
  <r>
    <x v="3"/>
    <x v="0"/>
    <x v="339"/>
    <x v="343"/>
    <s v="M03"/>
    <s v="General Fund"/>
    <n v="1927571.65"/>
  </r>
  <r>
    <x v="3"/>
    <x v="6"/>
    <x v="181"/>
    <x v="178"/>
    <s v="M04"/>
    <s v="General Fund"/>
    <n v="7174130.4000000004"/>
  </r>
  <r>
    <x v="2"/>
    <x v="7"/>
    <x v="327"/>
    <x v="331"/>
    <s v="M03"/>
    <s v="General Fund"/>
    <n v="3734928.72"/>
  </r>
  <r>
    <x v="1"/>
    <x v="0"/>
    <x v="122"/>
    <x v="122"/>
    <s v="M03"/>
    <s v="General Fund"/>
    <n v="2198667.06"/>
  </r>
  <r>
    <x v="1"/>
    <x v="7"/>
    <x v="15"/>
    <x v="15"/>
    <s v="M03"/>
    <s v="General Fund"/>
    <n v="667022.9"/>
  </r>
  <r>
    <x v="1"/>
    <x v="7"/>
    <x v="329"/>
    <x v="333"/>
    <s v="M03"/>
    <s v="General Fund"/>
    <n v="2491516.14"/>
  </r>
  <r>
    <x v="0"/>
    <x v="0"/>
    <x v="273"/>
    <x v="274"/>
    <s v="M03"/>
    <s v="General Fund"/>
    <n v="16740966.35"/>
  </r>
  <r>
    <x v="3"/>
    <x v="9"/>
    <x v="332"/>
    <x v="336"/>
    <s v="M03"/>
    <s v="General Fund"/>
    <n v="7389603.0700000003"/>
  </r>
  <r>
    <x v="3"/>
    <x v="2"/>
    <x v="428"/>
    <x v="431"/>
    <s v="M03"/>
    <s v="General Fund"/>
    <n v="20460970.309999999"/>
  </r>
  <r>
    <x v="3"/>
    <x v="2"/>
    <x v="283"/>
    <x v="285"/>
    <s v="M03"/>
    <s v="General Fund"/>
    <n v="23855226.73"/>
  </r>
  <r>
    <x v="1"/>
    <x v="0"/>
    <x v="154"/>
    <x v="153"/>
    <s v="M03"/>
    <s v="General Fund"/>
    <n v="31150695.890000001"/>
  </r>
  <r>
    <x v="2"/>
    <x v="6"/>
    <x v="226"/>
    <x v="224"/>
    <s v="MM3"/>
    <s v="Federal Grants Fund"/>
    <n v="777206.33"/>
  </r>
  <r>
    <x v="3"/>
    <x v="3"/>
    <x v="414"/>
    <x v="417"/>
    <s v="M04"/>
    <s v="General Fund"/>
    <n v="594376"/>
  </r>
  <r>
    <x v="4"/>
    <x v="0"/>
    <x v="126"/>
    <x v="126"/>
    <s v="M03"/>
    <s v="General Fund"/>
    <n v="791428.8"/>
  </r>
  <r>
    <x v="0"/>
    <x v="0"/>
    <x v="189"/>
    <x v="186"/>
    <s v="MM3"/>
    <s v="General Fund"/>
    <n v="336233.88"/>
  </r>
  <r>
    <x v="4"/>
    <x v="0"/>
    <x v="104"/>
    <x v="104"/>
    <s v="M04"/>
    <s v="General Fund"/>
    <n v="33136560.93"/>
  </r>
  <r>
    <x v="3"/>
    <x v="9"/>
    <x v="219"/>
    <x v="217"/>
    <s v="M03"/>
    <s v="General Fund"/>
    <n v="4936383.55"/>
  </r>
  <r>
    <x v="3"/>
    <x v="6"/>
    <x v="237"/>
    <x v="235"/>
    <s v="MM3"/>
    <s v="General Fund"/>
    <n v="3319491"/>
  </r>
  <r>
    <x v="1"/>
    <x v="6"/>
    <x v="233"/>
    <x v="230"/>
    <s v="MM3"/>
    <s v="Federal Grants Fund"/>
    <n v="5516886.8099999996"/>
  </r>
  <r>
    <x v="0"/>
    <x v="0"/>
    <x v="102"/>
    <x v="102"/>
    <s v="M03"/>
    <s v="General Fund"/>
    <n v="3799744.58"/>
  </r>
  <r>
    <x v="1"/>
    <x v="5"/>
    <x v="209"/>
    <x v="206"/>
    <s v="MM3"/>
    <s v="General Fund"/>
    <n v="15741506.98"/>
  </r>
  <r>
    <x v="1"/>
    <x v="0"/>
    <x v="315"/>
    <x v="318"/>
    <s v="M03"/>
    <s v="General Fund"/>
    <n v="85335.21"/>
  </r>
  <r>
    <x v="2"/>
    <x v="6"/>
    <x v="152"/>
    <x v="151"/>
    <s v="MM3"/>
    <s v="General Fund"/>
    <n v="1269778.3"/>
  </r>
  <r>
    <x v="0"/>
    <x v="7"/>
    <x v="433"/>
    <x v="434"/>
    <s v="M03"/>
    <s v="General Fund"/>
    <n v="2989826.52"/>
  </r>
  <r>
    <x v="1"/>
    <x v="2"/>
    <x v="283"/>
    <x v="285"/>
    <s v="M03"/>
    <s v="General Fund"/>
    <n v="19758264.079999998"/>
  </r>
  <r>
    <x v="0"/>
    <x v="3"/>
    <x v="377"/>
    <x v="7"/>
    <s v="M03"/>
    <s v="General Fund"/>
    <n v="352522.4"/>
  </r>
  <r>
    <x v="0"/>
    <x v="2"/>
    <x v="292"/>
    <x v="294"/>
    <s v="M03"/>
    <s v="Federal Grants Fund"/>
    <n v="1622883.04"/>
  </r>
  <r>
    <x v="0"/>
    <x v="3"/>
    <x v="113"/>
    <x v="113"/>
    <s v="M04"/>
    <s v="Federal Grants Fund"/>
    <n v="308564.83"/>
  </r>
  <r>
    <x v="2"/>
    <x v="6"/>
    <x v="237"/>
    <x v="235"/>
    <s v="MM3"/>
    <s v="General Fund"/>
    <n v="4404985"/>
  </r>
  <r>
    <x v="0"/>
    <x v="0"/>
    <x v="223"/>
    <x v="221"/>
    <s v="MM3"/>
    <s v="General Fund"/>
    <n v="3512698.01"/>
  </r>
  <r>
    <x v="1"/>
    <x v="7"/>
    <x v="125"/>
    <x v="125"/>
    <s v="M04"/>
    <s v="Federal Grants Fund"/>
    <n v="378627.23"/>
  </r>
  <r>
    <x v="1"/>
    <x v="6"/>
    <x v="345"/>
    <x v="350"/>
    <s v="M03"/>
    <s v="Federal Grants Fund"/>
    <n v="137777.5"/>
  </r>
  <r>
    <x v="0"/>
    <x v="7"/>
    <x v="125"/>
    <x v="125"/>
    <s v="M04"/>
    <s v="Federal Grants Fund"/>
    <n v="477177.25"/>
  </r>
  <r>
    <x v="1"/>
    <x v="0"/>
    <x v="93"/>
    <x v="93"/>
    <s v="M03"/>
    <s v="General Fund"/>
    <n v="2470764.4"/>
  </r>
  <r>
    <x v="0"/>
    <x v="0"/>
    <x v="223"/>
    <x v="221"/>
    <s v="M03"/>
    <s v="General Fund"/>
    <n v="5632701.9199999999"/>
  </r>
  <r>
    <x v="1"/>
    <x v="0"/>
    <x v="11"/>
    <x v="11"/>
    <s v="MM3"/>
    <s v="Intragovernmental Services Fund"/>
    <n v="200637.36"/>
  </r>
  <r>
    <x v="1"/>
    <x v="6"/>
    <x v="152"/>
    <x v="151"/>
    <s v="MM3"/>
    <s v="General Fund"/>
    <n v="1639091.99"/>
  </r>
  <r>
    <x v="2"/>
    <x v="3"/>
    <x v="64"/>
    <x v="64"/>
    <s v="M03"/>
    <s v="General Fund"/>
    <n v="3984704.49"/>
  </r>
  <r>
    <x v="1"/>
    <x v="7"/>
    <x v="173"/>
    <x v="104"/>
    <s v="M04"/>
    <s v="Federal Grants Fund"/>
    <n v="176857.32"/>
  </r>
  <r>
    <x v="1"/>
    <x v="6"/>
    <x v="83"/>
    <x v="83"/>
    <s v="MM3"/>
    <s v="General Fund"/>
    <n v="3744360.84"/>
  </r>
  <r>
    <x v="0"/>
    <x v="6"/>
    <x v="237"/>
    <x v="235"/>
    <s v="MM3"/>
    <s v="General Fund"/>
    <n v="5150267.4400000004"/>
  </r>
  <r>
    <x v="0"/>
    <x v="0"/>
    <x v="315"/>
    <x v="318"/>
    <s v="MM3"/>
    <s v="General Fund"/>
    <n v="34583.39"/>
  </r>
  <r>
    <x v="1"/>
    <x v="3"/>
    <x v="463"/>
    <x v="465"/>
    <s v="M03"/>
    <s v="General Fund"/>
    <n v="537090.15"/>
  </r>
  <r>
    <x v="2"/>
    <x v="6"/>
    <x v="22"/>
    <x v="22"/>
    <s v="MM3"/>
    <s v="General Fund"/>
    <n v="842951.12"/>
  </r>
  <r>
    <x v="4"/>
    <x v="5"/>
    <x v="390"/>
    <x v="394"/>
    <s v="MM3"/>
    <s v="General Fund"/>
    <n v="7027536.7199999997"/>
  </r>
  <r>
    <x v="0"/>
    <x v="5"/>
    <x v="30"/>
    <x v="30"/>
    <s v="M03"/>
    <s v="General Fund"/>
    <n v="1583194.47"/>
  </r>
  <r>
    <x v="1"/>
    <x v="1"/>
    <x v="381"/>
    <x v="52"/>
    <s v="M03"/>
    <s v="General Fund"/>
    <n v="317825.40000000002"/>
  </r>
  <r>
    <x v="2"/>
    <x v="7"/>
    <x v="23"/>
    <x v="23"/>
    <s v="M03"/>
    <s v="Expendable Trust Fund - External"/>
    <n v="20.02"/>
  </r>
  <r>
    <x v="1"/>
    <x v="6"/>
    <x v="22"/>
    <x v="22"/>
    <s v="MM3"/>
    <s v="Federal Grants Fund"/>
    <n v="152305.98000000001"/>
  </r>
  <r>
    <x v="4"/>
    <x v="0"/>
    <x v="161"/>
    <x v="159"/>
    <s v="M03"/>
    <s v="General Fund"/>
    <n v="269003.93"/>
  </r>
  <r>
    <x v="0"/>
    <x v="6"/>
    <x v="216"/>
    <x v="213"/>
    <s v="MM3"/>
    <s v="General Fund"/>
    <n v="2958291.08"/>
  </r>
  <r>
    <x v="1"/>
    <x v="5"/>
    <x v="138"/>
    <x v="137"/>
    <s v="MM3"/>
    <s v="General Fund"/>
    <n v="3587164.71"/>
  </r>
  <r>
    <x v="4"/>
    <x v="12"/>
    <x v="382"/>
    <x v="385"/>
    <s v="M03"/>
    <s v="General Fund"/>
    <n v="3378779"/>
  </r>
  <r>
    <x v="0"/>
    <x v="5"/>
    <x v="134"/>
    <x v="134"/>
    <s v="MM3"/>
    <s v="General Fund"/>
    <n v="12136089.92"/>
  </r>
  <r>
    <x v="1"/>
    <x v="0"/>
    <x v="445"/>
    <x v="447"/>
    <s v="M04"/>
    <s v="General Fund"/>
    <n v="16246.2"/>
  </r>
  <r>
    <x v="4"/>
    <x v="5"/>
    <x v="30"/>
    <x v="30"/>
    <s v="M04"/>
    <s v="General Fund"/>
    <n v="3615032.11"/>
  </r>
  <r>
    <x v="4"/>
    <x v="0"/>
    <x v="339"/>
    <x v="343"/>
    <s v="MM3"/>
    <s v="General Fund"/>
    <n v="744170.58"/>
  </r>
  <r>
    <x v="1"/>
    <x v="0"/>
    <x v="20"/>
    <x v="20"/>
    <s v="MM3"/>
    <s v="General Fund"/>
    <n v="974775.17"/>
  </r>
  <r>
    <x v="3"/>
    <x v="6"/>
    <x v="85"/>
    <x v="85"/>
    <s v="M04"/>
    <s v="Federal Grants Fund"/>
    <n v="105058.1"/>
  </r>
  <r>
    <x v="2"/>
    <x v="0"/>
    <x v="58"/>
    <x v="58"/>
    <s v="MM3"/>
    <s v="General Fund"/>
    <n v="54023.519999999997"/>
  </r>
  <r>
    <x v="0"/>
    <x v="1"/>
    <x v="101"/>
    <x v="101"/>
    <s v="M03"/>
    <s v="Federal Grants Fund"/>
    <n v="730273.2"/>
  </r>
  <r>
    <x v="3"/>
    <x v="5"/>
    <x v="361"/>
    <x v="367"/>
    <s v="MM3"/>
    <s v="General Fund"/>
    <n v="250000"/>
  </r>
  <r>
    <x v="3"/>
    <x v="6"/>
    <x v="22"/>
    <x v="22"/>
    <s v="MM3"/>
    <s v="Federal Grants Fund"/>
    <n v="1645479.55"/>
  </r>
  <r>
    <x v="2"/>
    <x v="7"/>
    <x v="198"/>
    <x v="195"/>
    <s v="M03"/>
    <s v="Federal Grants Fund"/>
    <n v="16755.75"/>
  </r>
  <r>
    <x v="3"/>
    <x v="6"/>
    <x v="355"/>
    <x v="361"/>
    <s v="M03"/>
    <s v="General Fund"/>
    <n v="550000"/>
  </r>
  <r>
    <x v="3"/>
    <x v="0"/>
    <x v="217"/>
    <x v="215"/>
    <s v="MM3"/>
    <s v="Expendable Trust Fund - External"/>
    <n v="-36.5"/>
  </r>
  <r>
    <x v="3"/>
    <x v="0"/>
    <x v="299"/>
    <x v="302"/>
    <s v="MM3"/>
    <s v="General Fund"/>
    <n v="22592.25"/>
  </r>
  <r>
    <x v="1"/>
    <x v="0"/>
    <x v="369"/>
    <x v="374"/>
    <s v="MM3"/>
    <s v="General Fund"/>
    <n v="180944.78"/>
  </r>
  <r>
    <x v="2"/>
    <x v="8"/>
    <x v="331"/>
    <x v="335"/>
    <s v="M03"/>
    <s v="Federal Grants Fund"/>
    <n v="131151.35999999999"/>
  </r>
  <r>
    <x v="2"/>
    <x v="0"/>
    <x v="10"/>
    <x v="10"/>
    <s v="M03"/>
    <s v="General Fund"/>
    <n v="1468083.92"/>
  </r>
  <r>
    <x v="1"/>
    <x v="5"/>
    <x v="130"/>
    <x v="233"/>
    <s v="MM3"/>
    <s v="Federal Grants Fund"/>
    <n v="1037442.75"/>
  </r>
  <r>
    <x v="4"/>
    <x v="6"/>
    <x v="50"/>
    <x v="50"/>
    <s v="M04"/>
    <s v="General Fund"/>
    <n v="1055000"/>
  </r>
  <r>
    <x v="4"/>
    <x v="0"/>
    <x v="49"/>
    <x v="49"/>
    <s v="MM3"/>
    <s v="General Fund"/>
    <n v="402318.57"/>
  </r>
  <r>
    <x v="3"/>
    <x v="6"/>
    <x v="204"/>
    <x v="201"/>
    <s v="M04"/>
    <s v="General Fund"/>
    <n v="52921.95"/>
  </r>
  <r>
    <x v="4"/>
    <x v="6"/>
    <x v="78"/>
    <x v="78"/>
    <s v="M04"/>
    <s v="General Fund"/>
    <n v="722527.46"/>
  </r>
  <r>
    <x v="1"/>
    <x v="6"/>
    <x v="152"/>
    <x v="151"/>
    <s v="MM3"/>
    <s v="Federal Grants Fund"/>
    <n v="55841.97"/>
  </r>
  <r>
    <x v="2"/>
    <x v="1"/>
    <x v="455"/>
    <x v="457"/>
    <s v="M04"/>
    <s v="General Fund"/>
    <n v="159422.25"/>
  </r>
  <r>
    <x v="5"/>
    <x v="0"/>
    <x v="177"/>
    <x v="174"/>
    <s v="M03"/>
    <s v="General Fund"/>
    <n v="24146570.699999999"/>
  </r>
  <r>
    <x v="5"/>
    <x v="7"/>
    <x v="125"/>
    <x v="125"/>
    <s v="M04"/>
    <s v="Federal Grants Fund"/>
    <n v="429719.69"/>
  </r>
  <r>
    <x v="5"/>
    <x v="6"/>
    <x v="218"/>
    <x v="216"/>
    <s v="MM3"/>
    <s v="General Fund"/>
    <n v="13793168.58"/>
  </r>
  <r>
    <x v="5"/>
    <x v="5"/>
    <x v="94"/>
    <x v="94"/>
    <s v="M04"/>
    <s v="General Fund"/>
    <n v="808773.42"/>
  </r>
  <r>
    <x v="5"/>
    <x v="0"/>
    <x v="161"/>
    <x v="159"/>
    <s v="M03"/>
    <s v="General Fund"/>
    <n v="276735.15000000002"/>
  </r>
  <r>
    <x v="5"/>
    <x v="6"/>
    <x v="137"/>
    <x v="136"/>
    <s v="M03"/>
    <s v="General Fund"/>
    <n v="58822170.950000003"/>
  </r>
  <r>
    <x v="5"/>
    <x v="0"/>
    <x v="147"/>
    <x v="256"/>
    <s v="MM3"/>
    <s v="General Fund"/>
    <n v="1014087.54"/>
  </r>
  <r>
    <x v="5"/>
    <x v="6"/>
    <x v="152"/>
    <x v="151"/>
    <s v="M03"/>
    <s v="Substance Abuse Services Fund"/>
    <n v="774249.49"/>
  </r>
  <r>
    <x v="5"/>
    <x v="0"/>
    <x v="169"/>
    <x v="167"/>
    <s v="M03"/>
    <s v="General Fund"/>
    <n v="131010.39"/>
  </r>
  <r>
    <x v="5"/>
    <x v="2"/>
    <x v="420"/>
    <x v="423"/>
    <s v="M03"/>
    <s v="Federal Grants Fund"/>
    <n v="472771.57"/>
  </r>
  <r>
    <x v="0"/>
    <x v="6"/>
    <x v="477"/>
    <x v="481"/>
    <s v="M04"/>
    <s v="General Fund"/>
    <n v="408250"/>
  </r>
  <r>
    <x v="2"/>
    <x v="6"/>
    <x v="166"/>
    <x v="164"/>
    <s v="M04"/>
    <s v="General Fund"/>
    <n v="76020.14"/>
  </r>
  <r>
    <x v="5"/>
    <x v="9"/>
    <x v="332"/>
    <x v="336"/>
    <s v="M03"/>
    <s v="General Fund"/>
    <n v="7048581.7400000002"/>
  </r>
  <r>
    <x v="5"/>
    <x v="0"/>
    <x v="339"/>
    <x v="343"/>
    <s v="M03"/>
    <s v="General Fund"/>
    <n v="1918094.76"/>
  </r>
  <r>
    <x v="1"/>
    <x v="0"/>
    <x v="18"/>
    <x v="18"/>
    <s v="MM3"/>
    <s v="General Fund"/>
    <n v="163864.04"/>
  </r>
  <r>
    <x v="0"/>
    <x v="3"/>
    <x v="184"/>
    <x v="181"/>
    <s v="M03"/>
    <s v="General Fund"/>
    <n v="551050.59"/>
  </r>
  <r>
    <x v="1"/>
    <x v="6"/>
    <x v="63"/>
    <x v="63"/>
    <s v="M04"/>
    <s v="General Fund"/>
    <n v="1450634.41"/>
  </r>
  <r>
    <x v="2"/>
    <x v="1"/>
    <x v="291"/>
    <x v="293"/>
    <s v="M03"/>
    <s v="Federal Grants Fund"/>
    <n v="84210"/>
  </r>
  <r>
    <x v="2"/>
    <x v="6"/>
    <x v="466"/>
    <x v="469"/>
    <s v="M04"/>
    <s v="Federal Grants Fund"/>
    <n v="54295.32"/>
  </r>
  <r>
    <x v="2"/>
    <x v="10"/>
    <x v="232"/>
    <x v="229"/>
    <s v="M04"/>
    <s v="General Fund"/>
    <n v="352457.95"/>
  </r>
  <r>
    <x v="0"/>
    <x v="0"/>
    <x v="458"/>
    <x v="460"/>
    <s v="M03"/>
    <s v="General Fund"/>
    <n v="386.4"/>
  </r>
  <r>
    <x v="4"/>
    <x v="6"/>
    <x v="99"/>
    <x v="99"/>
    <s v="M04"/>
    <s v="Federal Grants Fund"/>
    <n v="3005444.82"/>
  </r>
  <r>
    <x v="4"/>
    <x v="0"/>
    <x v="273"/>
    <x v="274"/>
    <s v="MM3"/>
    <s v="General Fund"/>
    <n v="397043.49"/>
  </r>
  <r>
    <x v="4"/>
    <x v="5"/>
    <x v="12"/>
    <x v="12"/>
    <s v="MM3"/>
    <s v="General Fund"/>
    <n v="15933738.640000001"/>
  </r>
  <r>
    <x v="5"/>
    <x v="0"/>
    <x v="11"/>
    <x v="11"/>
    <s v="MM3"/>
    <s v="General Fund"/>
    <n v="254873.14"/>
  </r>
  <r>
    <x v="5"/>
    <x v="6"/>
    <x v="281"/>
    <x v="283"/>
    <s v="MM3"/>
    <s v="Federal Grants Fund"/>
    <n v="1046407.09"/>
  </r>
  <r>
    <x v="5"/>
    <x v="7"/>
    <x v="363"/>
    <x v="20"/>
    <s v="M03"/>
    <s v="Trust Fund For the Head Injury Treatment Service Fund"/>
    <n v="29551.06"/>
  </r>
  <r>
    <x v="5"/>
    <x v="5"/>
    <x v="75"/>
    <x v="75"/>
    <s v="M04"/>
    <s v="General Fund"/>
    <n v="1309721.21"/>
  </r>
  <r>
    <x v="0"/>
    <x v="6"/>
    <x v="176"/>
    <x v="173"/>
    <s v="M04"/>
    <s v="General Fund"/>
    <n v="191879.81"/>
  </r>
  <r>
    <x v="2"/>
    <x v="9"/>
    <x v="163"/>
    <x v="161"/>
    <s v="M03"/>
    <s v="General Fund"/>
    <n v="974527.32"/>
  </r>
  <r>
    <x v="3"/>
    <x v="6"/>
    <x v="236"/>
    <x v="234"/>
    <s v="M04"/>
    <s v="Federal Grants Fund"/>
    <n v="128269.53"/>
  </r>
  <r>
    <x v="3"/>
    <x v="5"/>
    <x v="242"/>
    <x v="240"/>
    <s v="M04"/>
    <s v="General Fund"/>
    <n v="321376.58"/>
  </r>
  <r>
    <x v="5"/>
    <x v="2"/>
    <x v="230"/>
    <x v="228"/>
    <s v="M03"/>
    <s v="General Fund"/>
    <n v="1385705.46"/>
  </r>
  <r>
    <x v="5"/>
    <x v="5"/>
    <x v="195"/>
    <x v="192"/>
    <s v="M04"/>
    <s v="General Fund"/>
    <n v="5532350.1100000003"/>
  </r>
  <r>
    <x v="3"/>
    <x v="0"/>
    <x v="79"/>
    <x v="79"/>
    <s v="M03"/>
    <s v="General Fund"/>
    <n v="42476.19"/>
  </r>
  <r>
    <x v="3"/>
    <x v="3"/>
    <x v="64"/>
    <x v="64"/>
    <s v="M04"/>
    <s v="General Fund"/>
    <n v="337000"/>
  </r>
  <r>
    <x v="3"/>
    <x v="6"/>
    <x v="288"/>
    <x v="290"/>
    <s v="M04"/>
    <s v="Federal Grants Fund"/>
    <n v="97000"/>
  </r>
  <r>
    <x v="0"/>
    <x v="0"/>
    <x v="186"/>
    <x v="183"/>
    <s v="M04"/>
    <s v="General Fund"/>
    <n v="96538.91"/>
  </r>
  <r>
    <x v="4"/>
    <x v="5"/>
    <x v="353"/>
    <x v="359"/>
    <s v="M04"/>
    <s v="Expendable Trust Fund - External"/>
    <n v="2090.83"/>
  </r>
  <r>
    <x v="1"/>
    <x v="5"/>
    <x v="59"/>
    <x v="59"/>
    <s v="M04"/>
    <s v="General Fund"/>
    <n v="71815"/>
  </r>
  <r>
    <x v="1"/>
    <x v="6"/>
    <x v="81"/>
    <x v="81"/>
    <s v="MM3"/>
    <s v="General Fund"/>
    <n v="443904"/>
  </r>
  <r>
    <x v="0"/>
    <x v="12"/>
    <x v="317"/>
    <x v="320"/>
    <s v="M03"/>
    <s v="General Fund"/>
    <n v="250000"/>
  </r>
  <r>
    <x v="2"/>
    <x v="0"/>
    <x v="25"/>
    <x v="25"/>
    <s v="MM3"/>
    <s v="Expendable Trust Fund - External"/>
    <n v="8715.7199999999993"/>
  </r>
  <r>
    <x v="2"/>
    <x v="0"/>
    <x v="339"/>
    <x v="343"/>
    <s v="MM3"/>
    <s v="General Fund"/>
    <n v="453548.4"/>
  </r>
  <r>
    <x v="2"/>
    <x v="6"/>
    <x v="62"/>
    <x v="62"/>
    <s v="MM3"/>
    <s v="Substance Abuse Services Fund"/>
    <n v="12327.41"/>
  </r>
  <r>
    <x v="0"/>
    <x v="1"/>
    <x v="471"/>
    <x v="474"/>
    <s v="MM3"/>
    <s v="Federal Grants Fund"/>
    <n v="1803.65"/>
  </r>
  <r>
    <x v="4"/>
    <x v="0"/>
    <x v="354"/>
    <x v="360"/>
    <s v="M04"/>
    <s v="General Fund"/>
    <n v="362325"/>
  </r>
  <r>
    <x v="4"/>
    <x v="6"/>
    <x v="38"/>
    <x v="38"/>
    <s v="M03"/>
    <s v="General Fund"/>
    <n v="2262144.0499999998"/>
  </r>
  <r>
    <x v="4"/>
    <x v="0"/>
    <x v="97"/>
    <x v="97"/>
    <s v="M03"/>
    <s v="Expendable Trust Fund - External"/>
    <n v="0"/>
  </r>
  <r>
    <x v="4"/>
    <x v="5"/>
    <x v="295"/>
    <x v="297"/>
    <s v="M03"/>
    <s v="General Fund"/>
    <n v="943785.07"/>
  </r>
  <r>
    <x v="4"/>
    <x v="6"/>
    <x v="180"/>
    <x v="177"/>
    <s v="M04"/>
    <s v="Federal Grants Fund"/>
    <n v="42264.99"/>
  </r>
  <r>
    <x v="5"/>
    <x v="0"/>
    <x v="73"/>
    <x v="73"/>
    <s v="M03"/>
    <s v="General Fund"/>
    <n v="75879.09"/>
  </r>
  <r>
    <x v="5"/>
    <x v="1"/>
    <x v="395"/>
    <x v="399"/>
    <s v="M04"/>
    <s v="Federal Grants Fund"/>
    <n v="156764"/>
  </r>
  <r>
    <x v="5"/>
    <x v="5"/>
    <x v="92"/>
    <x v="92"/>
    <s v="M03"/>
    <s v="General Fund"/>
    <n v="381863.67"/>
  </r>
  <r>
    <x v="5"/>
    <x v="6"/>
    <x v="413"/>
    <x v="416"/>
    <s v="M04"/>
    <s v="General Fund"/>
    <n v="774000"/>
  </r>
  <r>
    <x v="5"/>
    <x v="6"/>
    <x v="99"/>
    <x v="99"/>
    <s v="M04"/>
    <s v="Substance Abuse Services Fund"/>
    <n v="300000"/>
  </r>
  <r>
    <x v="1"/>
    <x v="6"/>
    <x v="174"/>
    <x v="171"/>
    <s v="M04"/>
    <s v="Federal Grants Fund"/>
    <n v="191927.53"/>
  </r>
  <r>
    <x v="5"/>
    <x v="7"/>
    <x v="375"/>
    <x v="380"/>
    <s v="M03"/>
    <s v="General Fund"/>
    <n v="624022.41"/>
  </r>
  <r>
    <x v="5"/>
    <x v="6"/>
    <x v="357"/>
    <x v="363"/>
    <s v="MM3"/>
    <s v="Federal Grants Fund"/>
    <n v="88265.42"/>
  </r>
  <r>
    <x v="5"/>
    <x v="6"/>
    <x v="432"/>
    <x v="3"/>
    <s v="MM3"/>
    <s v="Federal Grants Fund"/>
    <n v="245976.14"/>
  </r>
  <r>
    <x v="5"/>
    <x v="0"/>
    <x v="177"/>
    <x v="174"/>
    <s v="M03"/>
    <s v="Expendable Trust Fund - External"/>
    <n v="-854.4"/>
  </r>
  <r>
    <x v="5"/>
    <x v="6"/>
    <x v="423"/>
    <x v="426"/>
    <s v="M04"/>
    <s v="Federal Grants Fund"/>
    <n v="212338.99"/>
  </r>
  <r>
    <x v="5"/>
    <x v="5"/>
    <x v="318"/>
    <x v="321"/>
    <s v="M03"/>
    <s v="General Fund"/>
    <n v="1116069"/>
  </r>
  <r>
    <x v="4"/>
    <x v="6"/>
    <x v="38"/>
    <x v="38"/>
    <s v="M03"/>
    <s v="Federal Grants Fund"/>
    <n v="595267.59"/>
  </r>
  <r>
    <x v="1"/>
    <x v="0"/>
    <x v="104"/>
    <x v="104"/>
    <s v="M03"/>
    <s v="General Fund"/>
    <n v="53129.83"/>
  </r>
  <r>
    <x v="1"/>
    <x v="6"/>
    <x v="62"/>
    <x v="62"/>
    <s v="MM3"/>
    <s v="Substance Abuse Services Fund"/>
    <n v="0"/>
  </r>
  <r>
    <x v="0"/>
    <x v="6"/>
    <x v="324"/>
    <x v="327"/>
    <s v="M03"/>
    <s v="Federal Grants Fund"/>
    <n v="0"/>
  </r>
  <r>
    <x v="1"/>
    <x v="6"/>
    <x v="118"/>
    <x v="118"/>
    <s v="M04"/>
    <s v="Federal Grants Fund"/>
    <n v="326417.15999999997"/>
  </r>
  <r>
    <x v="3"/>
    <x v="6"/>
    <x v="249"/>
    <x v="247"/>
    <s v="MM3"/>
    <s v="Federal Grants Fund"/>
    <n v="192930.91"/>
  </r>
  <r>
    <x v="2"/>
    <x v="6"/>
    <x v="166"/>
    <x v="164"/>
    <s v="MM3"/>
    <s v="Federal Grants Fund"/>
    <n v="226172.67"/>
  </r>
  <r>
    <x v="3"/>
    <x v="12"/>
    <x v="319"/>
    <x v="322"/>
    <s v="M03"/>
    <s v="General Fund"/>
    <n v="150170.9"/>
  </r>
  <r>
    <x v="0"/>
    <x v="7"/>
    <x v="55"/>
    <x v="55"/>
    <s v="M03"/>
    <s v="General Fund"/>
    <n v="5760"/>
  </r>
  <r>
    <x v="1"/>
    <x v="1"/>
    <x v="266"/>
    <x v="300"/>
    <s v="M04"/>
    <s v="General Fund"/>
    <n v="340999.53"/>
  </r>
  <r>
    <x v="0"/>
    <x v="3"/>
    <x v="112"/>
    <x v="112"/>
    <s v="M03"/>
    <s v="Federal Grants Fund"/>
    <n v="95675.42"/>
  </r>
  <r>
    <x v="5"/>
    <x v="5"/>
    <x v="133"/>
    <x v="133"/>
    <s v="MM3"/>
    <s v="General Fund"/>
    <n v="561453.92000000004"/>
  </r>
  <r>
    <x v="5"/>
    <x v="6"/>
    <x v="35"/>
    <x v="35"/>
    <s v="MM3"/>
    <s v="General Fund"/>
    <n v="306553.12"/>
  </r>
  <r>
    <x v="1"/>
    <x v="3"/>
    <x v="262"/>
    <x v="262"/>
    <s v="M03"/>
    <s v="General Fund"/>
    <n v="104182.7"/>
  </r>
  <r>
    <x v="0"/>
    <x v="0"/>
    <x v="193"/>
    <x v="190"/>
    <s v="M03"/>
    <s v="Expendable Trust Fund - External"/>
    <n v="0"/>
  </r>
  <r>
    <x v="2"/>
    <x v="2"/>
    <x v="108"/>
    <x v="108"/>
    <s v="M03"/>
    <s v="General Fund"/>
    <n v="186000"/>
  </r>
  <r>
    <x v="2"/>
    <x v="0"/>
    <x v="122"/>
    <x v="346"/>
    <s v="M03"/>
    <s v="Expendable Trust Fund - External"/>
    <n v="2396.12"/>
  </r>
  <r>
    <x v="3"/>
    <x v="7"/>
    <x v="312"/>
    <x v="315"/>
    <s v="M04"/>
    <s v="Trust Fund For the Head Injury Treatment Service Fund"/>
    <n v="966233.63"/>
  </r>
  <r>
    <x v="1"/>
    <x v="7"/>
    <x v="198"/>
    <x v="195"/>
    <s v="M03"/>
    <s v="Federal Grants Fund"/>
    <n v="30937.87"/>
  </r>
  <r>
    <x v="0"/>
    <x v="6"/>
    <x v="325"/>
    <x v="328"/>
    <s v="M04"/>
    <s v="General Fund"/>
    <n v="491677.48"/>
  </r>
  <r>
    <x v="2"/>
    <x v="1"/>
    <x v="436"/>
    <x v="437"/>
    <s v="M03"/>
    <s v="Federal Grants Fund"/>
    <n v="114219"/>
  </r>
  <r>
    <x v="0"/>
    <x v="6"/>
    <x v="287"/>
    <x v="289"/>
    <s v="M04"/>
    <s v="General Fund"/>
    <n v="495574"/>
  </r>
  <r>
    <x v="4"/>
    <x v="7"/>
    <x v="140"/>
    <x v="139"/>
    <s v="M03"/>
    <s v="Expendable Trust Fund - External"/>
    <n v="65864.179999999993"/>
  </r>
  <r>
    <x v="4"/>
    <x v="7"/>
    <x v="326"/>
    <x v="330"/>
    <s v="M03"/>
    <s v="General Fund"/>
    <n v="91951.02"/>
  </r>
  <r>
    <x v="5"/>
    <x v="0"/>
    <x v="93"/>
    <x v="93"/>
    <s v="M03"/>
    <s v="Expendable Trust Fund - External"/>
    <n v="0"/>
  </r>
  <r>
    <x v="5"/>
    <x v="6"/>
    <x v="196"/>
    <x v="193"/>
    <s v="MM3"/>
    <s v="General Fund"/>
    <n v="948507.64"/>
  </r>
  <r>
    <x v="3"/>
    <x v="6"/>
    <x v="38"/>
    <x v="38"/>
    <s v="M03"/>
    <s v="Federal Grants Fund"/>
    <n v="51238.080000000002"/>
  </r>
  <r>
    <x v="4"/>
    <x v="6"/>
    <x v="50"/>
    <x v="50"/>
    <s v="MM3"/>
    <s v="General Fund"/>
    <n v="68636.36"/>
  </r>
  <r>
    <x v="5"/>
    <x v="6"/>
    <x v="355"/>
    <x v="361"/>
    <s v="M03"/>
    <s v="Federal Grants Fund"/>
    <n v="222850"/>
  </r>
  <r>
    <x v="4"/>
    <x v="6"/>
    <x v="357"/>
    <x v="363"/>
    <s v="MM3"/>
    <s v="Substance Abuse Services Fund"/>
    <n v="330559.43"/>
  </r>
  <r>
    <x v="4"/>
    <x v="6"/>
    <x v="249"/>
    <x v="247"/>
    <s v="M04"/>
    <s v="Federal Grants Fund"/>
    <n v="11560.08"/>
  </r>
  <r>
    <x v="5"/>
    <x v="0"/>
    <x v="103"/>
    <x v="103"/>
    <s v="MM3"/>
    <s v="General Fund"/>
    <n v="1600"/>
  </r>
  <r>
    <x v="4"/>
    <x v="6"/>
    <x v="450"/>
    <x v="452"/>
    <s v="M03"/>
    <s v="Federal Grants Fund"/>
    <n v="112124.18"/>
  </r>
  <r>
    <x v="4"/>
    <x v="5"/>
    <x v="239"/>
    <x v="237"/>
    <s v="M03"/>
    <s v="Federal Grants Fund"/>
    <n v="790982.22"/>
  </r>
  <r>
    <x v="2"/>
    <x v="0"/>
    <x v="143"/>
    <x v="142"/>
    <s v="M03"/>
    <s v="General Fund"/>
    <n v="32436.1"/>
  </r>
  <r>
    <x v="2"/>
    <x v="6"/>
    <x v="437"/>
    <x v="438"/>
    <s v="MM3"/>
    <s v="Federal Grants Fund"/>
    <n v="0"/>
  </r>
  <r>
    <x v="0"/>
    <x v="6"/>
    <x v="256"/>
    <x v="255"/>
    <s v="M04"/>
    <s v="General Fund"/>
    <n v="50000"/>
  </r>
  <r>
    <x v="5"/>
    <x v="6"/>
    <x v="476"/>
    <x v="480"/>
    <s v="M04"/>
    <s v="Substance Abuse Services Fund"/>
    <n v="272874.38"/>
  </r>
  <r>
    <x v="3"/>
    <x v="5"/>
    <x v="351"/>
    <x v="356"/>
    <s v="M04"/>
    <s v="General Fund"/>
    <n v="29862"/>
  </r>
  <r>
    <x v="3"/>
    <x v="6"/>
    <x v="335"/>
    <x v="339"/>
    <s v="M03"/>
    <s v="Federal Grants Fund"/>
    <n v="99884.41"/>
  </r>
  <r>
    <x v="3"/>
    <x v="7"/>
    <x v="198"/>
    <x v="195"/>
    <s v="M03"/>
    <s v="General Fund"/>
    <n v="5547.25"/>
  </r>
  <r>
    <x v="3"/>
    <x v="0"/>
    <x v="215"/>
    <x v="212"/>
    <s v="M03"/>
    <s v="Expendable Trust Fund - External"/>
    <n v="0"/>
  </r>
  <r>
    <x v="5"/>
    <x v="6"/>
    <x v="19"/>
    <x v="19"/>
    <s v="M04"/>
    <s v="Federal Grants Fund"/>
    <n v="10000"/>
  </r>
  <r>
    <x v="3"/>
    <x v="6"/>
    <x v="144"/>
    <x v="143"/>
    <s v="M04"/>
    <s v="General Fund"/>
    <n v="16598.009999999998"/>
  </r>
  <r>
    <x v="5"/>
    <x v="7"/>
    <x v="326"/>
    <x v="330"/>
    <s v="M04"/>
    <s v="Trust Fund For the Head Injury Treatment Service Fund"/>
    <n v="-11872.35"/>
  </r>
  <r>
    <x v="2"/>
    <x v="7"/>
    <x v="238"/>
    <x v="236"/>
    <s v="M03"/>
    <s v="Expendable Trust Fund - External"/>
    <n v="495623.03"/>
  </r>
  <r>
    <x v="4"/>
    <x v="1"/>
    <x v="370"/>
    <x v="375"/>
    <s v="M03"/>
    <s v="Federal Grants Fund"/>
    <n v="0"/>
  </r>
  <r>
    <x v="1"/>
    <x v="6"/>
    <x v="434"/>
    <x v="435"/>
    <s v="M04"/>
    <s v="Federal Grants Fund"/>
    <n v="25000"/>
  </r>
  <r>
    <x v="4"/>
    <x v="1"/>
    <x v="250"/>
    <x v="248"/>
    <s v="MM3"/>
    <s v="Expendable Trust Fund - External"/>
    <n v="6033.94"/>
  </r>
  <r>
    <x v="2"/>
    <x v="0"/>
    <x v="104"/>
    <x v="104"/>
    <s v="M04"/>
    <s v="Expendable Trust Fund - External"/>
    <n v="0"/>
  </r>
  <r>
    <x v="1"/>
    <x v="0"/>
    <x v="178"/>
    <x v="175"/>
    <s v="MM3"/>
    <s v="Expendable Trust Fund - External"/>
    <n v="0"/>
  </r>
  <r>
    <x v="0"/>
    <x v="0"/>
    <x v="10"/>
    <x v="10"/>
    <s v="MM3"/>
    <s v="Expendable Trust Fund - External"/>
    <n v="0"/>
  </r>
  <r>
    <x v="0"/>
    <x v="7"/>
    <x v="127"/>
    <x v="127"/>
    <s v="M03"/>
    <s v="Expendable Trust Fund - External"/>
    <n v="0"/>
  </r>
  <r>
    <x v="2"/>
    <x v="5"/>
    <x v="195"/>
    <x v="192"/>
    <s v="MM3"/>
    <s v="Expendable Trust Fund - External"/>
    <n v="47796.88"/>
  </r>
  <r>
    <x v="3"/>
    <x v="0"/>
    <x v="126"/>
    <x v="126"/>
    <s v="M03"/>
    <s v="Expendable Trust Fund - External"/>
    <n v="0"/>
  </r>
  <r>
    <x v="5"/>
    <x v="6"/>
    <x v="350"/>
    <x v="355"/>
    <s v="M04"/>
    <s v="Federal Grants Fund"/>
    <n v="32276.61"/>
  </r>
  <r>
    <x v="3"/>
    <x v="0"/>
    <x v="177"/>
    <x v="174"/>
    <s v="MM3"/>
    <s v="Expendable Trust Fund - External"/>
    <n v="0"/>
  </r>
  <r>
    <x v="1"/>
    <x v="5"/>
    <x v="76"/>
    <x v="76"/>
    <s v="M03"/>
    <s v="Federal Grants Fund"/>
    <n v="0"/>
  </r>
  <r>
    <x v="2"/>
    <x v="10"/>
    <x v="495"/>
    <x v="499"/>
    <s v="M03"/>
    <s v="General Fund"/>
    <n v="137199.54"/>
  </r>
  <r>
    <x v="2"/>
    <x v="0"/>
    <x v="186"/>
    <x v="183"/>
    <s v="MM3"/>
    <s v="Expendable Trust Fund - External"/>
    <n v="0"/>
  </r>
  <r>
    <x v="1"/>
    <x v="0"/>
    <x v="66"/>
    <x v="66"/>
    <s v="M03"/>
    <s v="General Fund"/>
    <n v="2000"/>
  </r>
  <r>
    <x v="5"/>
    <x v="0"/>
    <x v="260"/>
    <x v="260"/>
    <s v="MM3"/>
    <s v="General Fund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rowHeaderCaption="Department &amp; Activity_Name" colHeaderCaption="Activity_Codes">
  <location ref="A4:G14" firstHeaderRow="1" firstDataRow="2" firstDataCol="1" rowPageCount="1" colPageCount="1"/>
  <pivotFields count="7">
    <pivotField axis="axisPage" showAll="0">
      <items count="7">
        <item x="2"/>
        <item x="0"/>
        <item x="1"/>
        <item x="4"/>
        <item x="5"/>
        <item x="3"/>
        <item t="default"/>
      </items>
    </pivotField>
    <pivotField axis="axisRow" showAll="0">
      <items count="21">
        <item x="17"/>
        <item x="14"/>
        <item x="5"/>
        <item x="0"/>
        <item x="16"/>
        <item x="6"/>
        <item x="3"/>
        <item x="9"/>
        <item x="13"/>
        <item x="11"/>
        <item x="2"/>
        <item x="1"/>
        <item x="15"/>
        <item x="19"/>
        <item x="7"/>
        <item x="18"/>
        <item x="10"/>
        <item x="8"/>
        <item x="4"/>
        <item x="12"/>
        <item t="default"/>
      </items>
    </pivotField>
    <pivotField axis="axisCol" multipleItemSelectionAllowed="1" showAll="0">
      <items count="497">
        <item h="1" x="394"/>
        <item h="1" x="310"/>
        <item h="1" x="430"/>
        <item h="1" x="462"/>
        <item h="1" x="431"/>
        <item h="1" x="492"/>
        <item h="1" x="4"/>
        <item h="1" x="254"/>
        <item h="1" x="480"/>
        <item h="1" x="380"/>
        <item h="1" x="449"/>
        <item h="1" x="346"/>
        <item h="1" x="156"/>
        <item h="1" x="406"/>
        <item h="1" x="17"/>
        <item h="1" x="45"/>
        <item h="1" x="391"/>
        <item h="1" x="243"/>
        <item h="1" x="331"/>
        <item h="1" x="342"/>
        <item h="1" x="399"/>
        <item h="1" x="484"/>
        <item h="1" x="14"/>
        <item h="1" x="471"/>
        <item h="1" x="370"/>
        <item h="1" x="157"/>
        <item h="1" x="1"/>
        <item h="1" x="392"/>
        <item h="1" x="235"/>
        <item h="1" x="228"/>
        <item h="1" x="381"/>
        <item h="1" x="206"/>
        <item h="1" x="90"/>
        <item h="1" x="436"/>
        <item h="1" x="286"/>
        <item h="1" x="231"/>
        <item h="1" x="119"/>
        <item h="1" x="372"/>
        <item h="1" x="172"/>
        <item h="1" x="213"/>
        <item h="1" x="136"/>
        <item h="1" x="101"/>
        <item h="1" x="455"/>
        <item h="1" x="291"/>
        <item h="1" x="107"/>
        <item h="1" x="363"/>
        <item h="1" x="326"/>
        <item h="1" x="375"/>
        <item x="294"/>
        <item h="1" x="491"/>
        <item h="1" x="465"/>
        <item h="1" x="51"/>
        <item h="1" x="23"/>
        <item h="1" x="329"/>
        <item h="1" x="198"/>
        <item h="1" x="271"/>
        <item h="1" x="145"/>
        <item h="1" x="127"/>
        <item h="1" x="343"/>
        <item h="1" x="15"/>
        <item h="1" x="344"/>
        <item h="1" x="323"/>
        <item h="1" x="208"/>
        <item h="1" x="47"/>
        <item h="1" x="238"/>
        <item h="1" x="173"/>
        <item h="1" x="100"/>
        <item h="1" x="296"/>
        <item h="1" x="151"/>
        <item h="1" x="454"/>
        <item h="1" x="16"/>
        <item h="1" x="312"/>
        <item h="1" x="55"/>
        <item h="1" x="42"/>
        <item h="1" x="120"/>
        <item h="1" x="125"/>
        <item h="1" x="478"/>
        <item h="1" x="268"/>
        <item h="1" x="446"/>
        <item h="1" x="40"/>
        <item h="1" x="379"/>
        <item h="1" x="348"/>
        <item h="1" x="433"/>
        <item h="1" x="422"/>
        <item h="1" x="140"/>
        <item h="1" x="251"/>
        <item h="1" x="412"/>
        <item h="1" x="135"/>
        <item h="1" x="284"/>
        <item h="1" x="395"/>
        <item h="1" x="54"/>
        <item h="1" x="266"/>
        <item h="1" x="259"/>
        <item h="1" x="33"/>
        <item h="1" x="250"/>
        <item x="275"/>
        <item h="1" x="410"/>
        <item h="1" x="222"/>
        <item h="1" x="219"/>
        <item h="1" x="72"/>
        <item h="1" x="46"/>
        <item h="1" x="388"/>
        <item h="1" x="36"/>
        <item h="1" x="241"/>
        <item h="1" x="200"/>
        <item h="1" x="469"/>
        <item h="1" x="293"/>
        <item h="1" x="407"/>
        <item h="1" x="444"/>
        <item h="1" x="332"/>
        <item h="1" x="155"/>
        <item h="1" x="163"/>
        <item h="1" x="24"/>
        <item h="1" x="303"/>
        <item h="1" x="248"/>
        <item h="1" x="333"/>
        <item h="1" x="439"/>
        <item h="1" x="376"/>
        <item h="1" x="383"/>
        <item h="1" x="487"/>
        <item h="1" x="317"/>
        <item h="1" x="98"/>
        <item h="1" x="472"/>
        <item h="1" x="382"/>
        <item h="1" x="129"/>
        <item h="1" x="495"/>
        <item h="1" x="162"/>
        <item h="1" x="319"/>
        <item h="1" x="68"/>
        <item h="1" x="385"/>
        <item h="1" x="232"/>
        <item h="1" x="452"/>
        <item h="1" x="483"/>
        <item h="1" x="124"/>
        <item h="1" x="393"/>
        <item h="1" x="160"/>
        <item h="1" x="60"/>
        <item x="30"/>
        <item h="1" x="75"/>
        <item h="1" x="59"/>
        <item h="1" x="195"/>
        <item h="1" x="330"/>
        <item h="1" x="242"/>
        <item h="1" x="318"/>
        <item h="1" x="158"/>
        <item x="134"/>
        <item h="1" x="67"/>
        <item h="1" x="133"/>
        <item h="1" x="138"/>
        <item h="1" x="239"/>
        <item h="1" x="295"/>
        <item h="1" x="290"/>
        <item h="1" x="92"/>
        <item h="1" x="464"/>
        <item x="188"/>
        <item x="359"/>
        <item h="1" x="488"/>
        <item h="1" x="257"/>
        <item h="1" x="361"/>
        <item h="1" x="5"/>
        <item h="1" x="94"/>
        <item h="1" x="74"/>
        <item h="1" x="270"/>
        <item h="1" x="424"/>
        <item h="1" x="349"/>
        <item h="1" x="76"/>
        <item h="1" x="130"/>
        <item h="1" x="131"/>
        <item h="1" x="351"/>
        <item h="1" x="214"/>
        <item h="1" x="247"/>
        <item h="1" x="209"/>
        <item h="1" x="12"/>
        <item h="1" x="456"/>
        <item h="1" x="387"/>
        <item h="1" x="447"/>
        <item h="1" x="390"/>
        <item h="1" x="353"/>
        <item h="1" x="297"/>
        <item h="1" x="267"/>
        <item h="1" x="441"/>
        <item h="1" x="362"/>
        <item h="1" x="154"/>
        <item h="1" x="221"/>
        <item h="1" x="193"/>
        <item h="1" x="121"/>
        <item h="1" x="246"/>
        <item h="1" x="143"/>
        <item h="1" x="52"/>
        <item h="1" x="273"/>
        <item h="1" x="25"/>
        <item h="1" x="79"/>
        <item h="1" x="48"/>
        <item h="1" x="177"/>
        <item h="1" x="10"/>
        <item h="1" x="84"/>
        <item h="1" x="199"/>
        <item h="1" x="186"/>
        <item h="1" x="104"/>
        <item h="1" x="458"/>
        <item h="1" x="179"/>
        <item h="1" x="435"/>
        <item h="1" x="178"/>
        <item h="1" x="261"/>
        <item h="1" x="299"/>
        <item h="1" x="187"/>
        <item h="1" x="26"/>
        <item h="1" x="479"/>
        <item h="1" x="106"/>
        <item h="1" x="403"/>
        <item h="1" x="110"/>
        <item h="1" x="210"/>
        <item h="1" x="168"/>
        <item h="1" x="202"/>
        <item h="1" x="159"/>
        <item h="1" x="97"/>
        <item h="1" x="278"/>
        <item h="1" x="31"/>
        <item h="1" x="341"/>
        <item h="1" x="21"/>
        <item h="1" x="263"/>
        <item h="1" x="82"/>
        <item h="1" x="274"/>
        <item h="1" x="196"/>
        <item h="1" x="201"/>
        <item h="1" x="19"/>
        <item h="1" x="118"/>
        <item h="1" x="8"/>
        <item h="1" x="460"/>
        <item h="1" x="253"/>
        <item h="1" x="175"/>
        <item h="1" x="22"/>
        <item h="1" x="137"/>
        <item h="1" x="252"/>
        <item h="1" x="83"/>
        <item h="1" x="281"/>
        <item h="1" x="194"/>
        <item h="1" x="109"/>
        <item h="1" x="308"/>
        <item h="1" x="304"/>
        <item h="1" x="216"/>
        <item h="1" x="78"/>
        <item h="1" x="77"/>
        <item h="1" x="62"/>
        <item h="1" x="56"/>
        <item h="1" x="417"/>
        <item h="1" x="437"/>
        <item h="1" x="416"/>
        <item h="1" x="240"/>
        <item h="1" x="149"/>
        <item h="1" x="38"/>
        <item h="1" x="345"/>
        <item h="1" x="355"/>
        <item h="1" x="396"/>
        <item h="1" x="49"/>
        <item h="1" x="167"/>
        <item h="1" x="11"/>
        <item h="1" x="44"/>
        <item h="1" x="73"/>
        <item h="1" x="102"/>
        <item h="1" x="374"/>
        <item h="1" x="217"/>
        <item h="1" x="65"/>
        <item h="1" x="169"/>
        <item h="1" x="260"/>
        <item h="1" x="41"/>
        <item h="1" x="13"/>
        <item h="1" x="116"/>
        <item h="1" x="115"/>
        <item h="1" x="66"/>
        <item h="1" x="314"/>
        <item h="1" x="354"/>
        <item h="1" x="105"/>
        <item h="1" x="18"/>
        <item h="1" x="0"/>
        <item h="1" x="229"/>
        <item h="1" x="150"/>
        <item h="1" x="189"/>
        <item h="1" x="445"/>
        <item h="1" x="223"/>
        <item h="1" x="53"/>
        <item h="1" x="339"/>
        <item h="1" x="28"/>
        <item h="1" x="161"/>
        <item h="1" x="419"/>
        <item h="1" x="336"/>
        <item h="1" x="147"/>
        <item h="1" x="141"/>
        <item h="1" x="122"/>
        <item h="1" x="20"/>
        <item h="1" x="58"/>
        <item h="1" x="205"/>
        <item h="1" x="220"/>
        <item h="1" x="88"/>
        <item h="1" x="181"/>
        <item h="1" x="86"/>
        <item h="1" x="190"/>
        <item h="1" x="358"/>
        <item h="1" x="432"/>
        <item h="1" x="245"/>
        <item h="1" x="397"/>
        <item h="1" x="481"/>
        <item h="1" x="476"/>
        <item h="1" x="482"/>
        <item h="1" x="442"/>
        <item h="1" x="400"/>
        <item h="1" x="211"/>
        <item h="1" x="493"/>
        <item h="1" x="468"/>
        <item h="1" x="405"/>
        <item h="1" x="470"/>
        <item h="1" x="255"/>
        <item h="1" x="350"/>
        <item h="1" x="474"/>
        <item h="1" x="425"/>
        <item h="1" x="337"/>
        <item h="1" x="450"/>
        <item h="1" x="300"/>
        <item h="1" x="368"/>
        <item h="1" x="39"/>
        <item h="1" x="146"/>
        <item h="1" x="301"/>
        <item h="1" x="325"/>
        <item h="1" x="285"/>
        <item h="1" x="451"/>
        <item h="1" x="306"/>
        <item h="1" x="466"/>
        <item h="1" x="165"/>
        <item h="1" x="276"/>
        <item h="1" x="204"/>
        <item h="1" x="234"/>
        <item h="1" x="434"/>
        <item h="1" x="123"/>
        <item h="1" x="249"/>
        <item h="1" x="486"/>
        <item h="1" x="334"/>
        <item h="1" x="174"/>
        <item h="1" x="91"/>
        <item h="1" x="356"/>
        <item h="1" x="413"/>
        <item h="1" x="71"/>
        <item h="1" x="365"/>
        <item h="1" x="256"/>
        <item h="1" x="324"/>
        <item h="1" x="85"/>
        <item h="1" x="288"/>
        <item h="1" x="226"/>
        <item h="1" x="111"/>
        <item h="1" x="490"/>
        <item h="1" x="485"/>
        <item h="1" x="183"/>
        <item h="1" x="182"/>
        <item h="1" x="398"/>
        <item h="1" x="423"/>
        <item h="1" x="378"/>
        <item h="1" x="87"/>
        <item h="1" x="289"/>
        <item h="1" x="287"/>
        <item h="1" x="166"/>
        <item h="1" x="408"/>
        <item h="1" x="277"/>
        <item h="1" x="237"/>
        <item h="1" x="477"/>
        <item h="1" x="305"/>
        <item h="1" x="366"/>
        <item h="1" x="401"/>
        <item h="1" x="139"/>
        <item h="1" x="35"/>
        <item h="1" x="152"/>
        <item h="1" x="63"/>
        <item h="1" x="357"/>
        <item h="1" x="176"/>
        <item h="1" x="170"/>
        <item h="1" x="81"/>
        <item h="1" x="37"/>
        <item h="1" x="142"/>
        <item h="1" x="99"/>
        <item h="1" x="50"/>
        <item h="1" x="180"/>
        <item h="1" x="218"/>
        <item h="1" x="264"/>
        <item h="1" x="236"/>
        <item h="1" x="153"/>
        <item h="1" x="233"/>
        <item h="1" x="95"/>
        <item h="1" x="192"/>
        <item h="1" x="61"/>
        <item h="1" x="191"/>
        <item h="1" x="171"/>
        <item h="1" x="386"/>
        <item h="1" x="144"/>
        <item h="1" x="185"/>
        <item h="1" x="467"/>
        <item h="1" x="335"/>
        <item h="1" x="244"/>
        <item h="1" x="421"/>
        <item h="1" x="327"/>
        <item h="1" x="34"/>
        <item h="1" x="43"/>
        <item h="1" x="322"/>
        <item h="1" x="494"/>
        <item h="1" x="96"/>
        <item h="1" x="309"/>
        <item h="1" x="57"/>
        <item h="1" x="369"/>
        <item h="1" x="215"/>
        <item h="1" x="93"/>
        <item h="1" x="315"/>
        <item h="1" x="126"/>
        <item h="1" x="103"/>
        <item h="1" x="80"/>
        <item h="1" x="438"/>
        <item h="1" x="311"/>
        <item h="1" x="440"/>
        <item h="1" x="197"/>
        <item h="1" x="328"/>
        <item h="1" x="347"/>
        <item h="1" x="230"/>
        <item h="1" x="409"/>
        <item h="1" x="69"/>
        <item h="1" x="70"/>
        <item h="1" x="389"/>
        <item h="1" x="108"/>
        <item h="1" x="338"/>
        <item h="1" x="258"/>
        <item h="1" x="420"/>
        <item h="1" x="292"/>
        <item h="1" x="272"/>
        <item h="1" x="2"/>
        <item h="1" x="207"/>
        <item h="1" x="224"/>
        <item h="1" x="429"/>
        <item h="1" x="459"/>
        <item h="1" x="283"/>
        <item h="1" x="269"/>
        <item h="1" x="364"/>
        <item h="1" x="114"/>
        <item h="1" x="457"/>
        <item h="1" x="428"/>
        <item h="1" x="340"/>
        <item h="1" x="384"/>
        <item h="1" x="443"/>
        <item h="1" x="280"/>
        <item h="1" x="298"/>
        <item h="1" x="411"/>
        <item h="1" x="164"/>
        <item h="1" x="282"/>
        <item h="1" x="473"/>
        <item h="1" x="321"/>
        <item h="1" x="9"/>
        <item h="1" x="418"/>
        <item h="1" x="128"/>
        <item h="1" x="212"/>
        <item h="1" x="475"/>
        <item h="1" x="132"/>
        <item h="1" x="426"/>
        <item h="1" x="367"/>
        <item h="1" x="371"/>
        <item h="1" x="225"/>
        <item h="1" x="307"/>
        <item h="1" x="32"/>
        <item h="1" x="302"/>
        <item h="1" x="89"/>
        <item h="1" x="148"/>
        <item h="1" x="352"/>
        <item h="1" x="279"/>
        <item h="1" x="3"/>
        <item h="1" x="184"/>
        <item h="1" x="27"/>
        <item h="1" x="461"/>
        <item h="1" x="320"/>
        <item h="1" x="113"/>
        <item h="1" x="453"/>
        <item h="1" x="313"/>
        <item h="1" x="463"/>
        <item h="1" x="64"/>
        <item h="1" x="265"/>
        <item h="1" x="7"/>
        <item h="1" x="373"/>
        <item h="1" x="29"/>
        <item h="1" x="404"/>
        <item h="1" x="112"/>
        <item h="1" x="360"/>
        <item h="1" x="377"/>
        <item h="1" x="448"/>
        <item h="1" x="203"/>
        <item h="1" x="414"/>
        <item h="1" x="117"/>
        <item h="1" x="415"/>
        <item h="1" x="427"/>
        <item h="1" x="402"/>
        <item h="1" x="489"/>
        <item h="1" x="6"/>
        <item h="1" x="262"/>
        <item h="1" x="227"/>
        <item h="1" x="316"/>
        <item t="default"/>
      </items>
    </pivotField>
    <pivotField axis="axisRow" showAll="0">
      <items count="501">
        <item x="398"/>
        <item x="219"/>
        <item x="109"/>
        <item x="40"/>
        <item x="456"/>
        <item x="495"/>
        <item x="155"/>
        <item x="105"/>
        <item x="18"/>
        <item x="146"/>
        <item x="298"/>
        <item x="144"/>
        <item x="326"/>
        <item x="455"/>
        <item x="421"/>
        <item x="439"/>
        <item x="215"/>
        <item x="318"/>
        <item x="449"/>
        <item x="244"/>
        <item x="321"/>
        <item x="396"/>
        <item x="273"/>
        <item x="1"/>
        <item x="365"/>
        <item x="485"/>
        <item x="227"/>
        <item x="126"/>
        <item x="239"/>
        <item x="477"/>
        <item x="22"/>
        <item x="347"/>
        <item x="51"/>
        <item x="217"/>
        <item x="199"/>
        <item x="271"/>
        <item x="349"/>
        <item x="110"/>
        <item x="177"/>
        <item x="80"/>
        <item x="343"/>
        <item x="400"/>
        <item x="50"/>
        <item x="167"/>
        <item x="255"/>
        <item x="142"/>
        <item x="190"/>
        <item x="460"/>
        <item x="234"/>
        <item x="188"/>
        <item x="189"/>
        <item x="180"/>
        <item x="371"/>
        <item x="67"/>
        <item x="390"/>
        <item x="461"/>
        <item x="358"/>
        <item x="356"/>
        <item x="281"/>
        <item x="274"/>
        <item x="84"/>
        <item x="128"/>
        <item x="209"/>
        <item x="479"/>
        <item x="132"/>
        <item x="429"/>
        <item x="245"/>
        <item x="286"/>
        <item x="206"/>
        <item x="391"/>
        <item x="471"/>
        <item x="242"/>
        <item x="379"/>
        <item x="115"/>
        <item x="445"/>
        <item x="34"/>
        <item x="395"/>
        <item x="75"/>
        <item x="119"/>
        <item x="55"/>
        <item x="25"/>
        <item x="458"/>
        <item x="363"/>
        <item x="377"/>
        <item x="133"/>
        <item x="438"/>
        <item x="420"/>
        <item x="76"/>
        <item x="121"/>
        <item x="5"/>
        <item x="369"/>
        <item x="65"/>
        <item x="13"/>
        <item x="74"/>
        <item x="410"/>
        <item x="236"/>
        <item x="376"/>
        <item x="372"/>
        <item x="107"/>
        <item x="278"/>
        <item x="345"/>
        <item x="48"/>
        <item x="267"/>
        <item x="368"/>
        <item x="265"/>
        <item x="393"/>
        <item x="450"/>
        <item x="89"/>
        <item x="492"/>
        <item x="359"/>
        <item x="457"/>
        <item x="70"/>
        <item x="207"/>
        <item x="442"/>
        <item x="191"/>
        <item x="145"/>
        <item x="310"/>
        <item x="223"/>
        <item x="32"/>
        <item x="305"/>
        <item x="53"/>
        <item x="232"/>
        <item x="49"/>
        <item x="97"/>
        <item x="329"/>
        <item x="336"/>
        <item x="131"/>
        <item x="66"/>
        <item x="165"/>
        <item x="33"/>
        <item x="295"/>
        <item x="154"/>
        <item x="375"/>
        <item x="157"/>
        <item x="125"/>
        <item x="403"/>
        <item x="266"/>
        <item x="182"/>
        <item x="3"/>
        <item x="181"/>
        <item x="27"/>
        <item x="243"/>
        <item x="463"/>
        <item x="307"/>
        <item x="389"/>
        <item x="71"/>
        <item x="263"/>
        <item x="197"/>
        <item x="402"/>
        <item x="198"/>
        <item x="341"/>
        <item x="362"/>
        <item x="352"/>
        <item x="108"/>
        <item x="399"/>
        <item x="269"/>
        <item x="2"/>
        <item x="436"/>
        <item x="160"/>
        <item x="486"/>
        <item x="10"/>
        <item x="17"/>
        <item x="293"/>
        <item x="284"/>
        <item x="431"/>
        <item x="344"/>
        <item x="224"/>
        <item x="96"/>
        <item x="179"/>
        <item x="386"/>
        <item x="454"/>
        <item x="229"/>
        <item x="470"/>
        <item x="493"/>
        <item x="323"/>
        <item x="158"/>
        <item x="364"/>
        <item x="183"/>
        <item x="186"/>
        <item x="447"/>
        <item x="378"/>
        <item x="366"/>
        <item x="112"/>
        <item x="484"/>
        <item x="496"/>
        <item x="384"/>
        <item x="168"/>
        <item x="340"/>
        <item x="29"/>
        <item x="82"/>
        <item x="480"/>
        <item x="122"/>
        <item x="346"/>
        <item x="221"/>
        <item x="11"/>
        <item x="57"/>
        <item x="113"/>
        <item x="316"/>
        <item x="20"/>
        <item x="58"/>
        <item x="103"/>
        <item x="88"/>
        <item x="488"/>
        <item x="21"/>
        <item x="360"/>
        <item x="300"/>
        <item x="397"/>
        <item x="487"/>
        <item x="320"/>
        <item x="200"/>
        <item x="7"/>
        <item x="46"/>
        <item x="428"/>
        <item x="373"/>
        <item x="302"/>
        <item x="491"/>
        <item x="208"/>
        <item x="459"/>
        <item x="314"/>
        <item x="388"/>
        <item x="262"/>
        <item x="174"/>
        <item x="275"/>
        <item x="228"/>
        <item x="166"/>
        <item x="220"/>
        <item x="413"/>
        <item x="173"/>
        <item x="367"/>
        <item x="289"/>
        <item x="308"/>
        <item x="216"/>
        <item x="411"/>
        <item x="78"/>
        <item x="478"/>
        <item x="328"/>
        <item x="127"/>
        <item x="412"/>
        <item x="332"/>
        <item x="230"/>
        <item x="92"/>
        <item x="137"/>
        <item x="252"/>
        <item x="203"/>
        <item x="292"/>
        <item x="68"/>
        <item x="444"/>
        <item x="489"/>
        <item x="333"/>
        <item x="23"/>
        <item x="276"/>
        <item x="451"/>
        <item x="233"/>
        <item x="351"/>
        <item x="94"/>
        <item x="317"/>
        <item x="130"/>
        <item x="135"/>
        <item x="218"/>
        <item x="93"/>
        <item x="102"/>
        <item x="212"/>
        <item x="211"/>
        <item x="394"/>
        <item x="178"/>
        <item x="315"/>
        <item x="435"/>
        <item x="83"/>
        <item x="85"/>
        <item x="28"/>
        <item x="12"/>
        <item x="466"/>
        <item x="430"/>
        <item x="306"/>
        <item x="111"/>
        <item x="264"/>
        <item x="114"/>
        <item x="327"/>
        <item x="202"/>
        <item x="387"/>
        <item x="446"/>
        <item x="195"/>
        <item x="473"/>
        <item x="476"/>
        <item x="385"/>
        <item x="129"/>
        <item x="324"/>
        <item x="141"/>
        <item x="350"/>
        <item x="474"/>
        <item x="14"/>
        <item x="176"/>
        <item x="159"/>
        <item x="468"/>
        <item x="150"/>
        <item x="482"/>
        <item x="433"/>
        <item x="248"/>
        <item x="437"/>
        <item x="90"/>
        <item x="86"/>
        <item x="162"/>
        <item x="414"/>
        <item x="194"/>
        <item x="47"/>
        <item x="380"/>
        <item x="249"/>
        <item x="214"/>
        <item x="205"/>
        <item x="283"/>
        <item x="9"/>
        <item x="405"/>
        <item x="4"/>
        <item x="149"/>
        <item x="256"/>
        <item x="357"/>
        <item x="163"/>
        <item x="41"/>
        <item x="0"/>
        <item x="151"/>
        <item x="381"/>
        <item x="440"/>
        <item x="469"/>
        <item x="453"/>
        <item x="309"/>
        <item x="95"/>
        <item x="339"/>
        <item x="355"/>
        <item x="237"/>
        <item x="43"/>
        <item x="77"/>
        <item x="370"/>
        <item x="416"/>
        <item x="247"/>
        <item x="169"/>
        <item x="226"/>
        <item x="156"/>
        <item x="261"/>
        <item x="483"/>
        <item x="153"/>
        <item x="31"/>
        <item x="475"/>
        <item x="422"/>
        <item x="499"/>
        <item x="118"/>
        <item x="319"/>
        <item x="152"/>
        <item x="313"/>
        <item x="240"/>
        <item x="257"/>
        <item x="335"/>
        <item x="490"/>
        <item x="60"/>
        <item x="467"/>
        <item x="134"/>
        <item x="285"/>
        <item x="348"/>
        <item x="246"/>
        <item x="192"/>
        <item x="175"/>
        <item x="106"/>
        <item x="424"/>
        <item x="101"/>
        <item x="187"/>
        <item x="138"/>
        <item x="30"/>
        <item x="63"/>
        <item x="465"/>
        <item x="120"/>
        <item x="299"/>
        <item x="26"/>
        <item x="231"/>
        <item x="382"/>
        <item x="409"/>
        <item x="148"/>
        <item x="241"/>
        <item x="196"/>
        <item x="6"/>
        <item x="225"/>
        <item x="334"/>
        <item x="54"/>
        <item x="36"/>
        <item x="325"/>
        <item x="136"/>
        <item x="210"/>
        <item x="418"/>
        <item x="417"/>
        <item x="117"/>
        <item x="288"/>
        <item x="185"/>
        <item x="73"/>
        <item x="44"/>
        <item x="116"/>
        <item x="374"/>
        <item x="392"/>
        <item x="425"/>
        <item x="434"/>
        <item x="140"/>
        <item x="353"/>
        <item x="383"/>
        <item x="39"/>
        <item x="303"/>
        <item x="452"/>
        <item x="250"/>
        <item x="213"/>
        <item x="304"/>
        <item x="404"/>
        <item x="408"/>
        <item x="277"/>
        <item x="443"/>
        <item x="222"/>
        <item x="441"/>
        <item x="19"/>
        <item x="100"/>
        <item x="170"/>
        <item x="432"/>
        <item x="98"/>
        <item x="124"/>
        <item x="45"/>
        <item x="259"/>
        <item x="419"/>
        <item x="201"/>
        <item x="279"/>
        <item x="311"/>
        <item x="361"/>
        <item x="472"/>
        <item x="251"/>
        <item x="260"/>
        <item x="297"/>
        <item x="427"/>
        <item x="337"/>
        <item x="72"/>
        <item x="59"/>
        <item x="282"/>
        <item x="354"/>
        <item x="61"/>
        <item x="235"/>
        <item x="143"/>
        <item x="254"/>
        <item x="291"/>
        <item x="164"/>
        <item x="99"/>
        <item x="494"/>
        <item x="42"/>
        <item x="123"/>
        <item x="497"/>
        <item x="407"/>
        <item x="280"/>
        <item x="24"/>
        <item x="52"/>
        <item x="462"/>
        <item x="69"/>
        <item x="79"/>
        <item x="64"/>
        <item x="16"/>
        <item x="87"/>
        <item x="238"/>
        <item x="426"/>
        <item x="401"/>
        <item x="415"/>
        <item x="448"/>
        <item x="268"/>
        <item x="56"/>
        <item x="193"/>
        <item x="342"/>
        <item x="294"/>
        <item x="272"/>
        <item x="423"/>
        <item x="258"/>
        <item x="204"/>
        <item x="338"/>
        <item x="171"/>
        <item x="287"/>
        <item x="91"/>
        <item x="481"/>
        <item x="498"/>
        <item x="184"/>
        <item x="161"/>
        <item x="464"/>
        <item x="270"/>
        <item x="139"/>
        <item x="62"/>
        <item x="15"/>
        <item x="104"/>
        <item x="312"/>
        <item x="253"/>
        <item x="322"/>
        <item x="147"/>
        <item x="301"/>
        <item x="406"/>
        <item x="330"/>
        <item x="331"/>
        <item x="296"/>
        <item x="290"/>
        <item x="8"/>
        <item x="37"/>
        <item x="81"/>
        <item x="38"/>
        <item x="172"/>
        <item x="35"/>
        <item t="default"/>
      </items>
    </pivotField>
    <pivotField showAll="0"/>
    <pivotField showAll="0"/>
    <pivotField dataField="1" showAll="0"/>
  </pivotFields>
  <rowFields count="2">
    <field x="1"/>
    <field x="3"/>
  </rowFields>
  <rowItems count="9">
    <i>
      <x v="2"/>
    </i>
    <i r="1">
      <x v="354"/>
    </i>
    <i r="1">
      <x v="365"/>
    </i>
    <i r="1">
      <x v="389"/>
    </i>
    <i>
      <x v="12"/>
    </i>
    <i r="1">
      <x v="250"/>
    </i>
    <i>
      <x v="14"/>
    </i>
    <i r="1">
      <x v="492"/>
    </i>
    <i t="grand">
      <x/>
    </i>
  </rowItems>
  <colFields count="1">
    <field x="2"/>
  </colFields>
  <colItems count="6">
    <i>
      <x v="48"/>
    </i>
    <i>
      <x v="95"/>
    </i>
    <i>
      <x v="137"/>
    </i>
    <i>
      <x v="145"/>
    </i>
    <i>
      <x v="154"/>
    </i>
    <i t="grand">
      <x/>
    </i>
  </colItems>
  <pageFields count="1">
    <pageField fld="0" item="5" hier="-1"/>
  </pageFields>
  <dataFields count="1">
    <dataField name="Sum of SumOfposting_line_amount" fld="6" baseField="0" baseItem="0" numFmtId="169"/>
  </dataFields>
  <formats count="3">
    <format dxfId="2">
      <pivotArea outline="0" collapsedLevelsAreSubtotals="1" fieldPosition="0"/>
    </format>
    <format dxfId="1">
      <pivotArea outline="0" collapsedLevelsAreSubtotals="1" fieldPosition="0"/>
    </format>
    <format dxfId="0">
      <pivotArea dataOnly="0" labelOnly="1" fieldPosition="0">
        <references count="1">
          <reference field="2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D89"/>
  <sheetViews>
    <sheetView topLeftCell="H13" zoomScale="80" zoomScaleNormal="80" workbookViewId="0">
      <selection activeCell="W47" sqref="W47"/>
    </sheetView>
  </sheetViews>
  <sheetFormatPr defaultColWidth="9.109375" defaultRowHeight="14.4"/>
  <cols>
    <col min="1" max="1" width="5.33203125" customWidth="1"/>
    <col min="2" max="2" width="22.44140625" style="136" customWidth="1"/>
    <col min="3" max="3" width="14.44140625" style="136" customWidth="1"/>
    <col min="4" max="4" width="10.109375" style="136" customWidth="1"/>
    <col min="5" max="5" width="9.44140625" customWidth="1"/>
    <col min="6" max="6" width="8.88671875" customWidth="1"/>
    <col min="7" max="8" width="8.6640625" customWidth="1"/>
    <col min="9" max="9" width="9" customWidth="1"/>
    <col min="10" max="10" width="9.33203125" customWidth="1"/>
    <col min="11" max="11" width="51.44140625" customWidth="1"/>
    <col min="12" max="12" width="3.109375" customWidth="1"/>
    <col min="13" max="13" width="36.88671875" customWidth="1"/>
    <col min="14" max="14" width="11.6640625" customWidth="1"/>
    <col min="15" max="15" width="12.5546875" customWidth="1"/>
    <col min="16" max="16" width="13.88671875" customWidth="1"/>
    <col min="17" max="17" width="2.5546875" style="137" customWidth="1"/>
    <col min="18" max="18" width="29.109375" customWidth="1"/>
    <col min="19" max="19" width="12.33203125" customWidth="1"/>
    <col min="20" max="20" width="14.109375" customWidth="1"/>
    <col min="21" max="21" width="12.33203125" customWidth="1"/>
    <col min="22" max="22" width="2.33203125" customWidth="1"/>
    <col min="23" max="23" width="29.33203125" customWidth="1"/>
    <col min="24" max="24" width="11.33203125" customWidth="1"/>
    <col min="25" max="25" width="13.6640625" customWidth="1"/>
    <col min="26" max="26" width="13.44140625" bestFit="1" customWidth="1"/>
    <col min="27" max="27" width="3.6640625" customWidth="1"/>
  </cols>
  <sheetData>
    <row r="1" spans="1:26" ht="18">
      <c r="A1" s="135" t="s">
        <v>50</v>
      </c>
    </row>
    <row r="2" spans="1:26">
      <c r="M2" s="138"/>
      <c r="N2" s="139"/>
      <c r="O2" s="139"/>
      <c r="P2" s="139"/>
      <c r="Q2" s="140"/>
      <c r="R2" s="141"/>
      <c r="V2" s="142"/>
    </row>
    <row r="3" spans="1:26" ht="15" thickBot="1">
      <c r="B3" s="143">
        <v>42740</v>
      </c>
      <c r="C3" s="144"/>
      <c r="M3" s="139"/>
      <c r="N3" s="139"/>
      <c r="O3" s="139"/>
      <c r="P3" s="139"/>
      <c r="Q3" s="142"/>
      <c r="V3" s="145"/>
      <c r="W3" s="146"/>
      <c r="X3" s="146"/>
      <c r="Y3" s="146"/>
      <c r="Z3" s="146"/>
    </row>
    <row r="4" spans="1:26" ht="15" thickBot="1">
      <c r="B4" s="821" t="s">
        <v>51</v>
      </c>
      <c r="C4" s="822"/>
      <c r="D4" s="822"/>
      <c r="E4" s="822"/>
      <c r="F4" s="822"/>
      <c r="G4" s="822"/>
      <c r="H4" s="822"/>
      <c r="I4" s="822"/>
      <c r="J4" s="822"/>
      <c r="K4" s="823"/>
      <c r="M4" s="824" t="s">
        <v>52</v>
      </c>
      <c r="N4" s="825"/>
      <c r="O4" s="825"/>
      <c r="P4" s="826"/>
      <c r="Q4" s="145"/>
      <c r="R4" s="824" t="s">
        <v>53</v>
      </c>
      <c r="S4" s="825"/>
      <c r="T4" s="825"/>
      <c r="U4" s="826"/>
      <c r="V4" s="145"/>
      <c r="W4" s="824" t="s">
        <v>54</v>
      </c>
      <c r="X4" s="825"/>
      <c r="Y4" s="825"/>
      <c r="Z4" s="826"/>
    </row>
    <row r="5" spans="1:26" ht="15" thickBot="1">
      <c r="B5" s="827" t="s">
        <v>55</v>
      </c>
      <c r="C5" s="828"/>
      <c r="D5" s="828"/>
      <c r="E5" s="829" t="s">
        <v>56</v>
      </c>
      <c r="F5" s="830"/>
      <c r="G5" s="830"/>
      <c r="H5" s="830"/>
      <c r="I5" s="830"/>
      <c r="J5" s="830"/>
      <c r="K5" s="831"/>
      <c r="M5" s="147" t="s">
        <v>57</v>
      </c>
      <c r="N5" s="148">
        <v>13</v>
      </c>
      <c r="O5" s="146"/>
      <c r="P5" s="149"/>
      <c r="Q5" s="150"/>
      <c r="R5" s="151" t="s">
        <v>57</v>
      </c>
      <c r="S5" s="152">
        <v>20</v>
      </c>
      <c r="T5" s="153"/>
      <c r="U5" s="154"/>
      <c r="V5" s="150"/>
      <c r="W5" s="151" t="s">
        <v>57</v>
      </c>
      <c r="X5" s="152">
        <v>34</v>
      </c>
      <c r="Y5" s="146"/>
      <c r="Z5" s="149"/>
    </row>
    <row r="6" spans="1:26" ht="15" thickBot="1">
      <c r="B6" s="155" t="s">
        <v>58</v>
      </c>
      <c r="C6" s="156"/>
      <c r="D6" s="157">
        <f>'[5]AHCS Salary Breakout'!B6</f>
        <v>75588.90937283411</v>
      </c>
      <c r="E6" s="158" t="s">
        <v>59</v>
      </c>
      <c r="F6" s="159"/>
      <c r="G6" s="159"/>
      <c r="H6" s="159"/>
      <c r="I6" s="159"/>
      <c r="J6" s="159"/>
      <c r="K6" s="160"/>
      <c r="M6" s="151" t="s">
        <v>60</v>
      </c>
      <c r="N6" s="152">
        <v>6</v>
      </c>
      <c r="O6" s="161" t="s">
        <v>61</v>
      </c>
      <c r="P6" s="162">
        <f>N6*365</f>
        <v>2190</v>
      </c>
      <c r="Q6" s="150"/>
      <c r="R6" s="151" t="s">
        <v>60</v>
      </c>
      <c r="S6" s="152">
        <v>9</v>
      </c>
      <c r="T6" s="161" t="s">
        <v>61</v>
      </c>
      <c r="U6" s="162">
        <f>S6*365</f>
        <v>3285</v>
      </c>
      <c r="V6" s="150"/>
      <c r="W6" s="151" t="s">
        <v>60</v>
      </c>
      <c r="X6" s="152">
        <v>13</v>
      </c>
      <c r="Y6" s="161" t="s">
        <v>61</v>
      </c>
      <c r="Z6" s="162">
        <f>X6*365</f>
        <v>4745</v>
      </c>
    </row>
    <row r="7" spans="1:26" ht="15" thickBot="1">
      <c r="B7" s="163" t="s">
        <v>62</v>
      </c>
      <c r="C7" s="164"/>
      <c r="D7" s="165">
        <f>'[5]AHCS Salary Breakout'!B5</f>
        <v>54265.845095051212</v>
      </c>
      <c r="E7" s="166" t="s">
        <v>63</v>
      </c>
      <c r="F7" s="167"/>
      <c r="G7" s="167"/>
      <c r="H7" s="167"/>
      <c r="I7" s="167"/>
      <c r="J7" s="167"/>
      <c r="K7" s="168"/>
      <c r="M7" s="151" t="s">
        <v>64</v>
      </c>
      <c r="N7" s="152">
        <v>4</v>
      </c>
      <c r="O7" s="161" t="s">
        <v>61</v>
      </c>
      <c r="P7" s="162">
        <f>N7*365/3</f>
        <v>486.66666666666669</v>
      </c>
      <c r="Q7" s="150"/>
      <c r="R7" s="151" t="s">
        <v>64</v>
      </c>
      <c r="S7" s="152">
        <v>10</v>
      </c>
      <c r="T7" s="161" t="s">
        <v>61</v>
      </c>
      <c r="U7" s="162">
        <f>S7*365/3</f>
        <v>1216.6666666666667</v>
      </c>
      <c r="V7" s="150"/>
      <c r="W7" s="151" t="s">
        <v>64</v>
      </c>
      <c r="X7" s="152">
        <v>32</v>
      </c>
      <c r="Y7" s="161" t="s">
        <v>61</v>
      </c>
      <c r="Z7" s="162">
        <f>X7*365/2</f>
        <v>5840</v>
      </c>
    </row>
    <row r="8" spans="1:26" ht="15" customHeight="1">
      <c r="B8" s="169" t="s">
        <v>65</v>
      </c>
      <c r="C8" s="170"/>
      <c r="D8" s="165">
        <f>'[5]AHCS Salary Breakout'!B15</f>
        <v>53772.035779272279</v>
      </c>
      <c r="E8" s="166" t="s">
        <v>66</v>
      </c>
      <c r="F8" s="167"/>
      <c r="G8" s="167"/>
      <c r="H8" s="167"/>
      <c r="I8" s="167"/>
      <c r="J8" s="167"/>
      <c r="K8" s="168"/>
      <c r="M8" s="171" t="s">
        <v>67</v>
      </c>
      <c r="N8" s="172" t="s">
        <v>68</v>
      </c>
      <c r="O8" s="172" t="s">
        <v>69</v>
      </c>
      <c r="P8" s="173" t="s">
        <v>70</v>
      </c>
      <c r="Q8" s="174"/>
      <c r="R8" s="175" t="s">
        <v>67</v>
      </c>
      <c r="S8" s="176" t="s">
        <v>68</v>
      </c>
      <c r="T8" s="176" t="s">
        <v>69</v>
      </c>
      <c r="U8" s="177" t="s">
        <v>70</v>
      </c>
      <c r="V8" s="174"/>
      <c r="W8" s="175" t="s">
        <v>67</v>
      </c>
      <c r="X8" s="176" t="s">
        <v>68</v>
      </c>
      <c r="Y8" s="176" t="s">
        <v>69</v>
      </c>
      <c r="Z8" s="177" t="s">
        <v>70</v>
      </c>
    </row>
    <row r="9" spans="1:26">
      <c r="B9" s="169" t="s">
        <v>71</v>
      </c>
      <c r="C9" s="170"/>
      <c r="D9" s="165">
        <f>'[5]AHCS Salary Breakout'!B10</f>
        <v>90483.887203019724</v>
      </c>
      <c r="E9" s="166" t="s">
        <v>72</v>
      </c>
      <c r="F9" s="167"/>
      <c r="G9" s="167"/>
      <c r="H9" s="167"/>
      <c r="I9" s="167"/>
      <c r="J9" s="167"/>
      <c r="K9" s="168"/>
      <c r="M9" s="178" t="str">
        <f t="shared" ref="M9:M15" si="0">B6</f>
        <v>Program Function Manager</v>
      </c>
      <c r="N9" s="179">
        <f>$D$6</f>
        <v>75588.90937283411</v>
      </c>
      <c r="O9" s="180">
        <f t="shared" ref="O9:O19" si="1">D20</f>
        <v>0.05</v>
      </c>
      <c r="P9" s="181">
        <f>N9*O9</f>
        <v>3779.4454686417057</v>
      </c>
      <c r="Q9" s="174"/>
      <c r="R9" s="182" t="str">
        <f t="shared" ref="R9:R19" si="2">M9</f>
        <v>Program Function Manager</v>
      </c>
      <c r="S9" s="183">
        <f>$D$6</f>
        <v>75588.90937283411</v>
      </c>
      <c r="T9" s="184">
        <f t="shared" ref="T9:T19" si="3">E20</f>
        <v>0.05</v>
      </c>
      <c r="U9" s="185">
        <f>S9*T9</f>
        <v>3779.4454686417057</v>
      </c>
      <c r="V9" s="174"/>
      <c r="W9" s="182" t="str">
        <f>R9</f>
        <v>Program Function Manager</v>
      </c>
      <c r="X9" s="183">
        <f>$D$6</f>
        <v>75588.90937283411</v>
      </c>
      <c r="Y9" s="184">
        <f t="shared" ref="Y9:Y19" si="4">F20</f>
        <v>0.10833333333333334</v>
      </c>
      <c r="Z9" s="185">
        <f>X9*Y9</f>
        <v>8188.7985153903619</v>
      </c>
    </row>
    <row r="10" spans="1:26" ht="15" customHeight="1">
      <c r="B10" s="169" t="s">
        <v>73</v>
      </c>
      <c r="C10" s="170"/>
      <c r="D10" s="165">
        <f>'[5]AHCS Salary Breakout'!B11</f>
        <v>62728.637696237201</v>
      </c>
      <c r="E10" s="166" t="s">
        <v>74</v>
      </c>
      <c r="F10" s="167"/>
      <c r="G10" s="167"/>
      <c r="H10" s="167"/>
      <c r="I10" s="167"/>
      <c r="J10" s="167"/>
      <c r="K10" s="168"/>
      <c r="M10" s="186" t="str">
        <f t="shared" si="0"/>
        <v>Program Director</v>
      </c>
      <c r="N10" s="179">
        <f>$D$7</f>
        <v>54265.845095051212</v>
      </c>
      <c r="O10" s="180">
        <f t="shared" si="1"/>
        <v>1</v>
      </c>
      <c r="P10" s="181">
        <f t="shared" ref="P10:P19" si="5">N10*O10</f>
        <v>54265.845095051212</v>
      </c>
      <c r="Q10" s="174"/>
      <c r="R10" s="187" t="str">
        <f t="shared" si="2"/>
        <v>Program Director</v>
      </c>
      <c r="S10" s="183">
        <f>$D$7</f>
        <v>54265.845095051212</v>
      </c>
      <c r="T10" s="184">
        <f t="shared" si="3"/>
        <v>1.1499999999999999</v>
      </c>
      <c r="U10" s="185">
        <f t="shared" ref="U10:U19" si="6">S10*T10</f>
        <v>62405.721859308891</v>
      </c>
      <c r="V10" s="174"/>
      <c r="W10" s="187" t="str">
        <f>R10</f>
        <v>Program Director</v>
      </c>
      <c r="X10" s="183">
        <f>$D$7</f>
        <v>54265.845095051212</v>
      </c>
      <c r="Y10" s="184">
        <f t="shared" si="4"/>
        <v>2.1666666666666665</v>
      </c>
      <c r="Z10" s="185">
        <f t="shared" ref="Z10:Z19" si="7">X10*Y10</f>
        <v>117575.99770594429</v>
      </c>
    </row>
    <row r="11" spans="1:26">
      <c r="B11" s="169" t="s">
        <v>75</v>
      </c>
      <c r="C11" s="170"/>
      <c r="D11" s="165">
        <f>'[5]AHCS Salary Breakout'!B12</f>
        <v>48356.933422073991</v>
      </c>
      <c r="E11" s="166" t="s">
        <v>76</v>
      </c>
      <c r="F11" s="167"/>
      <c r="G11" s="167"/>
      <c r="H11" s="167"/>
      <c r="I11" s="167"/>
      <c r="J11" s="167"/>
      <c r="K11" s="168"/>
      <c r="M11" s="186" t="str">
        <f t="shared" si="0"/>
        <v>LPHA</v>
      </c>
      <c r="N11" s="179">
        <f>$D$8</f>
        <v>53772.035779272279</v>
      </c>
      <c r="O11" s="180">
        <f t="shared" si="1"/>
        <v>0.6</v>
      </c>
      <c r="P11" s="181">
        <f t="shared" si="5"/>
        <v>32263.221467563366</v>
      </c>
      <c r="Q11" s="174"/>
      <c r="R11" s="186" t="str">
        <f t="shared" si="2"/>
        <v>LPHA</v>
      </c>
      <c r="S11" s="179">
        <f>$D$8</f>
        <v>53772.035779272279</v>
      </c>
      <c r="T11" s="180">
        <f t="shared" si="3"/>
        <v>0.65</v>
      </c>
      <c r="U11" s="185">
        <f t="shared" si="6"/>
        <v>34951.823256526979</v>
      </c>
      <c r="V11" s="174"/>
      <c r="W11" s="187" t="str">
        <f t="shared" ref="W11:W19" si="8">R11</f>
        <v>LPHA</v>
      </c>
      <c r="X11" s="179">
        <f>$D$8</f>
        <v>53772.035779272279</v>
      </c>
      <c r="Y11" s="180">
        <f t="shared" si="4"/>
        <v>1.2999999999999998</v>
      </c>
      <c r="Z11" s="185">
        <f t="shared" si="7"/>
        <v>69903.646513053958</v>
      </c>
    </row>
    <row r="12" spans="1:26">
      <c r="B12" s="163" t="s">
        <v>77</v>
      </c>
      <c r="C12" s="164"/>
      <c r="D12" s="165">
        <f>'[5]AHCS Salary Breakout'!B27</f>
        <v>28224.841144193815</v>
      </c>
      <c r="E12" s="166" t="s">
        <v>78</v>
      </c>
      <c r="F12" s="167"/>
      <c r="G12" s="167"/>
      <c r="H12" s="167"/>
      <c r="I12" s="167"/>
      <c r="J12" s="167"/>
      <c r="K12" s="168"/>
      <c r="M12" s="186" t="str">
        <f t="shared" si="0"/>
        <v>APRN</v>
      </c>
      <c r="N12" s="179">
        <f>$D$9</f>
        <v>90483.887203019724</v>
      </c>
      <c r="O12" s="180">
        <f t="shared" si="1"/>
        <v>0.1</v>
      </c>
      <c r="P12" s="181">
        <f t="shared" si="5"/>
        <v>9048.3887203019731</v>
      </c>
      <c r="Q12" s="174"/>
      <c r="R12" s="186" t="str">
        <f t="shared" si="2"/>
        <v>APRN</v>
      </c>
      <c r="S12" s="179">
        <f>$D$9</f>
        <v>90483.887203019724</v>
      </c>
      <c r="T12" s="180">
        <f t="shared" si="3"/>
        <v>0.15000000000000002</v>
      </c>
      <c r="U12" s="185">
        <f t="shared" si="6"/>
        <v>13572.583080452961</v>
      </c>
      <c r="V12" s="174"/>
      <c r="W12" s="187" t="str">
        <f t="shared" si="8"/>
        <v>APRN</v>
      </c>
      <c r="X12" s="179">
        <f>$D$9</f>
        <v>90483.887203019724</v>
      </c>
      <c r="Y12" s="180">
        <f t="shared" si="4"/>
        <v>0.21666666666666667</v>
      </c>
      <c r="Z12" s="185">
        <f t="shared" si="7"/>
        <v>19604.84222732094</v>
      </c>
    </row>
    <row r="13" spans="1:26">
      <c r="B13" s="163" t="s">
        <v>79</v>
      </c>
      <c r="C13" s="164"/>
      <c r="D13" s="165">
        <f>'[5]AHCS Salary Breakout'!B27</f>
        <v>28224.841144193815</v>
      </c>
      <c r="E13" s="166" t="s">
        <v>78</v>
      </c>
      <c r="F13" s="167"/>
      <c r="G13" s="167"/>
      <c r="H13" s="167"/>
      <c r="I13" s="167"/>
      <c r="J13" s="167"/>
      <c r="K13" s="168"/>
      <c r="M13" s="186" t="str">
        <f t="shared" si="0"/>
        <v>RN</v>
      </c>
      <c r="N13" s="179">
        <f>$D$10</f>
        <v>62728.637696237201</v>
      </c>
      <c r="O13" s="180">
        <f t="shared" si="1"/>
        <v>0.5</v>
      </c>
      <c r="P13" s="181">
        <f t="shared" si="5"/>
        <v>31364.318848118601</v>
      </c>
      <c r="Q13" s="174"/>
      <c r="R13" s="186" t="str">
        <f t="shared" si="2"/>
        <v>RN</v>
      </c>
      <c r="S13" s="179">
        <f>$D$10</f>
        <v>62728.637696237201</v>
      </c>
      <c r="T13" s="180">
        <f t="shared" si="3"/>
        <v>0.55000000000000004</v>
      </c>
      <c r="U13" s="185">
        <f t="shared" si="6"/>
        <v>34500.750732930464</v>
      </c>
      <c r="V13" s="174"/>
      <c r="W13" s="187" t="str">
        <f t="shared" si="8"/>
        <v>RN</v>
      </c>
      <c r="X13" s="179">
        <f>$D$10</f>
        <v>62728.637696237201</v>
      </c>
      <c r="Y13" s="180">
        <f t="shared" si="4"/>
        <v>1.0833333333333333</v>
      </c>
      <c r="Z13" s="185">
        <f t="shared" si="7"/>
        <v>67956.024170923629</v>
      </c>
    </row>
    <row r="14" spans="1:26">
      <c r="B14" s="163" t="s">
        <v>80</v>
      </c>
      <c r="C14" s="164"/>
      <c r="D14" s="165">
        <f>'[5]AHCS Salary Breakout'!B27</f>
        <v>28224.841144193815</v>
      </c>
      <c r="E14" s="166" t="s">
        <v>78</v>
      </c>
      <c r="F14" s="167"/>
      <c r="G14" s="167"/>
      <c r="H14" s="167"/>
      <c r="I14" s="167"/>
      <c r="J14" s="167"/>
      <c r="K14" s="168"/>
      <c r="M14" s="186" t="str">
        <f t="shared" si="0"/>
        <v>LPN</v>
      </c>
      <c r="N14" s="179">
        <f>$D$11</f>
        <v>48356.933422073991</v>
      </c>
      <c r="O14" s="180">
        <f t="shared" si="1"/>
        <v>0.5</v>
      </c>
      <c r="P14" s="181">
        <f t="shared" si="5"/>
        <v>24178.466711036996</v>
      </c>
      <c r="Q14" s="174"/>
      <c r="R14" s="186" t="str">
        <f t="shared" si="2"/>
        <v>LPN</v>
      </c>
      <c r="S14" s="179">
        <f>$D$11</f>
        <v>48356.933422073991</v>
      </c>
      <c r="T14" s="180">
        <f t="shared" si="3"/>
        <v>0.55000000000000004</v>
      </c>
      <c r="U14" s="185">
        <f t="shared" si="6"/>
        <v>26596.313382140695</v>
      </c>
      <c r="V14" s="174"/>
      <c r="W14" s="187" t="str">
        <f t="shared" si="8"/>
        <v>LPN</v>
      </c>
      <c r="X14" s="179">
        <f>$D$11</f>
        <v>48356.933422073991</v>
      </c>
      <c r="Y14" s="180">
        <f t="shared" si="4"/>
        <v>1.0833333333333333</v>
      </c>
      <c r="Z14" s="185">
        <f t="shared" si="7"/>
        <v>52386.67787391349</v>
      </c>
    </row>
    <row r="15" spans="1:26">
      <c r="B15" s="163" t="s">
        <v>81</v>
      </c>
      <c r="C15" s="164"/>
      <c r="D15" s="165">
        <f>'[5]AHCS Salary Breakout'!B27</f>
        <v>28224.841144193815</v>
      </c>
      <c r="E15" s="166" t="s">
        <v>78</v>
      </c>
      <c r="F15" s="167"/>
      <c r="G15" s="167"/>
      <c r="H15" s="167"/>
      <c r="I15" s="167"/>
      <c r="J15" s="167"/>
      <c r="K15" s="168"/>
      <c r="M15" s="186" t="str">
        <f t="shared" si="0"/>
        <v>DC Blend (I + II )</v>
      </c>
      <c r="N15" s="179">
        <f>$D$12</f>
        <v>28224.841144193815</v>
      </c>
      <c r="O15" s="180">
        <f t="shared" si="1"/>
        <v>4.2</v>
      </c>
      <c r="P15" s="181">
        <f t="shared" si="5"/>
        <v>118544.33280561403</v>
      </c>
      <c r="Q15" s="174"/>
      <c r="R15" s="186" t="str">
        <f t="shared" si="2"/>
        <v>DC Blend (I + II )</v>
      </c>
      <c r="S15" s="179">
        <f>$D$12</f>
        <v>28224.841144193815</v>
      </c>
      <c r="T15" s="180">
        <f t="shared" si="3"/>
        <v>5.4600000000000009</v>
      </c>
      <c r="U15" s="185">
        <f t="shared" si="6"/>
        <v>154107.63264729825</v>
      </c>
      <c r="V15" s="174"/>
      <c r="W15" s="187" t="str">
        <f t="shared" si="8"/>
        <v>DC Blend (I + II )</v>
      </c>
      <c r="X15" s="179">
        <f>$D$12</f>
        <v>28224.841144193815</v>
      </c>
      <c r="Y15" s="180">
        <f t="shared" si="4"/>
        <v>9.1000000000000014</v>
      </c>
      <c r="Z15" s="185">
        <f t="shared" si="7"/>
        <v>256846.05441216376</v>
      </c>
    </row>
    <row r="16" spans="1:26" ht="15" customHeight="1">
      <c r="B16" s="188" t="s">
        <v>82</v>
      </c>
      <c r="C16" s="189"/>
      <c r="D16" s="190">
        <f>'[5]AHCS Salary Breakout'!B29</f>
        <v>27811.316309872502</v>
      </c>
      <c r="E16" s="166" t="s">
        <v>83</v>
      </c>
      <c r="F16" s="191"/>
      <c r="G16" s="191"/>
      <c r="H16" s="191"/>
      <c r="I16" s="191"/>
      <c r="J16" s="191"/>
      <c r="K16" s="192"/>
      <c r="M16" s="186" t="str">
        <f>B13</f>
        <v>Relief</v>
      </c>
      <c r="N16" s="179">
        <f>$D$13</f>
        <v>28224.841144193815</v>
      </c>
      <c r="O16" s="180">
        <f t="shared" si="1"/>
        <v>1.1242000000000001</v>
      </c>
      <c r="P16" s="181">
        <f>N16*O16</f>
        <v>31730.366414302691</v>
      </c>
      <c r="Q16" s="193"/>
      <c r="R16" s="186" t="str">
        <f>M16</f>
        <v>Relief</v>
      </c>
      <c r="S16" s="179">
        <f>$D$13</f>
        <v>28224.841144193815</v>
      </c>
      <c r="T16" s="180">
        <f t="shared" si="3"/>
        <v>1.6724400000000001</v>
      </c>
      <c r="U16" s="185">
        <f>S16*T16</f>
        <v>47204.353323195508</v>
      </c>
      <c r="V16" s="193"/>
      <c r="W16" s="187" t="str">
        <f>R16</f>
        <v>Relief</v>
      </c>
      <c r="X16" s="179">
        <f>$D$13</f>
        <v>28224.841144193815</v>
      </c>
      <c r="Y16" s="180">
        <f t="shared" si="4"/>
        <v>3.6934333333333336</v>
      </c>
      <c r="Z16" s="185">
        <f>X16*Y16</f>
        <v>104246.56911000358</v>
      </c>
    </row>
    <row r="17" spans="2:30">
      <c r="B17" s="194"/>
      <c r="C17" s="195" t="s">
        <v>84</v>
      </c>
      <c r="D17" s="196" t="s">
        <v>85</v>
      </c>
      <c r="E17" s="196" t="s">
        <v>86</v>
      </c>
      <c r="F17" s="196" t="s">
        <v>87</v>
      </c>
      <c r="G17" s="197"/>
      <c r="H17" s="197"/>
      <c r="I17" s="197"/>
      <c r="J17" s="197"/>
      <c r="K17" s="198"/>
      <c r="M17" s="186" t="str">
        <f>B14</f>
        <v>DC Blend (I + II ) Mobile</v>
      </c>
      <c r="N17" s="179">
        <f>$D$14</f>
        <v>28224.841144193815</v>
      </c>
      <c r="O17" s="180">
        <f t="shared" si="1"/>
        <v>1.4</v>
      </c>
      <c r="P17" s="181">
        <f t="shared" si="5"/>
        <v>39514.777601871341</v>
      </c>
      <c r="Q17" s="174"/>
      <c r="R17" s="186" t="str">
        <f t="shared" si="2"/>
        <v>DC Blend (I + II ) Mobile</v>
      </c>
      <c r="S17" s="179">
        <f>$D$14</f>
        <v>28224.841144193815</v>
      </c>
      <c r="T17" s="180">
        <f t="shared" si="3"/>
        <v>3.5</v>
      </c>
      <c r="U17" s="185">
        <f t="shared" si="6"/>
        <v>98786.944004678357</v>
      </c>
      <c r="V17" s="174"/>
      <c r="W17" s="187" t="str">
        <f t="shared" si="8"/>
        <v>DC Blend (I + II ) Mobile</v>
      </c>
      <c r="X17" s="179">
        <f>$D$14</f>
        <v>28224.841144193815</v>
      </c>
      <c r="Y17" s="180">
        <f t="shared" si="4"/>
        <v>11.2</v>
      </c>
      <c r="Z17" s="185">
        <f t="shared" si="7"/>
        <v>316118.22081497073</v>
      </c>
    </row>
    <row r="18" spans="2:30">
      <c r="B18" s="199" t="s">
        <v>88</v>
      </c>
      <c r="C18" s="200" t="s">
        <v>89</v>
      </c>
      <c r="D18" s="201">
        <v>6</v>
      </c>
      <c r="E18" s="202">
        <v>9</v>
      </c>
      <c r="F18" s="201">
        <v>13</v>
      </c>
      <c r="G18" s="165"/>
      <c r="H18" s="165"/>
      <c r="I18" s="165"/>
      <c r="J18" s="165"/>
      <c r="K18" s="203"/>
      <c r="M18" s="186" t="str">
        <f>B15</f>
        <v>Peer &amp; Family Specialist</v>
      </c>
      <c r="N18" s="179">
        <f>$D$15</f>
        <v>28224.841144193815</v>
      </c>
      <c r="O18" s="180">
        <f t="shared" si="1"/>
        <v>0.4</v>
      </c>
      <c r="P18" s="181">
        <f t="shared" si="5"/>
        <v>11289.936457677526</v>
      </c>
      <c r="Q18" s="204"/>
      <c r="R18" s="186" t="str">
        <f t="shared" si="2"/>
        <v>Peer &amp; Family Specialist</v>
      </c>
      <c r="S18" s="179">
        <f>$D$15</f>
        <v>28224.841144193815</v>
      </c>
      <c r="T18" s="180">
        <f t="shared" si="3"/>
        <v>0.52</v>
      </c>
      <c r="U18" s="185">
        <f t="shared" si="6"/>
        <v>14676.917394980785</v>
      </c>
      <c r="V18" s="204"/>
      <c r="W18" s="187" t="str">
        <f t="shared" si="8"/>
        <v>Peer &amp; Family Specialist</v>
      </c>
      <c r="X18" s="179">
        <f>$D$15</f>
        <v>28224.841144193815</v>
      </c>
      <c r="Y18" s="180">
        <f t="shared" si="4"/>
        <v>0.8666666666666667</v>
      </c>
      <c r="Z18" s="185">
        <f t="shared" si="7"/>
        <v>24461.528991634641</v>
      </c>
    </row>
    <row r="19" spans="2:30">
      <c r="B19" s="199"/>
      <c r="C19" s="205" t="s">
        <v>90</v>
      </c>
      <c r="D19" s="206">
        <v>4</v>
      </c>
      <c r="E19" s="207">
        <v>10</v>
      </c>
      <c r="F19" s="207">
        <v>32</v>
      </c>
      <c r="G19" s="165"/>
      <c r="H19" s="165"/>
      <c r="I19" s="165"/>
      <c r="J19" s="165"/>
      <c r="K19" s="203"/>
      <c r="M19" s="208" t="str">
        <f>B16</f>
        <v>Clerical Support</v>
      </c>
      <c r="N19" s="209">
        <f>$D$16</f>
        <v>27811.316309872502</v>
      </c>
      <c r="O19" s="180">
        <f t="shared" si="1"/>
        <v>0.25</v>
      </c>
      <c r="P19" s="181">
        <f t="shared" si="5"/>
        <v>6952.8290774681254</v>
      </c>
      <c r="Q19" s="210"/>
      <c r="R19" s="208" t="str">
        <f t="shared" si="2"/>
        <v>Clerical Support</v>
      </c>
      <c r="S19" s="209">
        <f>$D$16</f>
        <v>27811.316309872502</v>
      </c>
      <c r="T19" s="180">
        <f t="shared" si="3"/>
        <v>0.32500000000000001</v>
      </c>
      <c r="U19" s="185">
        <f t="shared" si="6"/>
        <v>9038.6778007085632</v>
      </c>
      <c r="V19" s="210"/>
      <c r="W19" s="211" t="str">
        <f t="shared" si="8"/>
        <v>Clerical Support</v>
      </c>
      <c r="X19" s="209">
        <f>$D$16</f>
        <v>27811.316309872502</v>
      </c>
      <c r="Y19" s="180">
        <f t="shared" si="4"/>
        <v>0.54166666666666663</v>
      </c>
      <c r="Z19" s="185">
        <f t="shared" si="7"/>
        <v>15064.463001180937</v>
      </c>
    </row>
    <row r="20" spans="2:30">
      <c r="B20" s="163" t="s">
        <v>58</v>
      </c>
      <c r="C20" s="164"/>
      <c r="D20" s="212">
        <v>0.05</v>
      </c>
      <c r="E20" s="212">
        <f>D20</f>
        <v>0.05</v>
      </c>
      <c r="F20" s="212">
        <f>D20/$D$18*$F$18</f>
        <v>0.10833333333333334</v>
      </c>
      <c r="G20" s="213" t="s">
        <v>91</v>
      </c>
      <c r="H20" s="167"/>
      <c r="I20" s="167"/>
      <c r="J20" s="167"/>
      <c r="K20" s="168"/>
      <c r="M20" s="214" t="s">
        <v>92</v>
      </c>
      <c r="N20" s="215"/>
      <c r="O20" s="216">
        <f>SUM(O9:O19)</f>
        <v>10.124200000000002</v>
      </c>
      <c r="P20" s="217">
        <f>SUM(P9:P19)</f>
        <v>362931.92866764753</v>
      </c>
      <c r="Q20" s="193"/>
      <c r="R20" s="218" t="s">
        <v>92</v>
      </c>
      <c r="S20" s="219"/>
      <c r="T20" s="220">
        <f>SUM(T9:T19)</f>
        <v>14.577439999999999</v>
      </c>
      <c r="U20" s="221">
        <f>SUM(U9:U19)</f>
        <v>499621.16295086307</v>
      </c>
      <c r="V20" s="193"/>
      <c r="W20" s="218" t="s">
        <v>92</v>
      </c>
      <c r="X20" s="219"/>
      <c r="Y20" s="220">
        <f>SUM(Y9:Y19)</f>
        <v>31.360100000000003</v>
      </c>
      <c r="Z20" s="221">
        <f>SUM(Z9:Z19)</f>
        <v>1052352.8233365002</v>
      </c>
      <c r="AD20" s="184"/>
    </row>
    <row r="21" spans="2:30">
      <c r="B21" s="163" t="s">
        <v>62</v>
      </c>
      <c r="C21" s="164"/>
      <c r="D21" s="212">
        <v>1</v>
      </c>
      <c r="E21" s="212">
        <f>D21*1.15</f>
        <v>1.1499999999999999</v>
      </c>
      <c r="F21" s="212">
        <f t="shared" ref="F21:F30" si="9">D21/$D$18*$F$18</f>
        <v>2.1666666666666665</v>
      </c>
      <c r="G21" s="213" t="s">
        <v>91</v>
      </c>
      <c r="H21" s="167"/>
      <c r="I21" s="167"/>
      <c r="J21" s="167"/>
      <c r="K21" s="222"/>
      <c r="M21" s="223"/>
      <c r="N21" s="224"/>
      <c r="O21" s="225"/>
      <c r="P21" s="226"/>
      <c r="Q21" s="227"/>
      <c r="R21" s="228"/>
      <c r="S21" s="224"/>
      <c r="T21" s="229"/>
      <c r="U21" s="230"/>
      <c r="V21" s="227"/>
      <c r="W21" s="228"/>
      <c r="X21" s="224"/>
      <c r="Y21" s="229"/>
      <c r="Z21" s="230"/>
    </row>
    <row r="22" spans="2:30">
      <c r="B22" s="169" t="s">
        <v>65</v>
      </c>
      <c r="C22" s="170"/>
      <c r="D22" s="212">
        <v>0.6</v>
      </c>
      <c r="E22" s="212">
        <f>D22+0.05</f>
        <v>0.65</v>
      </c>
      <c r="F22" s="212">
        <f t="shared" si="9"/>
        <v>1.2999999999999998</v>
      </c>
      <c r="G22" s="213" t="s">
        <v>91</v>
      </c>
      <c r="H22" s="167"/>
      <c r="I22" s="167"/>
      <c r="J22" s="167"/>
      <c r="K22" s="168"/>
      <c r="M22" s="231" t="s">
        <v>93</v>
      </c>
      <c r="N22" s="232">
        <f>$D$33</f>
        <v>0.22602863541922683</v>
      </c>
      <c r="O22" s="210"/>
      <c r="P22" s="233">
        <f>N22*P20</f>
        <v>82033.008586816533</v>
      </c>
      <c r="Q22" s="227"/>
      <c r="R22" s="234" t="s">
        <v>93</v>
      </c>
      <c r="S22" s="232">
        <f>$D$33</f>
        <v>0.22602863541922683</v>
      </c>
      <c r="T22" s="235"/>
      <c r="U22" s="236">
        <f>S22*U20</f>
        <v>112928.68968835074</v>
      </c>
      <c r="V22" s="227"/>
      <c r="W22" s="234" t="s">
        <v>93</v>
      </c>
      <c r="X22" s="232">
        <f>$D$33</f>
        <v>0.22602863541922683</v>
      </c>
      <c r="Y22" s="235"/>
      <c r="Z22" s="236">
        <f>X22*Z20</f>
        <v>237861.87263831982</v>
      </c>
    </row>
    <row r="23" spans="2:30" ht="15" thickBot="1">
      <c r="B23" s="169" t="s">
        <v>71</v>
      </c>
      <c r="C23" s="170"/>
      <c r="D23" s="212">
        <v>0.1</v>
      </c>
      <c r="E23" s="212">
        <f>D23+0.05</f>
        <v>0.15000000000000002</v>
      </c>
      <c r="F23" s="212">
        <f t="shared" si="9"/>
        <v>0.21666666666666667</v>
      </c>
      <c r="G23" s="213" t="s">
        <v>91</v>
      </c>
      <c r="H23" s="167"/>
      <c r="I23" s="167"/>
      <c r="J23" s="167"/>
      <c r="K23" s="168"/>
      <c r="M23" s="237" t="s">
        <v>94</v>
      </c>
      <c r="N23" s="238"/>
      <c r="O23" s="239"/>
      <c r="P23" s="240">
        <f>P20+P22</f>
        <v>444964.93725446408</v>
      </c>
      <c r="Q23" s="193"/>
      <c r="R23" s="241" t="s">
        <v>94</v>
      </c>
      <c r="S23" s="238"/>
      <c r="T23" s="242"/>
      <c r="U23" s="243">
        <f>U20+U22</f>
        <v>612549.85263921379</v>
      </c>
      <c r="V23" s="193"/>
      <c r="W23" s="241" t="s">
        <v>94</v>
      </c>
      <c r="X23" s="238"/>
      <c r="Y23" s="242"/>
      <c r="Z23" s="243">
        <f>Z20+Z22</f>
        <v>1290214.6959748201</v>
      </c>
    </row>
    <row r="24" spans="2:30" ht="15" thickTop="1">
      <c r="B24" s="169" t="s">
        <v>73</v>
      </c>
      <c r="C24" s="170"/>
      <c r="D24" s="212">
        <v>0.5</v>
      </c>
      <c r="E24" s="212">
        <f t="shared" ref="E24:E25" si="10">D24+0.05</f>
        <v>0.55000000000000004</v>
      </c>
      <c r="F24" s="212">
        <f t="shared" si="9"/>
        <v>1.0833333333333333</v>
      </c>
      <c r="G24" s="213" t="s">
        <v>91</v>
      </c>
      <c r="H24" s="167"/>
      <c r="I24" s="167"/>
      <c r="J24" s="167"/>
      <c r="K24" s="168"/>
      <c r="M24" s="244"/>
      <c r="N24" s="245"/>
      <c r="O24" s="246"/>
      <c r="P24" s="247"/>
      <c r="Q24" s="193"/>
      <c r="R24" s="244"/>
      <c r="S24" s="245"/>
      <c r="T24" s="246"/>
      <c r="U24" s="247"/>
      <c r="V24" s="193"/>
      <c r="W24" s="244"/>
      <c r="X24" s="245"/>
      <c r="Y24" s="246"/>
      <c r="Z24" s="247"/>
    </row>
    <row r="25" spans="2:30" ht="15" customHeight="1">
      <c r="B25" s="169" t="s">
        <v>75</v>
      </c>
      <c r="C25" s="170"/>
      <c r="D25" s="212">
        <v>0.5</v>
      </c>
      <c r="E25" s="212">
        <f t="shared" si="10"/>
        <v>0.55000000000000004</v>
      </c>
      <c r="F25" s="212">
        <f t="shared" si="9"/>
        <v>1.0833333333333333</v>
      </c>
      <c r="G25" s="213" t="s">
        <v>91</v>
      </c>
      <c r="H25" s="167"/>
      <c r="I25" s="167"/>
      <c r="J25" s="167"/>
      <c r="K25" s="168"/>
      <c r="M25" s="244" t="s">
        <v>95</v>
      </c>
      <c r="N25" s="245"/>
      <c r="O25" s="142"/>
      <c r="P25" s="247"/>
      <c r="Q25" s="193"/>
      <c r="R25" s="244" t="s">
        <v>95</v>
      </c>
      <c r="S25" s="245"/>
      <c r="T25" s="142"/>
      <c r="U25" s="247"/>
      <c r="V25" s="193"/>
      <c r="W25" s="244" t="s">
        <v>95</v>
      </c>
      <c r="X25" s="245"/>
      <c r="Y25" s="142"/>
      <c r="Z25" s="247"/>
    </row>
    <row r="26" spans="2:30">
      <c r="B26" s="163" t="s">
        <v>96</v>
      </c>
      <c r="C26" s="164"/>
      <c r="D26" s="212">
        <v>4.2</v>
      </c>
      <c r="E26" s="212">
        <f>D26*1.3</f>
        <v>5.4600000000000009</v>
      </c>
      <c r="F26" s="212">
        <f t="shared" si="9"/>
        <v>9.1000000000000014</v>
      </c>
      <c r="G26" s="213" t="s">
        <v>91</v>
      </c>
      <c r="H26" s="167"/>
      <c r="I26" s="167"/>
      <c r="J26" s="167"/>
      <c r="K26" s="168"/>
      <c r="M26" s="231" t="str">
        <f>B34</f>
        <v xml:space="preserve">Occupancy </v>
      </c>
      <c r="N26" s="225"/>
      <c r="O26" s="179">
        <f>D34</f>
        <v>51201.5</v>
      </c>
      <c r="P26" s="233">
        <f>O26</f>
        <v>51201.5</v>
      </c>
      <c r="Q26" s="193"/>
      <c r="R26" s="231" t="str">
        <f>M26</f>
        <v xml:space="preserve">Occupancy </v>
      </c>
      <c r="S26" s="225"/>
      <c r="T26" s="179">
        <f>O26</f>
        <v>51201.5</v>
      </c>
      <c r="U26" s="233">
        <f>T26*1.3</f>
        <v>66561.95</v>
      </c>
      <c r="V26" s="193"/>
      <c r="W26" s="231" t="str">
        <f>M26</f>
        <v xml:space="preserve">Occupancy </v>
      </c>
      <c r="X26" s="225"/>
      <c r="Y26" s="179">
        <f>O26</f>
        <v>51201.5</v>
      </c>
      <c r="Z26" s="248">
        <f>Y26*1.75</f>
        <v>89602.625</v>
      </c>
    </row>
    <row r="27" spans="2:30" ht="24" customHeight="1">
      <c r="B27" s="163" t="s">
        <v>79</v>
      </c>
      <c r="C27" s="164"/>
      <c r="D27" s="212">
        <f>SUM(D22:D26,D28)*15.4%</f>
        <v>1.1242000000000001</v>
      </c>
      <c r="E27" s="212">
        <f t="shared" ref="E27:F27" si="11">SUM(E22:E26,E28)*15.4%</f>
        <v>1.6724400000000001</v>
      </c>
      <c r="F27" s="212">
        <f t="shared" si="11"/>
        <v>3.6934333333333336</v>
      </c>
      <c r="G27" s="832" t="s">
        <v>127</v>
      </c>
      <c r="H27" s="833"/>
      <c r="I27" s="833"/>
      <c r="J27" s="833"/>
      <c r="K27" s="834"/>
      <c r="M27" s="231" t="str">
        <f>B35</f>
        <v>Mobile Transportation (per Mobile DC FTE)</v>
      </c>
      <c r="N27" s="210"/>
      <c r="O27" s="179">
        <f>D35</f>
        <v>3285</v>
      </c>
      <c r="P27" s="233">
        <f>O27*O17</f>
        <v>4599</v>
      </c>
      <c r="Q27" s="193"/>
      <c r="R27" s="231" t="str">
        <f>M27</f>
        <v>Mobile Transportation (per Mobile DC FTE)</v>
      </c>
      <c r="S27" s="210"/>
      <c r="T27" s="179">
        <f>$D$35</f>
        <v>3285</v>
      </c>
      <c r="U27" s="181">
        <f>T27*T17</f>
        <v>11497.5</v>
      </c>
      <c r="V27" s="193"/>
      <c r="W27" s="231" t="str">
        <f>B35</f>
        <v>Mobile Transportation (per Mobile DC FTE)</v>
      </c>
      <c r="X27" s="210"/>
      <c r="Y27" s="179">
        <f>$D$35</f>
        <v>3285</v>
      </c>
      <c r="Z27" s="233">
        <f>Y27*Y17</f>
        <v>36792</v>
      </c>
    </row>
    <row r="28" spans="2:30" ht="14.25" customHeight="1">
      <c r="B28" s="163" t="s">
        <v>80</v>
      </c>
      <c r="C28" s="164"/>
      <c r="D28" s="212">
        <v>1.4</v>
      </c>
      <c r="E28" s="212">
        <f>D28*2.5</f>
        <v>3.5</v>
      </c>
      <c r="F28" s="212">
        <f>D28/D19*F19</f>
        <v>11.2</v>
      </c>
      <c r="G28" s="213" t="s">
        <v>91</v>
      </c>
      <c r="H28" s="167"/>
      <c r="I28" s="167"/>
      <c r="J28" s="167"/>
      <c r="K28" s="168"/>
      <c r="M28" s="249" t="str">
        <f>B36</f>
        <v>Meals (per bed day)</v>
      </c>
      <c r="N28" s="210"/>
      <c r="O28" s="250">
        <f>D36</f>
        <v>8.16</v>
      </c>
      <c r="P28" s="233">
        <f>O28*P6</f>
        <v>17870.400000000001</v>
      </c>
      <c r="Q28" s="193"/>
      <c r="R28" s="249" t="str">
        <f>B36</f>
        <v>Meals (per bed day)</v>
      </c>
      <c r="S28" s="210"/>
      <c r="T28" s="250">
        <f>D36</f>
        <v>8.16</v>
      </c>
      <c r="U28" s="181">
        <f>T28*U6</f>
        <v>26805.600000000002</v>
      </c>
      <c r="V28" s="193"/>
      <c r="W28" s="249" t="str">
        <f>B36</f>
        <v>Meals (per bed day)</v>
      </c>
      <c r="X28" s="210"/>
      <c r="Y28" s="250">
        <f>$D$36</f>
        <v>8.16</v>
      </c>
      <c r="Z28" s="181">
        <f>Y28*Z6</f>
        <v>38719.199999999997</v>
      </c>
      <c r="AC28" s="184"/>
    </row>
    <row r="29" spans="2:30">
      <c r="B29" s="163" t="s">
        <v>81</v>
      </c>
      <c r="C29" s="164"/>
      <c r="D29" s="212">
        <v>0.4</v>
      </c>
      <c r="E29" s="212">
        <f>D29*1.3</f>
        <v>0.52</v>
      </c>
      <c r="F29" s="212">
        <f t="shared" si="9"/>
        <v>0.8666666666666667</v>
      </c>
      <c r="G29" s="213" t="s">
        <v>91</v>
      </c>
      <c r="H29" s="167"/>
      <c r="I29" s="167"/>
      <c r="J29" s="167"/>
      <c r="K29" s="168"/>
      <c r="M29" s="231" t="str">
        <f>B37</f>
        <v>Other Expenses (per FTE)</v>
      </c>
      <c r="N29" s="210"/>
      <c r="O29" s="179">
        <f>D37</f>
        <v>1668.9958313837251</v>
      </c>
      <c r="P29" s="233">
        <f>O29*O20</f>
        <v>16897.247596095112</v>
      </c>
      <c r="Q29" s="251"/>
      <c r="R29" s="231" t="str">
        <f>B37</f>
        <v>Other Expenses (per FTE)</v>
      </c>
      <c r="S29" s="210"/>
      <c r="T29" s="179">
        <f>$D$37</f>
        <v>1668.9958313837251</v>
      </c>
      <c r="U29" s="233">
        <f>T29*T20</f>
        <v>24329.686592246369</v>
      </c>
      <c r="V29" s="251"/>
      <c r="W29" s="231" t="str">
        <f>B37</f>
        <v>Other Expenses (per FTE)</v>
      </c>
      <c r="X29" s="210"/>
      <c r="Y29" s="179">
        <f>$D$37</f>
        <v>1668.9958313837251</v>
      </c>
      <c r="Z29" s="233">
        <f>Y29*Y20</f>
        <v>52339.876171776763</v>
      </c>
    </row>
    <row r="30" spans="2:30">
      <c r="B30" s="163" t="str">
        <f>B16</f>
        <v>Clerical Support</v>
      </c>
      <c r="C30" s="164"/>
      <c r="D30" s="212">
        <v>0.25</v>
      </c>
      <c r="E30" s="212">
        <f>D30*1.3</f>
        <v>0.32500000000000001</v>
      </c>
      <c r="F30" s="212">
        <f t="shared" si="9"/>
        <v>0.54166666666666663</v>
      </c>
      <c r="G30" s="213" t="s">
        <v>91</v>
      </c>
      <c r="H30" s="167"/>
      <c r="I30" s="167"/>
      <c r="J30" s="167"/>
      <c r="K30" s="168"/>
      <c r="M30" s="252" t="str">
        <f>B38</f>
        <v>Direct Admin Expenses (per FTE)</v>
      </c>
      <c r="N30" s="253"/>
      <c r="O30" s="209">
        <f>$D$38</f>
        <v>1121.0773320855844</v>
      </c>
      <c r="P30" s="254">
        <f>O30*O20</f>
        <v>11350.011125500876</v>
      </c>
      <c r="Q30" s="255"/>
      <c r="R30" s="252" t="str">
        <f>B38</f>
        <v>Direct Admin Expenses (per FTE)</v>
      </c>
      <c r="S30" s="253"/>
      <c r="T30" s="209">
        <f>$D$38</f>
        <v>1121.0773320855844</v>
      </c>
      <c r="U30" s="254">
        <f>T30*T20</f>
        <v>16342.437543837681</v>
      </c>
      <c r="V30" s="255"/>
      <c r="W30" s="252" t="str">
        <f>B38</f>
        <v>Direct Admin Expenses (per FTE)</v>
      </c>
      <c r="X30" s="253"/>
      <c r="Y30" s="209">
        <f>$D$38</f>
        <v>1121.0773320855844</v>
      </c>
      <c r="Z30" s="254">
        <f>Y30*Y20</f>
        <v>35157.097241937139</v>
      </c>
    </row>
    <row r="31" spans="2:30">
      <c r="B31" s="835" t="s">
        <v>97</v>
      </c>
      <c r="C31" s="836"/>
      <c r="D31" s="256">
        <f>SUM(D20:D30)</f>
        <v>10.124200000000002</v>
      </c>
      <c r="E31" s="256">
        <f>SUM(E20:E30)</f>
        <v>14.577439999999999</v>
      </c>
      <c r="F31" s="256">
        <f>SUM(F20:F30)</f>
        <v>31.360100000000003</v>
      </c>
      <c r="G31" s="197"/>
      <c r="H31" s="197"/>
      <c r="I31" s="197"/>
      <c r="J31" s="197"/>
      <c r="K31" s="198"/>
      <c r="M31" s="223" t="s">
        <v>98</v>
      </c>
      <c r="N31" s="210"/>
      <c r="O31" s="257"/>
      <c r="P31" s="258">
        <f>SUM(P25:P30)</f>
        <v>101918.15872159599</v>
      </c>
      <c r="Q31" s="259"/>
      <c r="R31" s="228" t="s">
        <v>98</v>
      </c>
      <c r="S31" s="210"/>
      <c r="T31" s="260"/>
      <c r="U31" s="258">
        <f>SUM(U25:U30)</f>
        <v>145537.17413608404</v>
      </c>
      <c r="V31" s="259"/>
      <c r="W31" s="228" t="s">
        <v>98</v>
      </c>
      <c r="X31" s="210"/>
      <c r="Y31" s="261"/>
      <c r="Z31" s="258">
        <f>SUM(Z25:Z30)</f>
        <v>252610.79841371393</v>
      </c>
    </row>
    <row r="32" spans="2:30" ht="15.75" customHeight="1">
      <c r="B32" s="819" t="s">
        <v>99</v>
      </c>
      <c r="C32" s="820"/>
      <c r="D32" s="820"/>
      <c r="E32" s="262"/>
      <c r="F32" s="263"/>
      <c r="G32" s="263"/>
      <c r="H32" s="263"/>
      <c r="I32" s="263"/>
      <c r="J32" s="263"/>
      <c r="K32" s="264"/>
      <c r="M32" s="231"/>
      <c r="N32" s="210"/>
      <c r="O32" s="265"/>
      <c r="P32" s="266"/>
      <c r="Q32" s="193"/>
      <c r="R32" s="234"/>
      <c r="S32" s="210"/>
      <c r="T32" s="267"/>
      <c r="U32" s="268"/>
      <c r="V32" s="193"/>
      <c r="W32" s="234"/>
      <c r="X32" s="210"/>
      <c r="Y32" s="267"/>
      <c r="Z32" s="268"/>
    </row>
    <row r="33" spans="2:26" ht="15" customHeight="1" thickBot="1">
      <c r="B33" s="269" t="s">
        <v>100</v>
      </c>
      <c r="C33" s="270"/>
      <c r="D33" s="271">
        <f>'[5]FY16 Contracts'!C42</f>
        <v>0.22602863541922683</v>
      </c>
      <c r="E33" s="272" t="s">
        <v>101</v>
      </c>
      <c r="F33" s="167"/>
      <c r="G33" s="167"/>
      <c r="H33" s="167"/>
      <c r="I33" s="167"/>
      <c r="J33" s="167"/>
      <c r="K33" s="168"/>
      <c r="M33" s="273" t="s">
        <v>102</v>
      </c>
      <c r="N33" s="274"/>
      <c r="O33" s="274"/>
      <c r="P33" s="275">
        <f>P23+P31</f>
        <v>546883.09597606002</v>
      </c>
      <c r="Q33" s="210"/>
      <c r="R33" s="276" t="s">
        <v>102</v>
      </c>
      <c r="S33" s="274"/>
      <c r="T33" s="277"/>
      <c r="U33" s="278">
        <f>U23+U31</f>
        <v>758087.02677529783</v>
      </c>
      <c r="V33" s="210"/>
      <c r="W33" s="276" t="s">
        <v>102</v>
      </c>
      <c r="X33" s="274"/>
      <c r="Y33" s="277"/>
      <c r="Z33" s="278">
        <f>Z23+Z31</f>
        <v>1542825.494388534</v>
      </c>
    </row>
    <row r="34" spans="2:26" ht="15" thickTop="1">
      <c r="B34" s="269" t="s">
        <v>103</v>
      </c>
      <c r="C34" s="270"/>
      <c r="D34" s="279">
        <f>'[5]FY16 Contracts'!BW14</f>
        <v>51201.5</v>
      </c>
      <c r="E34" s="280" t="s">
        <v>104</v>
      </c>
      <c r="F34" s="167"/>
      <c r="G34" s="167"/>
      <c r="H34" s="167"/>
      <c r="I34" s="167"/>
      <c r="J34" s="167"/>
      <c r="K34" s="168"/>
      <c r="M34" s="231" t="s">
        <v>105</v>
      </c>
      <c r="N34" s="281">
        <v>0.12</v>
      </c>
      <c r="O34" s="210"/>
      <c r="P34" s="233">
        <f>N34*P33</f>
        <v>65625.971517127196</v>
      </c>
      <c r="Q34" s="204"/>
      <c r="R34" s="234" t="s">
        <v>105</v>
      </c>
      <c r="S34" s="281">
        <v>0.12</v>
      </c>
      <c r="T34" s="235"/>
      <c r="U34" s="236">
        <f>S34*U33</f>
        <v>90970.443213035731</v>
      </c>
      <c r="V34" s="204"/>
      <c r="W34" s="234" t="s">
        <v>105</v>
      </c>
      <c r="X34" s="281">
        <v>0.12</v>
      </c>
      <c r="Y34" s="235"/>
      <c r="Z34" s="236">
        <f>X34*Z33</f>
        <v>185139.05932662406</v>
      </c>
    </row>
    <row r="35" spans="2:26">
      <c r="B35" s="269" t="s">
        <v>106</v>
      </c>
      <c r="C35" s="270"/>
      <c r="D35" s="282">
        <f>20*365*0.45</f>
        <v>3285</v>
      </c>
      <c r="E35" s="272" t="s">
        <v>107</v>
      </c>
      <c r="F35" s="167"/>
      <c r="G35" s="167"/>
      <c r="H35" s="167"/>
      <c r="I35" s="167"/>
      <c r="J35" s="167"/>
      <c r="K35" s="168"/>
      <c r="M35" s="231"/>
      <c r="N35" s="283"/>
      <c r="O35" s="210"/>
      <c r="P35" s="226"/>
      <c r="Q35" s="284"/>
      <c r="R35" s="231"/>
      <c r="S35" s="283"/>
      <c r="T35" s="210"/>
      <c r="U35" s="226"/>
      <c r="V35" s="284"/>
      <c r="W35" s="231"/>
      <c r="X35" s="283"/>
      <c r="Y35" s="210"/>
      <c r="Z35" s="226"/>
    </row>
    <row r="36" spans="2:26" ht="15" customHeight="1" thickBot="1">
      <c r="B36" s="269" t="s">
        <v>108</v>
      </c>
      <c r="C36" s="270"/>
      <c r="D36" s="285">
        <v>8.16</v>
      </c>
      <c r="E36" s="272" t="s">
        <v>109</v>
      </c>
      <c r="F36" s="167"/>
      <c r="G36" s="167"/>
      <c r="H36" s="167"/>
      <c r="I36" s="167"/>
      <c r="J36" s="167"/>
      <c r="K36" s="168"/>
      <c r="M36" s="273" t="s">
        <v>110</v>
      </c>
      <c r="N36" s="286"/>
      <c r="O36" s="287"/>
      <c r="P36" s="288">
        <f>P33+P34</f>
        <v>612509.06749318726</v>
      </c>
      <c r="Q36"/>
      <c r="R36" s="273" t="s">
        <v>110</v>
      </c>
      <c r="S36" s="286"/>
      <c r="T36" s="287"/>
      <c r="U36" s="288">
        <f>U33+U34</f>
        <v>849057.46998833353</v>
      </c>
      <c r="W36" s="273" t="s">
        <v>110</v>
      </c>
      <c r="X36" s="286"/>
      <c r="Y36" s="287"/>
      <c r="Z36" s="288">
        <f>Z33+Z34</f>
        <v>1727964.553715158</v>
      </c>
    </row>
    <row r="37" spans="2:26" ht="15" customHeight="1" thickTop="1">
      <c r="B37" s="269" t="s">
        <v>111</v>
      </c>
      <c r="C37" s="270"/>
      <c r="D37" s="282">
        <f>'[5]FY16 Contracts'!BI64</f>
        <v>1668.9958313837251</v>
      </c>
      <c r="E37" s="272" t="s">
        <v>101</v>
      </c>
      <c r="F37" s="167"/>
      <c r="G37" s="167"/>
      <c r="H37" s="167"/>
      <c r="I37" s="167"/>
      <c r="J37" s="167"/>
      <c r="K37" s="168"/>
      <c r="M37" s="231" t="s">
        <v>112</v>
      </c>
      <c r="N37" s="281">
        <f>$D$40</f>
        <v>5.4305515997341604E-2</v>
      </c>
      <c r="O37" s="210"/>
      <c r="P37" s="289">
        <f>P36*(1+N37)</f>
        <v>645771.68845645536</v>
      </c>
      <c r="Q37" s="290"/>
      <c r="R37" s="231" t="s">
        <v>112</v>
      </c>
      <c r="S37" s="281">
        <f>$D$40</f>
        <v>5.4305515997341604E-2</v>
      </c>
      <c r="T37" s="210"/>
      <c r="U37" s="289">
        <f>U36*(1+S37)</f>
        <v>895165.97400744737</v>
      </c>
      <c r="V37" s="290"/>
      <c r="W37" s="231" t="s">
        <v>112</v>
      </c>
      <c r="X37" s="281">
        <f>$D$40</f>
        <v>5.4305515997341604E-2</v>
      </c>
      <c r="Y37" s="210"/>
      <c r="Z37" s="289">
        <f>Z36*(1+X37)</f>
        <v>1821802.5604297756</v>
      </c>
    </row>
    <row r="38" spans="2:26" ht="15" thickBot="1">
      <c r="B38" s="269" t="s">
        <v>113</v>
      </c>
      <c r="C38" s="270"/>
      <c r="D38" s="282">
        <f>'[5]FY16 Contracts'!BI65</f>
        <v>1121.0773320855844</v>
      </c>
      <c r="E38" s="272" t="s">
        <v>101</v>
      </c>
      <c r="F38" s="167"/>
      <c r="G38" s="167"/>
      <c r="H38" s="167"/>
      <c r="I38" s="167"/>
      <c r="J38" s="167"/>
      <c r="K38" s="168"/>
      <c r="M38" s="231" t="s">
        <v>114</v>
      </c>
      <c r="N38" s="142"/>
      <c r="O38" s="291"/>
      <c r="P38" s="292">
        <f>P37/P6</f>
        <v>294.87291710340429</v>
      </c>
      <c r="Q38" s="293"/>
      <c r="R38" s="231" t="s">
        <v>114</v>
      </c>
      <c r="S38" s="142"/>
      <c r="T38" s="294"/>
      <c r="U38" s="295">
        <f>U37/U6</f>
        <v>272.50105753651366</v>
      </c>
      <c r="V38" s="293"/>
      <c r="W38" s="231" t="s">
        <v>114</v>
      </c>
      <c r="X38" s="142"/>
      <c r="Y38" s="294"/>
      <c r="Z38" s="295">
        <f>Z37/Z6</f>
        <v>383.94153012218663</v>
      </c>
    </row>
    <row r="39" spans="2:26" ht="15" thickBot="1">
      <c r="B39" s="296" t="s">
        <v>115</v>
      </c>
      <c r="C39" s="297"/>
      <c r="D39" s="271">
        <v>0.12</v>
      </c>
      <c r="E39" s="298" t="s">
        <v>116</v>
      </c>
      <c r="F39" s="191"/>
      <c r="G39" s="191"/>
      <c r="H39" s="191"/>
      <c r="I39" s="191"/>
      <c r="J39" s="191"/>
      <c r="K39" s="192"/>
      <c r="L39" s="146"/>
      <c r="M39" s="299" t="s">
        <v>117</v>
      </c>
      <c r="N39" s="300"/>
      <c r="O39" s="300"/>
      <c r="P39" s="301">
        <f>P37/12</f>
        <v>53814.30737137128</v>
      </c>
      <c r="Q39" s="293"/>
      <c r="R39" s="299" t="s">
        <v>117</v>
      </c>
      <c r="S39" s="300"/>
      <c r="T39" s="302"/>
      <c r="U39" s="301">
        <f>U37/12</f>
        <v>74597.164500620609</v>
      </c>
      <c r="V39" s="293"/>
      <c r="W39" s="299" t="s">
        <v>117</v>
      </c>
      <c r="X39" s="300"/>
      <c r="Y39" s="302"/>
      <c r="Z39" s="301">
        <f>Z37/12</f>
        <v>151816.88003581463</v>
      </c>
    </row>
    <row r="40" spans="2:26">
      <c r="B40" s="296" t="s">
        <v>118</v>
      </c>
      <c r="C40" s="297"/>
      <c r="D40" s="303">
        <f>'[5]Fall2016 CAF'!BJ39</f>
        <v>5.4305515997341604E-2</v>
      </c>
      <c r="E40" s="304" t="s">
        <v>119</v>
      </c>
      <c r="F40" s="305"/>
      <c r="G40" s="306"/>
      <c r="H40" s="306"/>
      <c r="I40" s="306"/>
      <c r="J40" s="306"/>
      <c r="K40" s="307"/>
      <c r="M40" s="225"/>
      <c r="N40" s="100"/>
      <c r="O40" s="100"/>
      <c r="P40" s="308"/>
      <c r="Q40" s="293"/>
      <c r="R40" s="293"/>
      <c r="S40" s="293"/>
      <c r="T40" s="293"/>
      <c r="U40" s="309"/>
      <c r="V40" s="293"/>
      <c r="W40" s="293"/>
      <c r="X40" s="293"/>
      <c r="Y40" s="293"/>
      <c r="Z40" s="309"/>
    </row>
    <row r="41" spans="2:26">
      <c r="M41" s="139"/>
      <c r="N41" s="139"/>
      <c r="O41" s="139"/>
      <c r="P41" s="139"/>
      <c r="Q41"/>
    </row>
    <row r="42" spans="2:26">
      <c r="C42" s="310"/>
      <c r="M42" s="311"/>
      <c r="N42" s="316"/>
      <c r="O42" s="317" t="s">
        <v>120</v>
      </c>
      <c r="P42" s="309">
        <v>53020.965880500058</v>
      </c>
      <c r="Q42" s="293"/>
      <c r="R42" s="293"/>
      <c r="S42" s="293"/>
      <c r="T42" s="293"/>
      <c r="U42" s="309">
        <v>72613.810773442572</v>
      </c>
      <c r="V42" s="293"/>
      <c r="W42" s="293"/>
      <c r="X42" s="293"/>
      <c r="Y42" s="293"/>
      <c r="Z42" s="309">
        <v>145470.14810884491</v>
      </c>
    </row>
    <row r="43" spans="2:26">
      <c r="B43" s="310"/>
      <c r="D43"/>
      <c r="M43" s="309"/>
      <c r="N43" s="316"/>
      <c r="O43" s="317" t="s">
        <v>121</v>
      </c>
      <c r="P43" s="309">
        <f>P39-P42</f>
        <v>793.34149087122205</v>
      </c>
      <c r="Q43" s="293"/>
      <c r="R43" s="293"/>
      <c r="S43" s="293"/>
      <c r="T43" s="293"/>
      <c r="U43" s="309">
        <f>U39-U42</f>
        <v>1983.3537271780369</v>
      </c>
      <c r="V43" s="293"/>
      <c r="W43" s="293"/>
      <c r="X43" s="293"/>
      <c r="Y43" s="293"/>
      <c r="Z43" s="309">
        <f>Z39-Z42</f>
        <v>6346.7319269697182</v>
      </c>
    </row>
    <row r="44" spans="2:26">
      <c r="B44" s="310"/>
      <c r="D44"/>
      <c r="M44" s="293"/>
      <c r="N44" s="316"/>
      <c r="O44" s="318" t="s">
        <v>122</v>
      </c>
      <c r="P44" s="309">
        <f>P43*12</f>
        <v>9520.0978904546646</v>
      </c>
      <c r="Q44" s="309"/>
      <c r="R44" s="309"/>
      <c r="S44" s="309"/>
      <c r="T44" s="319"/>
      <c r="U44" s="309">
        <f>U43*12</f>
        <v>23800.244726136443</v>
      </c>
      <c r="V44" s="309"/>
      <c r="W44" s="309"/>
      <c r="X44" s="309"/>
      <c r="Y44" s="309"/>
      <c r="Z44" s="309">
        <f>Z43*12</f>
        <v>76160.783123636618</v>
      </c>
    </row>
    <row r="45" spans="2:26">
      <c r="D45"/>
      <c r="Q45"/>
    </row>
    <row r="46" spans="2:26">
      <c r="Q46"/>
    </row>
    <row r="47" spans="2:26">
      <c r="Q47"/>
    </row>
    <row r="48" spans="2:26" ht="15.75" customHeight="1">
      <c r="H48" s="136"/>
      <c r="I48" s="312"/>
      <c r="J48" s="136"/>
      <c r="Q48"/>
    </row>
    <row r="49" spans="9:28" ht="15.75" customHeight="1">
      <c r="I49" s="313"/>
      <c r="N49" s="314"/>
      <c r="P49" s="137"/>
      <c r="Q49"/>
    </row>
    <row r="50" spans="9:28">
      <c r="I50" s="313"/>
      <c r="N50" s="314"/>
      <c r="P50" s="137"/>
      <c r="Q50"/>
    </row>
    <row r="51" spans="9:28">
      <c r="I51" s="313"/>
      <c r="N51" s="314"/>
      <c r="Q51"/>
    </row>
    <row r="64" spans="9:28">
      <c r="AB64" s="315"/>
    </row>
    <row r="65" spans="6:6">
      <c r="F65" s="136"/>
    </row>
    <row r="75" spans="6:6" ht="15" customHeight="1"/>
    <row r="84" ht="15" customHeight="1"/>
    <row r="89" ht="15" customHeight="1"/>
  </sheetData>
  <mergeCells count="9">
    <mergeCell ref="B32:D32"/>
    <mergeCell ref="B4:K4"/>
    <mergeCell ref="M4:P4"/>
    <mergeCell ref="R4:U4"/>
    <mergeCell ref="W4:Z4"/>
    <mergeCell ref="B5:D5"/>
    <mergeCell ref="E5:K5"/>
    <mergeCell ref="G27:K27"/>
    <mergeCell ref="B31:C31"/>
  </mergeCells>
  <pageMargins left="0.2" right="0.2" top="0.25" bottom="0.25" header="0.3" footer="0.3"/>
  <pageSetup scale="36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2:G14"/>
  <sheetViews>
    <sheetView workbookViewId="0">
      <selection activeCell="F28" sqref="F28"/>
    </sheetView>
  </sheetViews>
  <sheetFormatPr defaultColWidth="8.88671875" defaultRowHeight="14.4"/>
  <cols>
    <col min="1" max="1" width="50.44140625" style="444" customWidth="1"/>
    <col min="2" max="2" width="16.44140625" style="444" customWidth="1"/>
    <col min="3" max="4" width="10.109375" style="444" customWidth="1"/>
    <col min="5" max="5" width="11.109375" style="444" customWidth="1"/>
    <col min="6" max="6" width="11.109375" style="444" bestFit="1" customWidth="1"/>
    <col min="7" max="7" width="11.33203125" style="444" bestFit="1" customWidth="1"/>
    <col min="8" max="16384" width="8.88671875" style="444"/>
  </cols>
  <sheetData>
    <row r="2" spans="1:7">
      <c r="A2" s="444" t="s">
        <v>254</v>
      </c>
      <c r="B2" s="738">
        <v>2018</v>
      </c>
    </row>
    <row r="4" spans="1:7">
      <c r="A4" s="444" t="s">
        <v>255</v>
      </c>
      <c r="B4" s="444" t="s">
        <v>256</v>
      </c>
    </row>
    <row r="5" spans="1:7">
      <c r="A5" s="444" t="s">
        <v>257</v>
      </c>
      <c r="B5" s="313" t="s">
        <v>258</v>
      </c>
      <c r="C5" s="313" t="s">
        <v>259</v>
      </c>
      <c r="D5" s="313" t="s">
        <v>260</v>
      </c>
      <c r="E5" s="313" t="s">
        <v>261</v>
      </c>
      <c r="F5" s="313" t="s">
        <v>262</v>
      </c>
      <c r="G5" s="444" t="s">
        <v>263</v>
      </c>
    </row>
    <row r="6" spans="1:7">
      <c r="A6" s="738" t="s">
        <v>264</v>
      </c>
      <c r="B6" s="739"/>
      <c r="C6" s="739"/>
      <c r="D6" s="739">
        <v>3803820</v>
      </c>
      <c r="E6" s="739">
        <v>15399621.23</v>
      </c>
      <c r="F6" s="739">
        <v>16040285.880000001</v>
      </c>
      <c r="G6" s="739">
        <v>35243727.109999999</v>
      </c>
    </row>
    <row r="7" spans="1:7">
      <c r="A7" s="740" t="s">
        <v>265</v>
      </c>
      <c r="B7" s="739"/>
      <c r="C7" s="739"/>
      <c r="D7" s="739"/>
      <c r="E7" s="739">
        <v>15399621.23</v>
      </c>
      <c r="F7" s="739"/>
      <c r="G7" s="739">
        <v>15399621.23</v>
      </c>
    </row>
    <row r="8" spans="1:7">
      <c r="A8" s="740" t="s">
        <v>266</v>
      </c>
      <c r="B8" s="739"/>
      <c r="C8" s="739"/>
      <c r="D8" s="739">
        <v>3803820</v>
      </c>
      <c r="E8" s="739"/>
      <c r="F8" s="739"/>
      <c r="G8" s="739">
        <v>3803820</v>
      </c>
    </row>
    <row r="9" spans="1:7">
      <c r="A9" s="740" t="s">
        <v>267</v>
      </c>
      <c r="B9" s="739"/>
      <c r="C9" s="739"/>
      <c r="D9" s="739"/>
      <c r="E9" s="739"/>
      <c r="F9" s="739">
        <v>16040285.880000001</v>
      </c>
      <c r="G9" s="739">
        <v>16040285.880000001</v>
      </c>
    </row>
    <row r="10" spans="1:7">
      <c r="A10" s="738" t="s">
        <v>268</v>
      </c>
      <c r="B10" s="739"/>
      <c r="C10" s="739">
        <v>1788000</v>
      </c>
      <c r="D10" s="739"/>
      <c r="E10" s="739"/>
      <c r="F10" s="739"/>
      <c r="G10" s="739">
        <v>1788000</v>
      </c>
    </row>
    <row r="11" spans="1:7">
      <c r="A11" s="740" t="s">
        <v>269</v>
      </c>
      <c r="B11" s="739"/>
      <c r="C11" s="739">
        <v>1788000</v>
      </c>
      <c r="D11" s="739"/>
      <c r="E11" s="739"/>
      <c r="F11" s="739"/>
      <c r="G11" s="739">
        <v>1788000</v>
      </c>
    </row>
    <row r="12" spans="1:7">
      <c r="A12" s="738" t="s">
        <v>270</v>
      </c>
      <c r="B12" s="739">
        <v>0</v>
      </c>
      <c r="C12" s="739"/>
      <c r="D12" s="739"/>
      <c r="E12" s="739"/>
      <c r="F12" s="739"/>
      <c r="G12" s="739">
        <v>0</v>
      </c>
    </row>
    <row r="13" spans="1:7">
      <c r="A13" s="740" t="s">
        <v>271</v>
      </c>
      <c r="B13" s="739">
        <v>0</v>
      </c>
      <c r="C13" s="739"/>
      <c r="D13" s="739"/>
      <c r="E13" s="739"/>
      <c r="F13" s="739"/>
      <c r="G13" s="739">
        <v>0</v>
      </c>
    </row>
    <row r="14" spans="1:7">
      <c r="A14" s="738" t="s">
        <v>263</v>
      </c>
      <c r="B14" s="739">
        <v>0</v>
      </c>
      <c r="C14" s="739">
        <v>1788000</v>
      </c>
      <c r="D14" s="739">
        <v>3803820</v>
      </c>
      <c r="E14" s="739">
        <v>15399621.23</v>
      </c>
      <c r="F14" s="739">
        <v>16040285.880000001</v>
      </c>
      <c r="G14" s="739">
        <v>37031727.109999999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Z77"/>
  <sheetViews>
    <sheetView topLeftCell="E4" workbookViewId="0">
      <selection activeCell="O7" sqref="O7:Q7"/>
    </sheetView>
  </sheetViews>
  <sheetFormatPr defaultColWidth="9.109375" defaultRowHeight="14.4"/>
  <cols>
    <col min="1" max="1" width="15.5546875" style="2" customWidth="1"/>
    <col min="2" max="2" width="19.109375" style="2" customWidth="1"/>
    <col min="3" max="3" width="11" style="2" customWidth="1"/>
    <col min="4" max="4" width="16" style="3" customWidth="1"/>
    <col min="5" max="5" width="14.88671875" style="2" customWidth="1"/>
    <col min="6" max="9" width="15" style="3" customWidth="1"/>
    <col min="10" max="10" width="12.6640625" style="2" customWidth="1"/>
    <col min="11" max="11" width="12" style="2" customWidth="1"/>
    <col min="12" max="12" width="16.33203125" style="2" customWidth="1"/>
    <col min="13" max="14" width="15.88671875" style="2" customWidth="1"/>
    <col min="15" max="15" width="21.109375" style="2" customWidth="1"/>
    <col min="16" max="16" width="16.109375" style="2" customWidth="1"/>
    <col min="17" max="17" width="18.109375" style="2" customWidth="1"/>
    <col min="18" max="18" width="13.6640625" style="2" bestFit="1" customWidth="1"/>
    <col min="19" max="19" width="15.109375" style="3" customWidth="1"/>
    <col min="20" max="20" width="12.6640625" style="2" customWidth="1"/>
    <col min="21" max="21" width="11.6640625" style="2" customWidth="1"/>
    <col min="22" max="25" width="9.109375" style="2"/>
    <col min="26" max="26" width="16.109375" style="2" customWidth="1"/>
    <col min="27" max="16384" width="9.109375" style="2"/>
  </cols>
  <sheetData>
    <row r="1" spans="1:20" ht="21.75" customHeight="1">
      <c r="A1" s="1" t="s">
        <v>0</v>
      </c>
      <c r="F1" s="4"/>
      <c r="G1" s="4"/>
      <c r="H1" s="4"/>
      <c r="I1" s="4"/>
      <c r="J1" s="5"/>
      <c r="K1" s="5"/>
      <c r="L1" s="6">
        <f>[6]BlendedModels!D40</f>
        <v>5.4305515997341604E-2</v>
      </c>
      <c r="M1" s="5"/>
      <c r="N1" s="5"/>
    </row>
    <row r="2" spans="1:20" ht="15" thickBot="1">
      <c r="F2" s="4"/>
      <c r="G2" s="4"/>
      <c r="H2" s="4"/>
      <c r="I2" s="4"/>
      <c r="J2" s="5"/>
      <c r="K2" s="5"/>
      <c r="L2" s="5"/>
      <c r="M2" s="5"/>
      <c r="N2" s="5"/>
      <c r="O2" s="5"/>
    </row>
    <row r="3" spans="1:20" s="12" customFormat="1" ht="28.5" customHeight="1" thickBot="1">
      <c r="A3" s="7" t="s">
        <v>1</v>
      </c>
      <c r="B3" s="8" t="s">
        <v>2</v>
      </c>
      <c r="C3" s="9" t="s">
        <v>3</v>
      </c>
      <c r="D3" s="10" t="s">
        <v>4</v>
      </c>
      <c r="E3" s="9" t="s">
        <v>5</v>
      </c>
      <c r="F3" s="107" t="s">
        <v>6</v>
      </c>
      <c r="G3" s="103" t="s">
        <v>43</v>
      </c>
      <c r="H3" s="103" t="s">
        <v>44</v>
      </c>
      <c r="I3" s="103" t="s">
        <v>45</v>
      </c>
      <c r="J3" s="108" t="s">
        <v>7</v>
      </c>
      <c r="K3" s="9" t="s">
        <v>8</v>
      </c>
      <c r="L3" s="11" t="s">
        <v>9</v>
      </c>
      <c r="M3" s="11" t="s">
        <v>10</v>
      </c>
      <c r="N3" s="11"/>
      <c r="O3" s="837" t="s">
        <v>11</v>
      </c>
      <c r="P3" s="838"/>
      <c r="Q3" s="839"/>
      <c r="S3" s="320"/>
    </row>
    <row r="4" spans="1:20" s="5" customFormat="1">
      <c r="A4" s="13" t="s">
        <v>12</v>
      </c>
      <c r="B4" s="14" t="s">
        <v>13</v>
      </c>
      <c r="C4" s="4">
        <v>4220</v>
      </c>
      <c r="D4" s="15" t="s">
        <v>14</v>
      </c>
      <c r="E4" s="16">
        <v>500000</v>
      </c>
      <c r="F4" s="17">
        <f>[6]BlendedModels!P40</f>
        <v>636251.59056600067</v>
      </c>
      <c r="G4" s="109">
        <f>O8</f>
        <v>645771.68845645536</v>
      </c>
      <c r="H4" s="848">
        <f>SUM(G4:G6)-SUM(E4:E6)</f>
        <v>118597.37691291072</v>
      </c>
      <c r="I4" s="851">
        <f>H4/(SUM(E4:E6))</f>
        <v>0.10111068788581122</v>
      </c>
      <c r="J4" s="840">
        <f>SUM(F4:F6)-SUM(E4:E6)</f>
        <v>99557.181132001337</v>
      </c>
      <c r="K4" s="842">
        <f>J4/SUM(E4:E6)</f>
        <v>8.4877889631748887E-2</v>
      </c>
      <c r="L4" s="18">
        <f>E4*($L$1+1)</f>
        <v>527152.7579986708</v>
      </c>
      <c r="M4" s="18">
        <f>(L4/12)*2</f>
        <v>87858.792999778467</v>
      </c>
      <c r="N4" s="19"/>
      <c r="O4" s="20">
        <v>13</v>
      </c>
      <c r="P4" s="20">
        <v>24</v>
      </c>
      <c r="Q4" s="20">
        <v>34</v>
      </c>
      <c r="S4" s="4"/>
    </row>
    <row r="5" spans="1:20" s="5" customFormat="1">
      <c r="A5" s="21" t="s">
        <v>15</v>
      </c>
      <c r="B5" s="14" t="s">
        <v>13</v>
      </c>
      <c r="C5" s="4">
        <v>4220</v>
      </c>
      <c r="D5" s="844" t="s">
        <v>14</v>
      </c>
      <c r="E5" s="22">
        <v>302489</v>
      </c>
      <c r="F5" s="846">
        <f>[6]BlendedModels!P40</f>
        <v>636251.59056600067</v>
      </c>
      <c r="G5" s="110"/>
      <c r="H5" s="849"/>
      <c r="I5" s="851"/>
      <c r="J5" s="840"/>
      <c r="K5" s="842"/>
      <c r="L5" s="18">
        <f t="shared" ref="L5:L27" si="0">E5*($L$1+1)</f>
        <v>318915.82122851984</v>
      </c>
      <c r="M5" s="18">
        <f t="shared" ref="M5:M27" si="1">(L5/12)*2</f>
        <v>53152.636871419971</v>
      </c>
      <c r="N5" s="23"/>
      <c r="O5" s="20"/>
      <c r="P5" s="20"/>
      <c r="Q5" s="20"/>
      <c r="S5" s="4"/>
    </row>
    <row r="6" spans="1:20" s="5" customFormat="1">
      <c r="A6" s="13" t="s">
        <v>16</v>
      </c>
      <c r="B6" s="24" t="s">
        <v>13</v>
      </c>
      <c r="C6" s="25">
        <f>C4</f>
        <v>4220</v>
      </c>
      <c r="D6" s="845"/>
      <c r="E6" s="26">
        <v>370457</v>
      </c>
      <c r="F6" s="847"/>
      <c r="G6" s="111">
        <f>O8</f>
        <v>645771.68845645536</v>
      </c>
      <c r="H6" s="850"/>
      <c r="I6" s="852"/>
      <c r="J6" s="841"/>
      <c r="K6" s="843"/>
      <c r="L6" s="18">
        <f t="shared" si="0"/>
        <v>390574.85853982717</v>
      </c>
      <c r="M6" s="18">
        <f t="shared" si="1"/>
        <v>65095.809756637864</v>
      </c>
      <c r="N6" s="23"/>
      <c r="O6" s="27">
        <f>[6]BlendedModels!P40</f>
        <v>636251.59056600067</v>
      </c>
      <c r="P6" s="27">
        <f>[6]BlendedModels!U40</f>
        <v>871365.72928131081</v>
      </c>
      <c r="Q6" s="27">
        <f>[6]BlendedModels!Z40</f>
        <v>1745641.777306139</v>
      </c>
      <c r="S6" s="4"/>
    </row>
    <row r="7" spans="1:20" s="5" customFormat="1">
      <c r="A7" s="13" t="s">
        <v>17</v>
      </c>
      <c r="B7" s="28" t="s">
        <v>18</v>
      </c>
      <c r="C7" s="29">
        <v>1071</v>
      </c>
      <c r="D7" s="15" t="s">
        <v>14</v>
      </c>
      <c r="E7" s="30">
        <v>660380.21</v>
      </c>
      <c r="F7" s="31">
        <f>[6]BlendedModels!P40</f>
        <v>636251.59056600067</v>
      </c>
      <c r="G7" s="112">
        <f>O8</f>
        <v>645771.68845645536</v>
      </c>
      <c r="H7" s="104">
        <f>G7-E7</f>
        <v>-14608.521543544601</v>
      </c>
      <c r="I7" s="113">
        <f>H7/E7</f>
        <v>-2.2121379960106016E-2</v>
      </c>
      <c r="J7" s="32">
        <f>F7-E7</f>
        <v>-24128.619433999294</v>
      </c>
      <c r="K7" s="33">
        <f>J7/E7</f>
        <v>-3.6537465945563841E-2</v>
      </c>
      <c r="L7" s="18">
        <f t="shared" si="0"/>
        <v>696242.49805848277</v>
      </c>
      <c r="M7" s="18">
        <f t="shared" si="1"/>
        <v>116040.41634308046</v>
      </c>
      <c r="N7" s="23"/>
      <c r="O7" s="133">
        <f>'Blended-MobileRelief'!P44</f>
        <v>9520.0978904546646</v>
      </c>
      <c r="P7" s="133">
        <f>'Blended-MobileRelief'!U44</f>
        <v>23800.244726136443</v>
      </c>
      <c r="Q7" s="133">
        <f>'Blended-MobileRelief'!Z44</f>
        <v>76160.783123636618</v>
      </c>
      <c r="R7" s="88" t="s">
        <v>42</v>
      </c>
      <c r="S7" s="4"/>
    </row>
    <row r="8" spans="1:20" s="5" customFormat="1" ht="15" thickBot="1">
      <c r="A8" s="13" t="s">
        <v>17</v>
      </c>
      <c r="B8" s="28" t="s">
        <v>18</v>
      </c>
      <c r="C8" s="29">
        <v>1072</v>
      </c>
      <c r="D8" s="34" t="s">
        <v>19</v>
      </c>
      <c r="E8" s="30">
        <v>779707.8</v>
      </c>
      <c r="F8" s="31">
        <f>$P$6</f>
        <v>871365.72928131081</v>
      </c>
      <c r="G8" s="112">
        <f>P8</f>
        <v>895165.97400744725</v>
      </c>
      <c r="H8" s="104">
        <f>G8-E8</f>
        <v>115458.1740074472</v>
      </c>
      <c r="I8" s="113">
        <f t="shared" ref="I8:I9" si="2">H8/E8</f>
        <v>0.14807877259589708</v>
      </c>
      <c r="J8" s="32">
        <f>F8-E8</f>
        <v>91657.92928131076</v>
      </c>
      <c r="K8" s="33">
        <f>J8/E8</f>
        <v>0.11755420335837445</v>
      </c>
      <c r="L8" s="18">
        <f t="shared" si="0"/>
        <v>822050.23440615204</v>
      </c>
      <c r="M8" s="18">
        <f t="shared" si="1"/>
        <v>137008.37240102535</v>
      </c>
      <c r="N8" s="23"/>
      <c r="O8" s="134">
        <f>O6+O7</f>
        <v>645771.68845645536</v>
      </c>
      <c r="P8" s="134">
        <f t="shared" ref="P8:Q8" si="3">P6+P7</f>
        <v>895165.97400744725</v>
      </c>
      <c r="Q8" s="134">
        <f t="shared" si="3"/>
        <v>1821802.5604297756</v>
      </c>
      <c r="R8" s="88" t="s">
        <v>49</v>
      </c>
      <c r="S8" s="4"/>
    </row>
    <row r="9" spans="1:20" s="5" customFormat="1" ht="15" thickTop="1">
      <c r="A9" s="13" t="s">
        <v>17</v>
      </c>
      <c r="B9" s="28" t="s">
        <v>18</v>
      </c>
      <c r="C9" s="29">
        <v>1268</v>
      </c>
      <c r="D9" s="15" t="s">
        <v>14</v>
      </c>
      <c r="E9" s="30">
        <v>449307.65</v>
      </c>
      <c r="F9" s="31">
        <f>$O$6</f>
        <v>636251.59056600067</v>
      </c>
      <c r="G9" s="112">
        <f>O8</f>
        <v>645771.68845645536</v>
      </c>
      <c r="H9" s="104">
        <f>G9-E9</f>
        <v>196464.03845645534</v>
      </c>
      <c r="I9" s="113">
        <f t="shared" si="2"/>
        <v>0.43725950015864479</v>
      </c>
      <c r="J9" s="32">
        <f>F9-E9</f>
        <v>186943.94056600065</v>
      </c>
      <c r="K9" s="33">
        <f>J9/E9</f>
        <v>0.41607112758040204</v>
      </c>
      <c r="L9" s="18">
        <f t="shared" si="0"/>
        <v>473707.53377480299</v>
      </c>
      <c r="M9" s="18">
        <f t="shared" si="1"/>
        <v>78951.255629133826</v>
      </c>
      <c r="N9" s="23"/>
      <c r="S9" s="4"/>
    </row>
    <row r="10" spans="1:20" s="5" customFormat="1">
      <c r="A10" s="862" t="s">
        <v>17</v>
      </c>
      <c r="B10" s="35" t="s">
        <v>20</v>
      </c>
      <c r="C10" s="36">
        <v>1067</v>
      </c>
      <c r="D10" s="863" t="s">
        <v>19</v>
      </c>
      <c r="E10" s="853">
        <v>627155.88</v>
      </c>
      <c r="F10" s="865">
        <f>[6]BlendedModels!U40</f>
        <v>871365.72928131081</v>
      </c>
      <c r="G10" s="114"/>
      <c r="H10" s="857">
        <f>G11-E10</f>
        <v>268010.09400744725</v>
      </c>
      <c r="I10" s="858">
        <f>H10/E10</f>
        <v>0.42734207324572521</v>
      </c>
      <c r="J10" s="855">
        <f>F10+F11-E10</f>
        <v>244209.8492813108</v>
      </c>
      <c r="K10" s="856">
        <f>J10/E10</f>
        <v>0.38939258495242174</v>
      </c>
      <c r="L10" s="18">
        <f t="shared" si="0"/>
        <v>661213.90367416688</v>
      </c>
      <c r="M10" s="18">
        <f t="shared" si="1"/>
        <v>110202.31727902782</v>
      </c>
      <c r="N10" s="23"/>
      <c r="P10" s="37"/>
      <c r="R10" s="5" t="s">
        <v>124</v>
      </c>
      <c r="S10" s="4">
        <v>16</v>
      </c>
      <c r="T10" s="38">
        <f>S10*O7</f>
        <v>152321.56624727463</v>
      </c>
    </row>
    <row r="11" spans="1:20" s="5" customFormat="1">
      <c r="A11" s="860"/>
      <c r="B11" s="24" t="s">
        <v>20</v>
      </c>
      <c r="C11" s="25">
        <v>1067</v>
      </c>
      <c r="D11" s="864"/>
      <c r="E11" s="854"/>
      <c r="F11" s="847"/>
      <c r="G11" s="111">
        <f>P8</f>
        <v>895165.97400744725</v>
      </c>
      <c r="H11" s="850"/>
      <c r="I11" s="852"/>
      <c r="J11" s="841"/>
      <c r="K11" s="843"/>
      <c r="L11" s="18">
        <f t="shared" si="0"/>
        <v>0</v>
      </c>
      <c r="M11" s="18">
        <f t="shared" si="1"/>
        <v>0</v>
      </c>
      <c r="N11" s="23"/>
      <c r="O11" s="38">
        <f>[6]BlendedModels!U40</f>
        <v>871365.72928131081</v>
      </c>
      <c r="P11" s="38">
        <f>O11-E10</f>
        <v>244209.8492813108</v>
      </c>
      <c r="R11" s="5" t="s">
        <v>125</v>
      </c>
      <c r="S11" s="4">
        <v>5</v>
      </c>
      <c r="T11" s="38">
        <f>S11*P7</f>
        <v>119001.22363068222</v>
      </c>
    </row>
    <row r="12" spans="1:20" s="5" customFormat="1">
      <c r="A12" s="21" t="s">
        <v>15</v>
      </c>
      <c r="B12" s="28" t="s">
        <v>21</v>
      </c>
      <c r="C12" s="29">
        <v>2108</v>
      </c>
      <c r="D12" s="15" t="s">
        <v>14</v>
      </c>
      <c r="E12" s="30">
        <v>241080.81</v>
      </c>
      <c r="F12" s="39">
        <f>$O$6</f>
        <v>636251.59056600067</v>
      </c>
      <c r="G12" s="115">
        <f>O8</f>
        <v>645771.68845645536</v>
      </c>
      <c r="H12" s="104">
        <f t="shared" ref="H12:H18" si="4">G12-E12</f>
        <v>404690.87845645536</v>
      </c>
      <c r="I12" s="113">
        <f t="shared" ref="I12:I18" si="5">H12/E12</f>
        <v>1.6786523923511596</v>
      </c>
      <c r="J12" s="32">
        <f t="shared" ref="J12:J18" si="6">F12-E12</f>
        <v>395170.78056600067</v>
      </c>
      <c r="K12" s="33">
        <f t="shared" ref="K12:K19" si="7">J12/E12</f>
        <v>1.6391631526623818</v>
      </c>
      <c r="L12" s="18">
        <f t="shared" si="0"/>
        <v>254172.82778410707</v>
      </c>
      <c r="M12" s="18">
        <f t="shared" si="1"/>
        <v>42362.137964017842</v>
      </c>
      <c r="N12" s="23"/>
      <c r="R12" s="50" t="s">
        <v>126</v>
      </c>
      <c r="S12" s="25">
        <v>1</v>
      </c>
      <c r="T12" s="414">
        <f>S12*Q7</f>
        <v>76160.783123636618</v>
      </c>
    </row>
    <row r="13" spans="1:20" s="5" customFormat="1">
      <c r="A13" s="13" t="s">
        <v>17</v>
      </c>
      <c r="B13" s="28" t="s">
        <v>21</v>
      </c>
      <c r="C13" s="29">
        <v>2107</v>
      </c>
      <c r="D13" s="34" t="s">
        <v>19</v>
      </c>
      <c r="E13" s="30">
        <v>789400</v>
      </c>
      <c r="F13" s="31">
        <f>[6]BlendedModels!U40</f>
        <v>871365.72928131081</v>
      </c>
      <c r="G13" s="112">
        <f>P8</f>
        <v>895165.97400744725</v>
      </c>
      <c r="H13" s="104">
        <f t="shared" si="4"/>
        <v>105765.97400744725</v>
      </c>
      <c r="I13" s="113">
        <f t="shared" si="5"/>
        <v>0.13398273879838771</v>
      </c>
      <c r="J13" s="32">
        <f t="shared" si="6"/>
        <v>81965.729281310807</v>
      </c>
      <c r="K13" s="33">
        <f t="shared" si="7"/>
        <v>0.1038329481648224</v>
      </c>
      <c r="L13" s="18">
        <f t="shared" si="0"/>
        <v>832268.77432830143</v>
      </c>
      <c r="M13" s="18">
        <f t="shared" si="1"/>
        <v>138711.46238805025</v>
      </c>
      <c r="N13" s="23"/>
      <c r="S13" s="4"/>
      <c r="T13" s="337">
        <f>SUM(T10:T12)</f>
        <v>347483.57300159347</v>
      </c>
    </row>
    <row r="14" spans="1:20" s="5" customFormat="1">
      <c r="A14" s="13" t="s">
        <v>17</v>
      </c>
      <c r="B14" s="28" t="s">
        <v>22</v>
      </c>
      <c r="C14" s="29">
        <v>1070</v>
      </c>
      <c r="D14" s="15" t="s">
        <v>14</v>
      </c>
      <c r="E14" s="30">
        <v>419227.53</v>
      </c>
      <c r="F14" s="31">
        <f>$O$6</f>
        <v>636251.59056600067</v>
      </c>
      <c r="G14" s="112">
        <f>O8</f>
        <v>645771.68845645536</v>
      </c>
      <c r="H14" s="104">
        <f t="shared" si="4"/>
        <v>226544.15845645533</v>
      </c>
      <c r="I14" s="113">
        <f t="shared" si="5"/>
        <v>0.54038473679544685</v>
      </c>
      <c r="J14" s="32">
        <f t="shared" si="6"/>
        <v>217024.06056600064</v>
      </c>
      <c r="K14" s="33">
        <f t="shared" si="7"/>
        <v>0.51767607095364332</v>
      </c>
      <c r="L14" s="18">
        <f t="shared" si="0"/>
        <v>441993.89733694104</v>
      </c>
      <c r="M14" s="18">
        <f t="shared" si="1"/>
        <v>73665.649556156844</v>
      </c>
      <c r="N14" s="23"/>
      <c r="R14" s="40"/>
      <c r="S14" s="4"/>
    </row>
    <row r="15" spans="1:20" s="5" customFormat="1">
      <c r="A15" s="13" t="s">
        <v>17</v>
      </c>
      <c r="B15" s="28" t="s">
        <v>22</v>
      </c>
      <c r="C15" s="29">
        <v>1073</v>
      </c>
      <c r="D15" s="15" t="s">
        <v>14</v>
      </c>
      <c r="E15" s="30">
        <v>421486.97</v>
      </c>
      <c r="F15" s="31">
        <f>$O$6</f>
        <v>636251.59056600067</v>
      </c>
      <c r="G15" s="112">
        <f>O8</f>
        <v>645771.68845645536</v>
      </c>
      <c r="H15" s="104">
        <f t="shared" si="4"/>
        <v>224284.71845645539</v>
      </c>
      <c r="I15" s="113">
        <f t="shared" si="5"/>
        <v>0.53212728843421997</v>
      </c>
      <c r="J15" s="32">
        <f t="shared" si="6"/>
        <v>214764.6205660007</v>
      </c>
      <c r="K15" s="33">
        <f t="shared" si="7"/>
        <v>0.50954035557967714</v>
      </c>
      <c r="L15" s="18">
        <f t="shared" si="0"/>
        <v>444376.03739200602</v>
      </c>
      <c r="M15" s="18">
        <f t="shared" si="1"/>
        <v>74062.672898667675</v>
      </c>
      <c r="N15" s="23"/>
      <c r="S15" s="4"/>
    </row>
    <row r="16" spans="1:20" s="5" customFormat="1">
      <c r="A16" s="41" t="s">
        <v>17</v>
      </c>
      <c r="B16" s="35" t="s">
        <v>23</v>
      </c>
      <c r="C16" s="36">
        <v>4219</v>
      </c>
      <c r="D16" s="15" t="s">
        <v>14</v>
      </c>
      <c r="E16" s="42">
        <v>670204.78</v>
      </c>
      <c r="F16" s="43">
        <f>$O$6</f>
        <v>636251.59056600067</v>
      </c>
      <c r="G16" s="116">
        <f>O8</f>
        <v>645771.68845645536</v>
      </c>
      <c r="H16" s="104">
        <f t="shared" si="4"/>
        <v>-24433.091543544666</v>
      </c>
      <c r="I16" s="113">
        <f t="shared" si="5"/>
        <v>-3.6456158285747629E-2</v>
      </c>
      <c r="J16" s="44">
        <f t="shared" si="6"/>
        <v>-33953.18943399936</v>
      </c>
      <c r="K16" s="45">
        <f t="shared" si="7"/>
        <v>-5.0660918046569824E-2</v>
      </c>
      <c r="L16" s="18">
        <f t="shared" si="0"/>
        <v>706600.5964017848</v>
      </c>
      <c r="M16" s="18">
        <f t="shared" si="1"/>
        <v>117766.76606696413</v>
      </c>
      <c r="N16" s="18"/>
    </row>
    <row r="17" spans="1:26" s="5" customFormat="1">
      <c r="A17" s="46" t="s">
        <v>15</v>
      </c>
      <c r="B17" s="47" t="s">
        <v>24</v>
      </c>
      <c r="C17" s="29">
        <v>3688</v>
      </c>
      <c r="D17" s="48" t="s">
        <v>14</v>
      </c>
      <c r="E17" s="30">
        <v>619258.29</v>
      </c>
      <c r="F17" s="31">
        <f>[6]BlendedModels!P40</f>
        <v>636251.59056600067</v>
      </c>
      <c r="G17" s="112">
        <f>O8</f>
        <v>645771.68845645536</v>
      </c>
      <c r="H17" s="104">
        <f t="shared" si="4"/>
        <v>26513.398456455325</v>
      </c>
      <c r="I17" s="113">
        <f t="shared" si="5"/>
        <v>4.2814765477673822E-2</v>
      </c>
      <c r="J17" s="32">
        <f t="shared" si="6"/>
        <v>16993.300566000631</v>
      </c>
      <c r="K17" s="33">
        <f t="shared" si="7"/>
        <v>2.7441377597061528E-2</v>
      </c>
      <c r="L17" s="18">
        <f t="shared" si="0"/>
        <v>652887.43097408139</v>
      </c>
      <c r="M17" s="18">
        <f t="shared" si="1"/>
        <v>108814.57182901357</v>
      </c>
      <c r="N17" s="18"/>
    </row>
    <row r="18" spans="1:26" s="5" customFormat="1">
      <c r="A18" s="49" t="s">
        <v>15</v>
      </c>
      <c r="B18" s="50" t="s">
        <v>24</v>
      </c>
      <c r="C18" s="25">
        <v>3689</v>
      </c>
      <c r="D18" s="51" t="s">
        <v>14</v>
      </c>
      <c r="E18" s="52">
        <v>550781.84</v>
      </c>
      <c r="F18" s="53">
        <f>[6]BlendedModels!P40</f>
        <v>636251.59056600067</v>
      </c>
      <c r="G18" s="117">
        <f>O8</f>
        <v>645771.68845645536</v>
      </c>
      <c r="H18" s="104">
        <f t="shared" si="4"/>
        <v>94989.848456455395</v>
      </c>
      <c r="I18" s="113">
        <f t="shared" si="5"/>
        <v>0.17246365358824359</v>
      </c>
      <c r="J18" s="54">
        <f t="shared" si="6"/>
        <v>85469.750566000701</v>
      </c>
      <c r="K18" s="55">
        <f t="shared" si="7"/>
        <v>0.15517895536643095</v>
      </c>
      <c r="L18" s="18">
        <f t="shared" si="0"/>
        <v>580692.33202316519</v>
      </c>
      <c r="M18" s="18">
        <f t="shared" si="1"/>
        <v>96782.055337194193</v>
      </c>
      <c r="N18" s="18"/>
    </row>
    <row r="19" spans="1:26" s="5" customFormat="1">
      <c r="A19" s="859" t="s">
        <v>17</v>
      </c>
      <c r="B19" s="14" t="s">
        <v>24</v>
      </c>
      <c r="C19" s="4">
        <v>3691</v>
      </c>
      <c r="D19" s="56" t="s">
        <v>25</v>
      </c>
      <c r="E19" s="861">
        <v>2144495.19</v>
      </c>
      <c r="F19" s="57">
        <f>[6]BlendedModels!Z40</f>
        <v>1745641.777306139</v>
      </c>
      <c r="G19" s="110">
        <f>Q8</f>
        <v>1821802.5604297756</v>
      </c>
      <c r="H19" s="857">
        <f>SUM(G19:G20)-E19</f>
        <v>323079.05888623092</v>
      </c>
      <c r="I19" s="858">
        <f>H19/E19</f>
        <v>0.15065506343533974</v>
      </c>
      <c r="J19" s="840">
        <f>F19+F20-E19</f>
        <v>237398.17787213949</v>
      </c>
      <c r="K19" s="842">
        <f t="shared" si="7"/>
        <v>0.11070119391227895</v>
      </c>
      <c r="L19" s="18">
        <f t="shared" si="0"/>
        <v>2260953.1078467672</v>
      </c>
      <c r="M19" s="18">
        <f t="shared" si="1"/>
        <v>376825.5179744612</v>
      </c>
      <c r="N19" s="18"/>
    </row>
    <row r="20" spans="1:26" s="5" customFormat="1">
      <c r="A20" s="860"/>
      <c r="B20" s="24" t="s">
        <v>24</v>
      </c>
      <c r="C20" s="25">
        <v>3691</v>
      </c>
      <c r="D20" s="51" t="s">
        <v>14</v>
      </c>
      <c r="E20" s="854"/>
      <c r="F20" s="58">
        <f>[6]BlendedModels!P40</f>
        <v>636251.59056600067</v>
      </c>
      <c r="G20" s="111">
        <f>O8</f>
        <v>645771.68845645536</v>
      </c>
      <c r="H20" s="850"/>
      <c r="I20" s="852"/>
      <c r="J20" s="841"/>
      <c r="K20" s="843"/>
      <c r="L20" s="18">
        <f t="shared" si="0"/>
        <v>0</v>
      </c>
      <c r="M20" s="18">
        <f t="shared" si="1"/>
        <v>0</v>
      </c>
      <c r="N20" s="18"/>
      <c r="P20" s="102">
        <v>793.34149087122205</v>
      </c>
      <c r="S20" s="4"/>
      <c r="U20" s="40">
        <v>23800.244726136443</v>
      </c>
      <c r="Z20" s="40">
        <v>76160.783123636618</v>
      </c>
    </row>
    <row r="21" spans="1:26" s="5" customFormat="1">
      <c r="A21" s="21" t="s">
        <v>15</v>
      </c>
      <c r="B21" s="35" t="s">
        <v>26</v>
      </c>
      <c r="C21" s="36">
        <v>5411</v>
      </c>
      <c r="D21" s="34" t="s">
        <v>19</v>
      </c>
      <c r="E21" s="853">
        <v>1687543.64</v>
      </c>
      <c r="F21" s="43">
        <f>[6]BlendedModels!U40</f>
        <v>871365.72928131081</v>
      </c>
      <c r="G21" s="116">
        <f>P8</f>
        <v>895165.97400744725</v>
      </c>
      <c r="H21" s="857">
        <f>SUM(G21:G22)-E21</f>
        <v>102788.3080148946</v>
      </c>
      <c r="I21" s="858">
        <f>H21/E21</f>
        <v>6.0910014756652225E-2</v>
      </c>
      <c r="J21" s="855">
        <f>SUM(F21:F22)-E21</f>
        <v>55187.818562621716</v>
      </c>
      <c r="K21" s="856">
        <f>J21/E21</f>
        <v>3.2703046756540011E-2</v>
      </c>
      <c r="L21" s="18">
        <f t="shared" si="0"/>
        <v>1779186.568138232</v>
      </c>
      <c r="M21" s="18">
        <f t="shared" si="1"/>
        <v>296531.09468970535</v>
      </c>
      <c r="N21" s="18"/>
      <c r="P21" s="40">
        <v>9520.0978904546646</v>
      </c>
      <c r="S21" s="4"/>
    </row>
    <row r="22" spans="1:26" s="5" customFormat="1" ht="18" customHeight="1">
      <c r="A22" s="21" t="s">
        <v>15</v>
      </c>
      <c r="B22" s="24" t="s">
        <v>26</v>
      </c>
      <c r="C22" s="25">
        <v>5411</v>
      </c>
      <c r="D22" s="34" t="s">
        <v>19</v>
      </c>
      <c r="E22" s="854"/>
      <c r="F22" s="53">
        <f>[6]BlendedModels!U40</f>
        <v>871365.72928131081</v>
      </c>
      <c r="G22" s="117">
        <f>P8</f>
        <v>895165.97400744725</v>
      </c>
      <c r="H22" s="850"/>
      <c r="I22" s="852"/>
      <c r="J22" s="841"/>
      <c r="K22" s="843"/>
      <c r="L22" s="18">
        <f t="shared" si="0"/>
        <v>0</v>
      </c>
      <c r="M22" s="18">
        <f t="shared" si="1"/>
        <v>0</v>
      </c>
      <c r="N22" s="18"/>
      <c r="S22" s="4"/>
    </row>
    <row r="23" spans="1:26" s="5" customFormat="1">
      <c r="A23" s="13" t="s">
        <v>17</v>
      </c>
      <c r="B23" s="28" t="s">
        <v>27</v>
      </c>
      <c r="C23" s="29">
        <v>4221</v>
      </c>
      <c r="D23" s="48" t="s">
        <v>14</v>
      </c>
      <c r="E23" s="30">
        <v>518306.18</v>
      </c>
      <c r="F23" s="31">
        <f>$O$6</f>
        <v>636251.59056600067</v>
      </c>
      <c r="G23" s="112">
        <f>O8</f>
        <v>645771.68845645536</v>
      </c>
      <c r="H23" s="104">
        <f>G23-E23</f>
        <v>127465.50845645537</v>
      </c>
      <c r="I23" s="113">
        <f>H23/E23</f>
        <v>0.24592704732259871</v>
      </c>
      <c r="J23" s="32">
        <f>F23-E23</f>
        <v>117945.41056600068</v>
      </c>
      <c r="K23" s="33">
        <f>J23/E23</f>
        <v>0.22755933677271739</v>
      </c>
      <c r="L23" s="18">
        <f t="shared" si="0"/>
        <v>546453.06454951095</v>
      </c>
      <c r="M23" s="18">
        <f t="shared" si="1"/>
        <v>91075.510758251825</v>
      </c>
      <c r="N23" s="18"/>
      <c r="S23" s="4"/>
    </row>
    <row r="24" spans="1:26" s="5" customFormat="1">
      <c r="A24" s="13" t="s">
        <v>17</v>
      </c>
      <c r="B24" s="35" t="s">
        <v>28</v>
      </c>
      <c r="C24" s="36">
        <v>2109</v>
      </c>
      <c r="D24" s="48" t="s">
        <v>14</v>
      </c>
      <c r="E24" s="853">
        <v>1047760.6</v>
      </c>
      <c r="F24" s="43">
        <f>[6]BlendedModels!P40</f>
        <v>636251.59056600067</v>
      </c>
      <c r="G24" s="116">
        <f>O8</f>
        <v>645771.68845645536</v>
      </c>
      <c r="H24" s="857">
        <f>SUM(G24:G25)-E24</f>
        <v>243782.77691291075</v>
      </c>
      <c r="I24" s="858">
        <f>H24/E24</f>
        <v>0.23267030361030064</v>
      </c>
      <c r="J24" s="855">
        <f>F24+F25-E24</f>
        <v>224742.58113200136</v>
      </c>
      <c r="K24" s="856">
        <f>J24/E24</f>
        <v>0.21449802667899648</v>
      </c>
      <c r="L24" s="18">
        <f t="shared" si="0"/>
        <v>1104659.7800246843</v>
      </c>
      <c r="M24" s="18">
        <f t="shared" si="1"/>
        <v>184109.96333744738</v>
      </c>
      <c r="N24" s="18"/>
      <c r="S24" s="4"/>
    </row>
    <row r="25" spans="1:26" s="5" customFormat="1">
      <c r="A25" s="13" t="s">
        <v>17</v>
      </c>
      <c r="B25" s="24" t="s">
        <v>28</v>
      </c>
      <c r="C25" s="25">
        <v>2109</v>
      </c>
      <c r="D25" s="48" t="s">
        <v>14</v>
      </c>
      <c r="E25" s="854"/>
      <c r="F25" s="53">
        <f>$O$6</f>
        <v>636251.59056600067</v>
      </c>
      <c r="G25" s="117">
        <f>O8</f>
        <v>645771.68845645536</v>
      </c>
      <c r="H25" s="850"/>
      <c r="I25" s="852"/>
      <c r="J25" s="841"/>
      <c r="K25" s="843"/>
      <c r="L25" s="18">
        <f t="shared" si="0"/>
        <v>0</v>
      </c>
      <c r="M25" s="18">
        <f t="shared" si="1"/>
        <v>0</v>
      </c>
      <c r="N25" s="18"/>
      <c r="S25" s="4"/>
    </row>
    <row r="26" spans="1:26" s="5" customFormat="1">
      <c r="A26" s="13" t="s">
        <v>17</v>
      </c>
      <c r="B26" s="35" t="s">
        <v>29</v>
      </c>
      <c r="C26" s="36">
        <v>4222</v>
      </c>
      <c r="D26" s="15" t="s">
        <v>14</v>
      </c>
      <c r="E26" s="42">
        <v>496555.22000000003</v>
      </c>
      <c r="F26" s="43">
        <f>$O$6</f>
        <v>636251.59056600067</v>
      </c>
      <c r="G26" s="116">
        <f>O8</f>
        <v>645771.68845645536</v>
      </c>
      <c r="H26" s="104">
        <f t="shared" ref="H26:H27" si="8">G26-E26</f>
        <v>149216.46845645533</v>
      </c>
      <c r="I26" s="113">
        <f t="shared" ref="I26:I27" si="9">H26/E26</f>
        <v>0.30050327223718509</v>
      </c>
      <c r="J26" s="44">
        <f>F26-E26</f>
        <v>139696.37056600064</v>
      </c>
      <c r="K26" s="45">
        <f>J26/E26</f>
        <v>0.28133098785267152</v>
      </c>
      <c r="L26" s="18">
        <f t="shared" si="0"/>
        <v>523520.90744327352</v>
      </c>
      <c r="M26" s="18">
        <f t="shared" si="1"/>
        <v>87253.484573878915</v>
      </c>
      <c r="N26" s="18"/>
      <c r="S26" s="4"/>
    </row>
    <row r="27" spans="1:26" s="5" customFormat="1" ht="15" thickBot="1">
      <c r="A27" s="59" t="s">
        <v>17</v>
      </c>
      <c r="B27" s="60" t="s">
        <v>30</v>
      </c>
      <c r="C27" s="61" t="s">
        <v>31</v>
      </c>
      <c r="D27" s="62" t="s">
        <v>14</v>
      </c>
      <c r="E27" s="63">
        <v>468837</v>
      </c>
      <c r="F27" s="64">
        <f>[6]BlendedModels!P40</f>
        <v>636251.59056600067</v>
      </c>
      <c r="G27" s="109">
        <f>O8</f>
        <v>645771.68845645536</v>
      </c>
      <c r="H27" s="104">
        <f t="shared" si="8"/>
        <v>176934.68845645536</v>
      </c>
      <c r="I27" s="113">
        <f t="shared" si="9"/>
        <v>0.37739062500710346</v>
      </c>
      <c r="J27" s="65">
        <f>F27-E27</f>
        <v>167414.59056600067</v>
      </c>
      <c r="K27" s="66">
        <f>(F27-E27)/E27</f>
        <v>0.35708485159234588</v>
      </c>
      <c r="L27" s="18">
        <f t="shared" si="0"/>
        <v>494297.43520364561</v>
      </c>
      <c r="M27" s="18">
        <f t="shared" si="1"/>
        <v>82382.905867274269</v>
      </c>
      <c r="N27" s="18"/>
      <c r="S27" s="4"/>
    </row>
    <row r="28" spans="1:26" s="5" customFormat="1" ht="15" thickBot="1">
      <c r="B28" s="67" t="s">
        <v>32</v>
      </c>
      <c r="C28" s="68"/>
      <c r="D28" s="69"/>
      <c r="E28" s="70">
        <f>SUM(E4:E27)</f>
        <v>13764435.59</v>
      </c>
      <c r="F28" s="71">
        <f>SUM(F4:F27)</f>
        <v>16282495.8727687</v>
      </c>
      <c r="G28" s="118">
        <f>SUM(G4:G27)</f>
        <v>16629979.445770295</v>
      </c>
      <c r="H28" s="105">
        <f>H4+H7+H8+H9+H10+H12+H13+H14+H15+H16+H17+H18+H19+H21+H23+H24+H26+H27</f>
        <v>2865543.8557702983</v>
      </c>
      <c r="I28" s="119">
        <f>H28/E28</f>
        <v>0.20818462457350193</v>
      </c>
      <c r="J28" s="70">
        <f>SUM(J4:J27)</f>
        <v>2518060.282768704</v>
      </c>
      <c r="K28" s="72">
        <f>J28/E28</f>
        <v>0.18293959576505264</v>
      </c>
      <c r="L28" s="73"/>
      <c r="M28" s="74">
        <f>SUM(M4:M27)</f>
        <v>2418653.3945211871</v>
      </c>
      <c r="N28" s="74"/>
      <c r="S28" s="4"/>
    </row>
    <row r="29" spans="1:26" s="5" customFormat="1" ht="15" thickBot="1">
      <c r="C29" s="75"/>
      <c r="D29" s="4"/>
      <c r="E29" s="76"/>
      <c r="F29" s="132" t="s">
        <v>48</v>
      </c>
      <c r="G29" s="106">
        <f>G28-F28</f>
        <v>347483.57300159521</v>
      </c>
      <c r="H29" s="27"/>
      <c r="I29" s="27"/>
      <c r="J29" s="77"/>
      <c r="K29" s="75"/>
      <c r="L29" s="75"/>
      <c r="M29" s="75"/>
      <c r="N29" s="75"/>
      <c r="S29" s="4"/>
    </row>
    <row r="30" spans="1:26" s="5" customFormat="1" ht="15.6" thickTop="1" thickBot="1">
      <c r="B30" s="78"/>
      <c r="C30" s="79"/>
      <c r="D30" s="80"/>
      <c r="E30" s="81"/>
      <c r="F30" s="82"/>
      <c r="G30" s="82"/>
      <c r="H30" s="82"/>
      <c r="I30" s="82"/>
      <c r="J30" s="83"/>
      <c r="K30" s="78"/>
      <c r="S30" s="4"/>
    </row>
    <row r="31" spans="1:26" s="5" customFormat="1" ht="15" thickBot="1">
      <c r="B31" s="67" t="s">
        <v>33</v>
      </c>
      <c r="C31" s="84">
        <v>1203</v>
      </c>
      <c r="D31" s="84" t="s">
        <v>34</v>
      </c>
      <c r="E31" s="70">
        <f>'[6]Peer Model'!D59</f>
        <v>353677.4</v>
      </c>
      <c r="F31" s="71">
        <f>'[6]Peer Model Updated'!N34</f>
        <v>443925.58597145992</v>
      </c>
      <c r="G31" s="71"/>
      <c r="H31" s="71"/>
      <c r="I31" s="71"/>
      <c r="J31" s="85">
        <f>F31-E31</f>
        <v>90248.185971459898</v>
      </c>
      <c r="K31" s="72">
        <f>J31/E31</f>
        <v>0.25517091556163862</v>
      </c>
      <c r="L31" s="86">
        <f>E31*(L1+1)</f>
        <v>372884.03370359819</v>
      </c>
      <c r="M31" s="87">
        <f>(L31/12)*2</f>
        <v>62147.338950599697</v>
      </c>
      <c r="N31" s="87"/>
      <c r="S31" s="4"/>
    </row>
    <row r="32" spans="1:26" s="5" customFormat="1" ht="15" thickBot="1">
      <c r="C32" s="75"/>
      <c r="D32" s="4"/>
      <c r="E32" s="76"/>
      <c r="F32" s="27"/>
      <c r="G32" s="27"/>
      <c r="H32" s="27"/>
      <c r="I32" s="27"/>
      <c r="J32" s="77"/>
      <c r="K32" s="75"/>
      <c r="L32" s="75"/>
      <c r="M32" s="75"/>
      <c r="N32" s="75"/>
      <c r="S32" s="4"/>
    </row>
    <row r="33" spans="2:19" s="5" customFormat="1" ht="15" thickBot="1">
      <c r="C33" s="75"/>
      <c r="D33" s="4"/>
      <c r="E33" s="76"/>
      <c r="F33" s="27"/>
      <c r="G33" s="866" t="s">
        <v>123</v>
      </c>
      <c r="H33" s="867"/>
      <c r="I33" s="868"/>
      <c r="J33" s="77"/>
      <c r="O33" s="88" t="s">
        <v>7</v>
      </c>
      <c r="S33" s="4"/>
    </row>
    <row r="34" spans="2:19" s="5" customFormat="1" ht="15" thickBot="1">
      <c r="D34" s="4"/>
      <c r="E34" s="89" t="s">
        <v>35</v>
      </c>
      <c r="F34" s="124" t="s">
        <v>6</v>
      </c>
      <c r="G34" s="120" t="s">
        <v>39</v>
      </c>
      <c r="H34" s="120" t="s">
        <v>46</v>
      </c>
      <c r="I34" s="120" t="s">
        <v>47</v>
      </c>
      <c r="J34" s="127" t="s">
        <v>7</v>
      </c>
      <c r="K34" s="90" t="s">
        <v>8</v>
      </c>
      <c r="L34" s="20"/>
      <c r="M34" s="20"/>
      <c r="N34" s="20"/>
      <c r="O34" s="91" t="s">
        <v>36</v>
      </c>
      <c r="P34" s="88" t="s">
        <v>37</v>
      </c>
      <c r="Q34" s="20" t="s">
        <v>38</v>
      </c>
      <c r="S34" s="4"/>
    </row>
    <row r="35" spans="2:19" ht="21.6" thickBot="1">
      <c r="B35" s="5"/>
      <c r="C35" s="5"/>
      <c r="D35" s="92" t="s">
        <v>39</v>
      </c>
      <c r="E35" s="93">
        <f>E28+E31</f>
        <v>14118112.99</v>
      </c>
      <c r="F35" s="125">
        <f>F28+F31</f>
        <v>16726421.45874016</v>
      </c>
      <c r="G35" s="121">
        <f>F35+G29</f>
        <v>17073905.031741753</v>
      </c>
      <c r="H35" s="121">
        <f>G35-E35</f>
        <v>2955792.041741753</v>
      </c>
      <c r="I35" s="123">
        <f>H35/E35</f>
        <v>0.20936169329678619</v>
      </c>
      <c r="J35" s="128">
        <f>J28+J31</f>
        <v>2608308.4687401638</v>
      </c>
      <c r="K35" s="94">
        <f>J35/E35</f>
        <v>0.1847490858436715</v>
      </c>
      <c r="L35" s="75"/>
      <c r="M35" s="75"/>
      <c r="N35" s="75"/>
      <c r="O35" s="95">
        <f>SUM(J35/12)*10</f>
        <v>2173590.3906168034</v>
      </c>
      <c r="P35" s="96">
        <f>SUM(J35/12)*2</f>
        <v>434718.07812336064</v>
      </c>
      <c r="Q35" s="96">
        <f>O35+P35</f>
        <v>2608308.4687401643</v>
      </c>
    </row>
    <row r="36" spans="2:19" ht="15.6" thickTop="1" thickBot="1">
      <c r="B36" s="5"/>
      <c r="C36" s="5"/>
      <c r="D36" s="4"/>
      <c r="E36" s="97"/>
      <c r="F36" s="126"/>
      <c r="G36" s="122"/>
      <c r="H36" s="122"/>
      <c r="I36" s="122"/>
      <c r="J36" s="129"/>
      <c r="K36" s="98"/>
      <c r="L36" s="5"/>
      <c r="M36" s="5"/>
      <c r="N36" s="5"/>
    </row>
    <row r="37" spans="2:19" ht="15" thickBot="1">
      <c r="B37" s="5"/>
      <c r="C37" s="5"/>
      <c r="D37" s="4"/>
      <c r="E37" s="38"/>
      <c r="F37" s="17"/>
      <c r="G37" s="126"/>
      <c r="H37" s="130"/>
      <c r="I37" s="131"/>
      <c r="J37" s="99"/>
      <c r="K37" s="5"/>
      <c r="L37" s="5"/>
      <c r="M37" s="5"/>
      <c r="N37" s="5"/>
      <c r="P37" s="100" t="s">
        <v>40</v>
      </c>
    </row>
    <row r="38" spans="2:19">
      <c r="E38" s="38"/>
      <c r="F38" s="17"/>
      <c r="G38" s="17"/>
      <c r="H38" s="17"/>
      <c r="I38" s="17"/>
      <c r="J38" s="99"/>
      <c r="K38" s="5"/>
      <c r="L38" s="5"/>
      <c r="M38" s="5"/>
      <c r="N38" s="5"/>
      <c r="P38" s="95">
        <f>P35/18</f>
        <v>24151.004340186701</v>
      </c>
    </row>
    <row r="39" spans="2:19">
      <c r="E39" s="38"/>
      <c r="F39" s="4"/>
      <c r="G39" s="17"/>
      <c r="H39" s="4"/>
      <c r="I39" s="4"/>
      <c r="J39" s="101"/>
      <c r="K39" s="5"/>
      <c r="L39" s="5"/>
      <c r="M39" s="5"/>
      <c r="N39" s="5"/>
    </row>
    <row r="40" spans="2:19" hidden="1">
      <c r="K40" s="5"/>
      <c r="L40" s="5"/>
      <c r="M40" s="5"/>
      <c r="N40" s="5"/>
    </row>
    <row r="41" spans="2:19" ht="15.75" hidden="1" customHeight="1" thickBot="1">
      <c r="K41" s="5"/>
      <c r="L41" s="5"/>
      <c r="M41" s="5"/>
      <c r="N41" s="5"/>
    </row>
    <row r="42" spans="2:19" ht="30.75" hidden="1" customHeight="1" thickBot="1">
      <c r="K42" s="5"/>
      <c r="L42" s="5"/>
      <c r="M42" s="5"/>
      <c r="N42" s="5"/>
    </row>
    <row r="43" spans="2:19" hidden="1">
      <c r="K43" s="5"/>
      <c r="L43" s="5"/>
      <c r="M43" s="5"/>
      <c r="N43" s="5"/>
    </row>
    <row r="44" spans="2:19" ht="15.75" hidden="1" customHeight="1" thickBot="1">
      <c r="K44" s="5"/>
      <c r="L44" s="5"/>
      <c r="M44" s="5"/>
      <c r="N44" s="5"/>
    </row>
    <row r="45" spans="2:19" ht="15.75" hidden="1" customHeight="1" thickBot="1"/>
    <row r="46" spans="2:19" hidden="1"/>
    <row r="47" spans="2:19" hidden="1"/>
    <row r="48" spans="2:19" ht="15.75" hidden="1" customHeight="1" thickBot="1"/>
    <row r="49" ht="15.75" hidden="1" customHeight="1" thickBot="1"/>
    <row r="50" ht="15" hidden="1" customHeight="1"/>
    <row r="51" ht="15.75" hidden="1" customHeight="1" thickBot="1"/>
    <row r="52" ht="15.75" hidden="1" customHeight="1" thickBot="1"/>
    <row r="53" ht="15" hidden="1" customHeight="1"/>
    <row r="54" ht="15.75" hidden="1" customHeight="1" thickBot="1"/>
    <row r="55" ht="15.75" hidden="1" customHeight="1" thickBot="1"/>
    <row r="56" ht="15" hidden="1" customHeight="1"/>
    <row r="57" ht="15" hidden="1" customHeight="1"/>
    <row r="58" ht="15.75" hidden="1" customHeight="1" thickBot="1"/>
    <row r="59" ht="15.75" hidden="1" customHeight="1" thickBot="1"/>
    <row r="60" ht="15.75" hidden="1" customHeight="1" thickBot="1"/>
    <row r="61" ht="15.75" hidden="1" customHeight="1" thickBot="1"/>
    <row r="62" ht="15.75" hidden="1" customHeight="1" thickBot="1"/>
    <row r="63" ht="15.75" hidden="1" customHeight="1" thickBot="1"/>
    <row r="64" ht="15.75" hidden="1" customHeight="1" thickBot="1"/>
    <row r="65" spans="16:16" ht="15.75" hidden="1" customHeight="1" thickBot="1"/>
    <row r="66" spans="16:16" hidden="1"/>
    <row r="67" spans="16:16" hidden="1"/>
    <row r="68" spans="16:16" hidden="1"/>
    <row r="69" spans="16:16" hidden="1"/>
    <row r="70" spans="16:16" hidden="1"/>
    <row r="71" spans="16:16" ht="15.75" hidden="1" customHeight="1" thickBot="1"/>
    <row r="72" spans="16:16" ht="15.75" hidden="1" customHeight="1" thickBot="1"/>
    <row r="73" spans="16:16" ht="16.5" hidden="1" customHeight="1" thickTop="1" thickBot="1"/>
    <row r="74" spans="16:16" hidden="1"/>
    <row r="76" spans="16:16">
      <c r="P76" s="100" t="s">
        <v>41</v>
      </c>
    </row>
    <row r="77" spans="16:16">
      <c r="P77" s="95">
        <f>P35/24</f>
        <v>18113.253255140025</v>
      </c>
    </row>
  </sheetData>
  <mergeCells count="32">
    <mergeCell ref="H24:H25"/>
    <mergeCell ref="G33:I33"/>
    <mergeCell ref="E24:E25"/>
    <mergeCell ref="J24:J25"/>
    <mergeCell ref="K24:K25"/>
    <mergeCell ref="I24:I25"/>
    <mergeCell ref="K10:K11"/>
    <mergeCell ref="A19:A20"/>
    <mergeCell ref="E19:E20"/>
    <mergeCell ref="J19:J20"/>
    <mergeCell ref="K19:K20"/>
    <mergeCell ref="A10:A11"/>
    <mergeCell ref="D10:D11"/>
    <mergeCell ref="E10:E11"/>
    <mergeCell ref="F10:F11"/>
    <mergeCell ref="J10:J11"/>
    <mergeCell ref="I10:I11"/>
    <mergeCell ref="I19:I20"/>
    <mergeCell ref="H10:H11"/>
    <mergeCell ref="E21:E22"/>
    <mergeCell ref="J21:J22"/>
    <mergeCell ref="K21:K22"/>
    <mergeCell ref="H19:H20"/>
    <mergeCell ref="H21:H22"/>
    <mergeCell ref="I21:I22"/>
    <mergeCell ref="O3:Q3"/>
    <mergeCell ref="J4:J6"/>
    <mergeCell ref="K4:K6"/>
    <mergeCell ref="D5:D6"/>
    <mergeCell ref="F5:F6"/>
    <mergeCell ref="H4:H6"/>
    <mergeCell ref="I4:I6"/>
  </mergeCells>
  <pageMargins left="0.2" right="0.2" top="0.25" bottom="0.25" header="0.3" footer="0.3"/>
  <pageSetup scale="76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CE28"/>
  <sheetViews>
    <sheetView topLeftCell="AZ1" workbookViewId="0">
      <selection activeCell="BE5" sqref="BE5:BS30"/>
    </sheetView>
  </sheetViews>
  <sheetFormatPr defaultRowHeight="13.2"/>
  <cols>
    <col min="1" max="1" width="38.44140625" style="785" customWidth="1"/>
    <col min="2" max="2" width="12.88671875" style="790" customWidth="1"/>
    <col min="3" max="58" width="7.6640625" style="785" customWidth="1"/>
    <col min="59" max="59" width="13" style="785" customWidth="1"/>
    <col min="60" max="60" width="8.44140625" style="785" customWidth="1"/>
    <col min="61" max="61" width="8.109375" style="785" customWidth="1"/>
    <col min="62" max="67" width="8.109375" style="785" bestFit="1" customWidth="1"/>
    <col min="68" max="68" width="7.44140625" style="785" bestFit="1" customWidth="1"/>
    <col min="69" max="69" width="9" style="785" bestFit="1" customWidth="1"/>
    <col min="70" max="82" width="7.6640625" style="785" customWidth="1"/>
    <col min="83" max="256" width="8.88671875" style="785"/>
    <col min="257" max="257" width="38.44140625" style="785" customWidth="1"/>
    <col min="258" max="258" width="12.88671875" style="785" customWidth="1"/>
    <col min="259" max="314" width="7.6640625" style="785" customWidth="1"/>
    <col min="315" max="315" width="13" style="785" customWidth="1"/>
    <col min="316" max="316" width="8.44140625" style="785" customWidth="1"/>
    <col min="317" max="317" width="8.109375" style="785" customWidth="1"/>
    <col min="318" max="323" width="8.109375" style="785" bestFit="1" customWidth="1"/>
    <col min="324" max="324" width="7.44140625" style="785" bestFit="1" customWidth="1"/>
    <col min="325" max="325" width="9" style="785" bestFit="1" customWidth="1"/>
    <col min="326" max="338" width="7.6640625" style="785" customWidth="1"/>
    <col min="339" max="512" width="8.88671875" style="785"/>
    <col min="513" max="513" width="38.44140625" style="785" customWidth="1"/>
    <col min="514" max="514" width="12.88671875" style="785" customWidth="1"/>
    <col min="515" max="570" width="7.6640625" style="785" customWidth="1"/>
    <col min="571" max="571" width="13" style="785" customWidth="1"/>
    <col min="572" max="572" width="8.44140625" style="785" customWidth="1"/>
    <col min="573" max="573" width="8.109375" style="785" customWidth="1"/>
    <col min="574" max="579" width="8.109375" style="785" bestFit="1" customWidth="1"/>
    <col min="580" max="580" width="7.44140625" style="785" bestFit="1" customWidth="1"/>
    <col min="581" max="581" width="9" style="785" bestFit="1" customWidth="1"/>
    <col min="582" max="594" width="7.6640625" style="785" customWidth="1"/>
    <col min="595" max="768" width="8.88671875" style="785"/>
    <col min="769" max="769" width="38.44140625" style="785" customWidth="1"/>
    <col min="770" max="770" width="12.88671875" style="785" customWidth="1"/>
    <col min="771" max="826" width="7.6640625" style="785" customWidth="1"/>
    <col min="827" max="827" width="13" style="785" customWidth="1"/>
    <col min="828" max="828" width="8.44140625" style="785" customWidth="1"/>
    <col min="829" max="829" width="8.109375" style="785" customWidth="1"/>
    <col min="830" max="835" width="8.109375" style="785" bestFit="1" customWidth="1"/>
    <col min="836" max="836" width="7.44140625" style="785" bestFit="1" customWidth="1"/>
    <col min="837" max="837" width="9" style="785" bestFit="1" customWidth="1"/>
    <col min="838" max="850" width="7.6640625" style="785" customWidth="1"/>
    <col min="851" max="1024" width="8.88671875" style="785"/>
    <col min="1025" max="1025" width="38.44140625" style="785" customWidth="1"/>
    <col min="1026" max="1026" width="12.88671875" style="785" customWidth="1"/>
    <col min="1027" max="1082" width="7.6640625" style="785" customWidth="1"/>
    <col min="1083" max="1083" width="13" style="785" customWidth="1"/>
    <col min="1084" max="1084" width="8.44140625" style="785" customWidth="1"/>
    <col min="1085" max="1085" width="8.109375" style="785" customWidth="1"/>
    <col min="1086" max="1091" width="8.109375" style="785" bestFit="1" customWidth="1"/>
    <col min="1092" max="1092" width="7.44140625" style="785" bestFit="1" customWidth="1"/>
    <col min="1093" max="1093" width="9" style="785" bestFit="1" customWidth="1"/>
    <col min="1094" max="1106" width="7.6640625" style="785" customWidth="1"/>
    <col min="1107" max="1280" width="8.88671875" style="785"/>
    <col min="1281" max="1281" width="38.44140625" style="785" customWidth="1"/>
    <col min="1282" max="1282" width="12.88671875" style="785" customWidth="1"/>
    <col min="1283" max="1338" width="7.6640625" style="785" customWidth="1"/>
    <col min="1339" max="1339" width="13" style="785" customWidth="1"/>
    <col min="1340" max="1340" width="8.44140625" style="785" customWidth="1"/>
    <col min="1341" max="1341" width="8.109375" style="785" customWidth="1"/>
    <col min="1342" max="1347" width="8.109375" style="785" bestFit="1" customWidth="1"/>
    <col min="1348" max="1348" width="7.44140625" style="785" bestFit="1" customWidth="1"/>
    <col min="1349" max="1349" width="9" style="785" bestFit="1" customWidth="1"/>
    <col min="1350" max="1362" width="7.6640625" style="785" customWidth="1"/>
    <col min="1363" max="1536" width="8.88671875" style="785"/>
    <col min="1537" max="1537" width="38.44140625" style="785" customWidth="1"/>
    <col min="1538" max="1538" width="12.88671875" style="785" customWidth="1"/>
    <col min="1539" max="1594" width="7.6640625" style="785" customWidth="1"/>
    <col min="1595" max="1595" width="13" style="785" customWidth="1"/>
    <col min="1596" max="1596" width="8.44140625" style="785" customWidth="1"/>
    <col min="1597" max="1597" width="8.109375" style="785" customWidth="1"/>
    <col min="1598" max="1603" width="8.109375" style="785" bestFit="1" customWidth="1"/>
    <col min="1604" max="1604" width="7.44140625" style="785" bestFit="1" customWidth="1"/>
    <col min="1605" max="1605" width="9" style="785" bestFit="1" customWidth="1"/>
    <col min="1606" max="1618" width="7.6640625" style="785" customWidth="1"/>
    <col min="1619" max="1792" width="8.88671875" style="785"/>
    <col min="1793" max="1793" width="38.44140625" style="785" customWidth="1"/>
    <col min="1794" max="1794" width="12.88671875" style="785" customWidth="1"/>
    <col min="1795" max="1850" width="7.6640625" style="785" customWidth="1"/>
    <col min="1851" max="1851" width="13" style="785" customWidth="1"/>
    <col min="1852" max="1852" width="8.44140625" style="785" customWidth="1"/>
    <col min="1853" max="1853" width="8.109375" style="785" customWidth="1"/>
    <col min="1854" max="1859" width="8.109375" style="785" bestFit="1" customWidth="1"/>
    <col min="1860" max="1860" width="7.44140625" style="785" bestFit="1" customWidth="1"/>
    <col min="1861" max="1861" width="9" style="785" bestFit="1" customWidth="1"/>
    <col min="1862" max="1874" width="7.6640625" style="785" customWidth="1"/>
    <col min="1875" max="2048" width="8.88671875" style="785"/>
    <col min="2049" max="2049" width="38.44140625" style="785" customWidth="1"/>
    <col min="2050" max="2050" width="12.88671875" style="785" customWidth="1"/>
    <col min="2051" max="2106" width="7.6640625" style="785" customWidth="1"/>
    <col min="2107" max="2107" width="13" style="785" customWidth="1"/>
    <col min="2108" max="2108" width="8.44140625" style="785" customWidth="1"/>
    <col min="2109" max="2109" width="8.109375" style="785" customWidth="1"/>
    <col min="2110" max="2115" width="8.109375" style="785" bestFit="1" customWidth="1"/>
    <col min="2116" max="2116" width="7.44140625" style="785" bestFit="1" customWidth="1"/>
    <col min="2117" max="2117" width="9" style="785" bestFit="1" customWidth="1"/>
    <col min="2118" max="2130" width="7.6640625" style="785" customWidth="1"/>
    <col min="2131" max="2304" width="8.88671875" style="785"/>
    <col min="2305" max="2305" width="38.44140625" style="785" customWidth="1"/>
    <col min="2306" max="2306" width="12.88671875" style="785" customWidth="1"/>
    <col min="2307" max="2362" width="7.6640625" style="785" customWidth="1"/>
    <col min="2363" max="2363" width="13" style="785" customWidth="1"/>
    <col min="2364" max="2364" width="8.44140625" style="785" customWidth="1"/>
    <col min="2365" max="2365" width="8.109375" style="785" customWidth="1"/>
    <col min="2366" max="2371" width="8.109375" style="785" bestFit="1" customWidth="1"/>
    <col min="2372" max="2372" width="7.44140625" style="785" bestFit="1" customWidth="1"/>
    <col min="2373" max="2373" width="9" style="785" bestFit="1" customWidth="1"/>
    <col min="2374" max="2386" width="7.6640625" style="785" customWidth="1"/>
    <col min="2387" max="2560" width="8.88671875" style="785"/>
    <col min="2561" max="2561" width="38.44140625" style="785" customWidth="1"/>
    <col min="2562" max="2562" width="12.88671875" style="785" customWidth="1"/>
    <col min="2563" max="2618" width="7.6640625" style="785" customWidth="1"/>
    <col min="2619" max="2619" width="13" style="785" customWidth="1"/>
    <col min="2620" max="2620" width="8.44140625" style="785" customWidth="1"/>
    <col min="2621" max="2621" width="8.109375" style="785" customWidth="1"/>
    <col min="2622" max="2627" width="8.109375" style="785" bestFit="1" customWidth="1"/>
    <col min="2628" max="2628" width="7.44140625" style="785" bestFit="1" customWidth="1"/>
    <col min="2629" max="2629" width="9" style="785" bestFit="1" customWidth="1"/>
    <col min="2630" max="2642" width="7.6640625" style="785" customWidth="1"/>
    <col min="2643" max="2816" width="8.88671875" style="785"/>
    <col min="2817" max="2817" width="38.44140625" style="785" customWidth="1"/>
    <col min="2818" max="2818" width="12.88671875" style="785" customWidth="1"/>
    <col min="2819" max="2874" width="7.6640625" style="785" customWidth="1"/>
    <col min="2875" max="2875" width="13" style="785" customWidth="1"/>
    <col min="2876" max="2876" width="8.44140625" style="785" customWidth="1"/>
    <col min="2877" max="2877" width="8.109375" style="785" customWidth="1"/>
    <col min="2878" max="2883" width="8.109375" style="785" bestFit="1" customWidth="1"/>
    <col min="2884" max="2884" width="7.44140625" style="785" bestFit="1" customWidth="1"/>
    <col min="2885" max="2885" width="9" style="785" bestFit="1" customWidth="1"/>
    <col min="2886" max="2898" width="7.6640625" style="785" customWidth="1"/>
    <col min="2899" max="3072" width="8.88671875" style="785"/>
    <col min="3073" max="3073" width="38.44140625" style="785" customWidth="1"/>
    <col min="3074" max="3074" width="12.88671875" style="785" customWidth="1"/>
    <col min="3075" max="3130" width="7.6640625" style="785" customWidth="1"/>
    <col min="3131" max="3131" width="13" style="785" customWidth="1"/>
    <col min="3132" max="3132" width="8.44140625" style="785" customWidth="1"/>
    <col min="3133" max="3133" width="8.109375" style="785" customWidth="1"/>
    <col min="3134" max="3139" width="8.109375" style="785" bestFit="1" customWidth="1"/>
    <col min="3140" max="3140" width="7.44140625" style="785" bestFit="1" customWidth="1"/>
    <col min="3141" max="3141" width="9" style="785" bestFit="1" customWidth="1"/>
    <col min="3142" max="3154" width="7.6640625" style="785" customWidth="1"/>
    <col min="3155" max="3328" width="8.88671875" style="785"/>
    <col min="3329" max="3329" width="38.44140625" style="785" customWidth="1"/>
    <col min="3330" max="3330" width="12.88671875" style="785" customWidth="1"/>
    <col min="3331" max="3386" width="7.6640625" style="785" customWidth="1"/>
    <col min="3387" max="3387" width="13" style="785" customWidth="1"/>
    <col min="3388" max="3388" width="8.44140625" style="785" customWidth="1"/>
    <col min="3389" max="3389" width="8.109375" style="785" customWidth="1"/>
    <col min="3390" max="3395" width="8.109375" style="785" bestFit="1" customWidth="1"/>
    <col min="3396" max="3396" width="7.44140625" style="785" bestFit="1" customWidth="1"/>
    <col min="3397" max="3397" width="9" style="785" bestFit="1" customWidth="1"/>
    <col min="3398" max="3410" width="7.6640625" style="785" customWidth="1"/>
    <col min="3411" max="3584" width="8.88671875" style="785"/>
    <col min="3585" max="3585" width="38.44140625" style="785" customWidth="1"/>
    <col min="3586" max="3586" width="12.88671875" style="785" customWidth="1"/>
    <col min="3587" max="3642" width="7.6640625" style="785" customWidth="1"/>
    <col min="3643" max="3643" width="13" style="785" customWidth="1"/>
    <col min="3644" max="3644" width="8.44140625" style="785" customWidth="1"/>
    <col min="3645" max="3645" width="8.109375" style="785" customWidth="1"/>
    <col min="3646" max="3651" width="8.109375" style="785" bestFit="1" customWidth="1"/>
    <col min="3652" max="3652" width="7.44140625" style="785" bestFit="1" customWidth="1"/>
    <col min="3653" max="3653" width="9" style="785" bestFit="1" customWidth="1"/>
    <col min="3654" max="3666" width="7.6640625" style="785" customWidth="1"/>
    <col min="3667" max="3840" width="8.88671875" style="785"/>
    <col min="3841" max="3841" width="38.44140625" style="785" customWidth="1"/>
    <col min="3842" max="3842" width="12.88671875" style="785" customWidth="1"/>
    <col min="3843" max="3898" width="7.6640625" style="785" customWidth="1"/>
    <col min="3899" max="3899" width="13" style="785" customWidth="1"/>
    <col min="3900" max="3900" width="8.44140625" style="785" customWidth="1"/>
    <col min="3901" max="3901" width="8.109375" style="785" customWidth="1"/>
    <col min="3902" max="3907" width="8.109375" style="785" bestFit="1" customWidth="1"/>
    <col min="3908" max="3908" width="7.44140625" style="785" bestFit="1" customWidth="1"/>
    <col min="3909" max="3909" width="9" style="785" bestFit="1" customWidth="1"/>
    <col min="3910" max="3922" width="7.6640625" style="785" customWidth="1"/>
    <col min="3923" max="4096" width="8.88671875" style="785"/>
    <col min="4097" max="4097" width="38.44140625" style="785" customWidth="1"/>
    <col min="4098" max="4098" width="12.88671875" style="785" customWidth="1"/>
    <col min="4099" max="4154" width="7.6640625" style="785" customWidth="1"/>
    <col min="4155" max="4155" width="13" style="785" customWidth="1"/>
    <col min="4156" max="4156" width="8.44140625" style="785" customWidth="1"/>
    <col min="4157" max="4157" width="8.109375" style="785" customWidth="1"/>
    <col min="4158" max="4163" width="8.109375" style="785" bestFit="1" customWidth="1"/>
    <col min="4164" max="4164" width="7.44140625" style="785" bestFit="1" customWidth="1"/>
    <col min="4165" max="4165" width="9" style="785" bestFit="1" customWidth="1"/>
    <col min="4166" max="4178" width="7.6640625" style="785" customWidth="1"/>
    <col min="4179" max="4352" width="8.88671875" style="785"/>
    <col min="4353" max="4353" width="38.44140625" style="785" customWidth="1"/>
    <col min="4354" max="4354" width="12.88671875" style="785" customWidth="1"/>
    <col min="4355" max="4410" width="7.6640625" style="785" customWidth="1"/>
    <col min="4411" max="4411" width="13" style="785" customWidth="1"/>
    <col min="4412" max="4412" width="8.44140625" style="785" customWidth="1"/>
    <col min="4413" max="4413" width="8.109375" style="785" customWidth="1"/>
    <col min="4414" max="4419" width="8.109375" style="785" bestFit="1" customWidth="1"/>
    <col min="4420" max="4420" width="7.44140625" style="785" bestFit="1" customWidth="1"/>
    <col min="4421" max="4421" width="9" style="785" bestFit="1" customWidth="1"/>
    <col min="4422" max="4434" width="7.6640625" style="785" customWidth="1"/>
    <col min="4435" max="4608" width="8.88671875" style="785"/>
    <col min="4609" max="4609" width="38.44140625" style="785" customWidth="1"/>
    <col min="4610" max="4610" width="12.88671875" style="785" customWidth="1"/>
    <col min="4611" max="4666" width="7.6640625" style="785" customWidth="1"/>
    <col min="4667" max="4667" width="13" style="785" customWidth="1"/>
    <col min="4668" max="4668" width="8.44140625" style="785" customWidth="1"/>
    <col min="4669" max="4669" width="8.109375" style="785" customWidth="1"/>
    <col min="4670" max="4675" width="8.109375" style="785" bestFit="1" customWidth="1"/>
    <col min="4676" max="4676" width="7.44140625" style="785" bestFit="1" customWidth="1"/>
    <col min="4677" max="4677" width="9" style="785" bestFit="1" customWidth="1"/>
    <col min="4678" max="4690" width="7.6640625" style="785" customWidth="1"/>
    <col min="4691" max="4864" width="8.88671875" style="785"/>
    <col min="4865" max="4865" width="38.44140625" style="785" customWidth="1"/>
    <col min="4866" max="4866" width="12.88671875" style="785" customWidth="1"/>
    <col min="4867" max="4922" width="7.6640625" style="785" customWidth="1"/>
    <col min="4923" max="4923" width="13" style="785" customWidth="1"/>
    <col min="4924" max="4924" width="8.44140625" style="785" customWidth="1"/>
    <col min="4925" max="4925" width="8.109375" style="785" customWidth="1"/>
    <col min="4926" max="4931" width="8.109375" style="785" bestFit="1" customWidth="1"/>
    <col min="4932" max="4932" width="7.44140625" style="785" bestFit="1" customWidth="1"/>
    <col min="4933" max="4933" width="9" style="785" bestFit="1" customWidth="1"/>
    <col min="4934" max="4946" width="7.6640625" style="785" customWidth="1"/>
    <col min="4947" max="5120" width="8.88671875" style="785"/>
    <col min="5121" max="5121" width="38.44140625" style="785" customWidth="1"/>
    <col min="5122" max="5122" width="12.88671875" style="785" customWidth="1"/>
    <col min="5123" max="5178" width="7.6640625" style="785" customWidth="1"/>
    <col min="5179" max="5179" width="13" style="785" customWidth="1"/>
    <col min="5180" max="5180" width="8.44140625" style="785" customWidth="1"/>
    <col min="5181" max="5181" width="8.109375" style="785" customWidth="1"/>
    <col min="5182" max="5187" width="8.109375" style="785" bestFit="1" customWidth="1"/>
    <col min="5188" max="5188" width="7.44140625" style="785" bestFit="1" customWidth="1"/>
    <col min="5189" max="5189" width="9" style="785" bestFit="1" customWidth="1"/>
    <col min="5190" max="5202" width="7.6640625" style="785" customWidth="1"/>
    <col min="5203" max="5376" width="8.88671875" style="785"/>
    <col min="5377" max="5377" width="38.44140625" style="785" customWidth="1"/>
    <col min="5378" max="5378" width="12.88671875" style="785" customWidth="1"/>
    <col min="5379" max="5434" width="7.6640625" style="785" customWidth="1"/>
    <col min="5435" max="5435" width="13" style="785" customWidth="1"/>
    <col min="5436" max="5436" width="8.44140625" style="785" customWidth="1"/>
    <col min="5437" max="5437" width="8.109375" style="785" customWidth="1"/>
    <col min="5438" max="5443" width="8.109375" style="785" bestFit="1" customWidth="1"/>
    <col min="5444" max="5444" width="7.44140625" style="785" bestFit="1" customWidth="1"/>
    <col min="5445" max="5445" width="9" style="785" bestFit="1" customWidth="1"/>
    <col min="5446" max="5458" width="7.6640625" style="785" customWidth="1"/>
    <col min="5459" max="5632" width="8.88671875" style="785"/>
    <col min="5633" max="5633" width="38.44140625" style="785" customWidth="1"/>
    <col min="5634" max="5634" width="12.88671875" style="785" customWidth="1"/>
    <col min="5635" max="5690" width="7.6640625" style="785" customWidth="1"/>
    <col min="5691" max="5691" width="13" style="785" customWidth="1"/>
    <col min="5692" max="5692" width="8.44140625" style="785" customWidth="1"/>
    <col min="5693" max="5693" width="8.109375" style="785" customWidth="1"/>
    <col min="5694" max="5699" width="8.109375" style="785" bestFit="1" customWidth="1"/>
    <col min="5700" max="5700" width="7.44140625" style="785" bestFit="1" customWidth="1"/>
    <col min="5701" max="5701" width="9" style="785" bestFit="1" customWidth="1"/>
    <col min="5702" max="5714" width="7.6640625" style="785" customWidth="1"/>
    <col min="5715" max="5888" width="8.88671875" style="785"/>
    <col min="5889" max="5889" width="38.44140625" style="785" customWidth="1"/>
    <col min="5890" max="5890" width="12.88671875" style="785" customWidth="1"/>
    <col min="5891" max="5946" width="7.6640625" style="785" customWidth="1"/>
    <col min="5947" max="5947" width="13" style="785" customWidth="1"/>
    <col min="5948" max="5948" width="8.44140625" style="785" customWidth="1"/>
    <col min="5949" max="5949" width="8.109375" style="785" customWidth="1"/>
    <col min="5950" max="5955" width="8.109375" style="785" bestFit="1" customWidth="1"/>
    <col min="5956" max="5956" width="7.44140625" style="785" bestFit="1" customWidth="1"/>
    <col min="5957" max="5957" width="9" style="785" bestFit="1" customWidth="1"/>
    <col min="5958" max="5970" width="7.6640625" style="785" customWidth="1"/>
    <col min="5971" max="6144" width="8.88671875" style="785"/>
    <col min="6145" max="6145" width="38.44140625" style="785" customWidth="1"/>
    <col min="6146" max="6146" width="12.88671875" style="785" customWidth="1"/>
    <col min="6147" max="6202" width="7.6640625" style="785" customWidth="1"/>
    <col min="6203" max="6203" width="13" style="785" customWidth="1"/>
    <col min="6204" max="6204" width="8.44140625" style="785" customWidth="1"/>
    <col min="6205" max="6205" width="8.109375" style="785" customWidth="1"/>
    <col min="6206" max="6211" width="8.109375" style="785" bestFit="1" customWidth="1"/>
    <col min="6212" max="6212" width="7.44140625" style="785" bestFit="1" customWidth="1"/>
    <col min="6213" max="6213" width="9" style="785" bestFit="1" customWidth="1"/>
    <col min="6214" max="6226" width="7.6640625" style="785" customWidth="1"/>
    <col min="6227" max="6400" width="8.88671875" style="785"/>
    <col min="6401" max="6401" width="38.44140625" style="785" customWidth="1"/>
    <col min="6402" max="6402" width="12.88671875" style="785" customWidth="1"/>
    <col min="6403" max="6458" width="7.6640625" style="785" customWidth="1"/>
    <col min="6459" max="6459" width="13" style="785" customWidth="1"/>
    <col min="6460" max="6460" width="8.44140625" style="785" customWidth="1"/>
    <col min="6461" max="6461" width="8.109375" style="785" customWidth="1"/>
    <col min="6462" max="6467" width="8.109375" style="785" bestFit="1" customWidth="1"/>
    <col min="6468" max="6468" width="7.44140625" style="785" bestFit="1" customWidth="1"/>
    <col min="6469" max="6469" width="9" style="785" bestFit="1" customWidth="1"/>
    <col min="6470" max="6482" width="7.6640625" style="785" customWidth="1"/>
    <col min="6483" max="6656" width="8.88671875" style="785"/>
    <col min="6657" max="6657" width="38.44140625" style="785" customWidth="1"/>
    <col min="6658" max="6658" width="12.88671875" style="785" customWidth="1"/>
    <col min="6659" max="6714" width="7.6640625" style="785" customWidth="1"/>
    <col min="6715" max="6715" width="13" style="785" customWidth="1"/>
    <col min="6716" max="6716" width="8.44140625" style="785" customWidth="1"/>
    <col min="6717" max="6717" width="8.109375" style="785" customWidth="1"/>
    <col min="6718" max="6723" width="8.109375" style="785" bestFit="1" customWidth="1"/>
    <col min="6724" max="6724" width="7.44140625" style="785" bestFit="1" customWidth="1"/>
    <col min="6725" max="6725" width="9" style="785" bestFit="1" customWidth="1"/>
    <col min="6726" max="6738" width="7.6640625" style="785" customWidth="1"/>
    <col min="6739" max="6912" width="8.88671875" style="785"/>
    <col min="6913" max="6913" width="38.44140625" style="785" customWidth="1"/>
    <col min="6914" max="6914" width="12.88671875" style="785" customWidth="1"/>
    <col min="6915" max="6970" width="7.6640625" style="785" customWidth="1"/>
    <col min="6971" max="6971" width="13" style="785" customWidth="1"/>
    <col min="6972" max="6972" width="8.44140625" style="785" customWidth="1"/>
    <col min="6973" max="6973" width="8.109375" style="785" customWidth="1"/>
    <col min="6974" max="6979" width="8.109375" style="785" bestFit="1" customWidth="1"/>
    <col min="6980" max="6980" width="7.44140625" style="785" bestFit="1" customWidth="1"/>
    <col min="6981" max="6981" width="9" style="785" bestFit="1" customWidth="1"/>
    <col min="6982" max="6994" width="7.6640625" style="785" customWidth="1"/>
    <col min="6995" max="7168" width="8.88671875" style="785"/>
    <col min="7169" max="7169" width="38.44140625" style="785" customWidth="1"/>
    <col min="7170" max="7170" width="12.88671875" style="785" customWidth="1"/>
    <col min="7171" max="7226" width="7.6640625" style="785" customWidth="1"/>
    <col min="7227" max="7227" width="13" style="785" customWidth="1"/>
    <col min="7228" max="7228" width="8.44140625" style="785" customWidth="1"/>
    <col min="7229" max="7229" width="8.109375" style="785" customWidth="1"/>
    <col min="7230" max="7235" width="8.109375" style="785" bestFit="1" customWidth="1"/>
    <col min="7236" max="7236" width="7.44140625" style="785" bestFit="1" customWidth="1"/>
    <col min="7237" max="7237" width="9" style="785" bestFit="1" customWidth="1"/>
    <col min="7238" max="7250" width="7.6640625" style="785" customWidth="1"/>
    <col min="7251" max="7424" width="8.88671875" style="785"/>
    <col min="7425" max="7425" width="38.44140625" style="785" customWidth="1"/>
    <col min="7426" max="7426" width="12.88671875" style="785" customWidth="1"/>
    <col min="7427" max="7482" width="7.6640625" style="785" customWidth="1"/>
    <col min="7483" max="7483" width="13" style="785" customWidth="1"/>
    <col min="7484" max="7484" width="8.44140625" style="785" customWidth="1"/>
    <col min="7485" max="7485" width="8.109375" style="785" customWidth="1"/>
    <col min="7486" max="7491" width="8.109375" style="785" bestFit="1" customWidth="1"/>
    <col min="7492" max="7492" width="7.44140625" style="785" bestFit="1" customWidth="1"/>
    <col min="7493" max="7493" width="9" style="785" bestFit="1" customWidth="1"/>
    <col min="7494" max="7506" width="7.6640625" style="785" customWidth="1"/>
    <col min="7507" max="7680" width="8.88671875" style="785"/>
    <col min="7681" max="7681" width="38.44140625" style="785" customWidth="1"/>
    <col min="7682" max="7682" width="12.88671875" style="785" customWidth="1"/>
    <col min="7683" max="7738" width="7.6640625" style="785" customWidth="1"/>
    <col min="7739" max="7739" width="13" style="785" customWidth="1"/>
    <col min="7740" max="7740" width="8.44140625" style="785" customWidth="1"/>
    <col min="7741" max="7741" width="8.109375" style="785" customWidth="1"/>
    <col min="7742" max="7747" width="8.109375" style="785" bestFit="1" customWidth="1"/>
    <col min="7748" max="7748" width="7.44140625" style="785" bestFit="1" customWidth="1"/>
    <col min="7749" max="7749" width="9" style="785" bestFit="1" customWidth="1"/>
    <col min="7750" max="7762" width="7.6640625" style="785" customWidth="1"/>
    <col min="7763" max="7936" width="8.88671875" style="785"/>
    <col min="7937" max="7937" width="38.44140625" style="785" customWidth="1"/>
    <col min="7938" max="7938" width="12.88671875" style="785" customWidth="1"/>
    <col min="7939" max="7994" width="7.6640625" style="785" customWidth="1"/>
    <col min="7995" max="7995" width="13" style="785" customWidth="1"/>
    <col min="7996" max="7996" width="8.44140625" style="785" customWidth="1"/>
    <col min="7997" max="7997" width="8.109375" style="785" customWidth="1"/>
    <col min="7998" max="8003" width="8.109375" style="785" bestFit="1" customWidth="1"/>
    <col min="8004" max="8004" width="7.44140625" style="785" bestFit="1" customWidth="1"/>
    <col min="8005" max="8005" width="9" style="785" bestFit="1" customWidth="1"/>
    <col min="8006" max="8018" width="7.6640625" style="785" customWidth="1"/>
    <col min="8019" max="8192" width="8.88671875" style="785"/>
    <col min="8193" max="8193" width="38.44140625" style="785" customWidth="1"/>
    <col min="8194" max="8194" width="12.88671875" style="785" customWidth="1"/>
    <col min="8195" max="8250" width="7.6640625" style="785" customWidth="1"/>
    <col min="8251" max="8251" width="13" style="785" customWidth="1"/>
    <col min="8252" max="8252" width="8.44140625" style="785" customWidth="1"/>
    <col min="8253" max="8253" width="8.109375" style="785" customWidth="1"/>
    <col min="8254" max="8259" width="8.109375" style="785" bestFit="1" customWidth="1"/>
    <col min="8260" max="8260" width="7.44140625" style="785" bestFit="1" customWidth="1"/>
    <col min="8261" max="8261" width="9" style="785" bestFit="1" customWidth="1"/>
    <col min="8262" max="8274" width="7.6640625" style="785" customWidth="1"/>
    <col min="8275" max="8448" width="8.88671875" style="785"/>
    <col min="8449" max="8449" width="38.44140625" style="785" customWidth="1"/>
    <col min="8450" max="8450" width="12.88671875" style="785" customWidth="1"/>
    <col min="8451" max="8506" width="7.6640625" style="785" customWidth="1"/>
    <col min="8507" max="8507" width="13" style="785" customWidth="1"/>
    <col min="8508" max="8508" width="8.44140625" style="785" customWidth="1"/>
    <col min="8509" max="8509" width="8.109375" style="785" customWidth="1"/>
    <col min="8510" max="8515" width="8.109375" style="785" bestFit="1" customWidth="1"/>
    <col min="8516" max="8516" width="7.44140625" style="785" bestFit="1" customWidth="1"/>
    <col min="8517" max="8517" width="9" style="785" bestFit="1" customWidth="1"/>
    <col min="8518" max="8530" width="7.6640625" style="785" customWidth="1"/>
    <col min="8531" max="8704" width="8.88671875" style="785"/>
    <col min="8705" max="8705" width="38.44140625" style="785" customWidth="1"/>
    <col min="8706" max="8706" width="12.88671875" style="785" customWidth="1"/>
    <col min="8707" max="8762" width="7.6640625" style="785" customWidth="1"/>
    <col min="8763" max="8763" width="13" style="785" customWidth="1"/>
    <col min="8764" max="8764" width="8.44140625" style="785" customWidth="1"/>
    <col min="8765" max="8765" width="8.109375" style="785" customWidth="1"/>
    <col min="8766" max="8771" width="8.109375" style="785" bestFit="1" customWidth="1"/>
    <col min="8772" max="8772" width="7.44140625" style="785" bestFit="1" customWidth="1"/>
    <col min="8773" max="8773" width="9" style="785" bestFit="1" customWidth="1"/>
    <col min="8774" max="8786" width="7.6640625" style="785" customWidth="1"/>
    <col min="8787" max="8960" width="8.88671875" style="785"/>
    <col min="8961" max="8961" width="38.44140625" style="785" customWidth="1"/>
    <col min="8962" max="8962" width="12.88671875" style="785" customWidth="1"/>
    <col min="8963" max="9018" width="7.6640625" style="785" customWidth="1"/>
    <col min="9019" max="9019" width="13" style="785" customWidth="1"/>
    <col min="9020" max="9020" width="8.44140625" style="785" customWidth="1"/>
    <col min="9021" max="9021" width="8.109375" style="785" customWidth="1"/>
    <col min="9022" max="9027" width="8.109375" style="785" bestFit="1" customWidth="1"/>
    <col min="9028" max="9028" width="7.44140625" style="785" bestFit="1" customWidth="1"/>
    <col min="9029" max="9029" width="9" style="785" bestFit="1" customWidth="1"/>
    <col min="9030" max="9042" width="7.6640625" style="785" customWidth="1"/>
    <col min="9043" max="9216" width="8.88671875" style="785"/>
    <col min="9217" max="9217" width="38.44140625" style="785" customWidth="1"/>
    <col min="9218" max="9218" width="12.88671875" style="785" customWidth="1"/>
    <col min="9219" max="9274" width="7.6640625" style="785" customWidth="1"/>
    <col min="9275" max="9275" width="13" style="785" customWidth="1"/>
    <col min="9276" max="9276" width="8.44140625" style="785" customWidth="1"/>
    <col min="9277" max="9277" width="8.109375" style="785" customWidth="1"/>
    <col min="9278" max="9283" width="8.109375" style="785" bestFit="1" customWidth="1"/>
    <col min="9284" max="9284" width="7.44140625" style="785" bestFit="1" customWidth="1"/>
    <col min="9285" max="9285" width="9" style="785" bestFit="1" customWidth="1"/>
    <col min="9286" max="9298" width="7.6640625" style="785" customWidth="1"/>
    <col min="9299" max="9472" width="8.88671875" style="785"/>
    <col min="9473" max="9473" width="38.44140625" style="785" customWidth="1"/>
    <col min="9474" max="9474" width="12.88671875" style="785" customWidth="1"/>
    <col min="9475" max="9530" width="7.6640625" style="785" customWidth="1"/>
    <col min="9531" max="9531" width="13" style="785" customWidth="1"/>
    <col min="9532" max="9532" width="8.44140625" style="785" customWidth="1"/>
    <col min="9533" max="9533" width="8.109375" style="785" customWidth="1"/>
    <col min="9534" max="9539" width="8.109375" style="785" bestFit="1" customWidth="1"/>
    <col min="9540" max="9540" width="7.44140625" style="785" bestFit="1" customWidth="1"/>
    <col min="9541" max="9541" width="9" style="785" bestFit="1" customWidth="1"/>
    <col min="9542" max="9554" width="7.6640625" style="785" customWidth="1"/>
    <col min="9555" max="9728" width="8.88671875" style="785"/>
    <col min="9729" max="9729" width="38.44140625" style="785" customWidth="1"/>
    <col min="9730" max="9730" width="12.88671875" style="785" customWidth="1"/>
    <col min="9731" max="9786" width="7.6640625" style="785" customWidth="1"/>
    <col min="9787" max="9787" width="13" style="785" customWidth="1"/>
    <col min="9788" max="9788" width="8.44140625" style="785" customWidth="1"/>
    <col min="9789" max="9789" width="8.109375" style="785" customWidth="1"/>
    <col min="9790" max="9795" width="8.109375" style="785" bestFit="1" customWidth="1"/>
    <col min="9796" max="9796" width="7.44140625" style="785" bestFit="1" customWidth="1"/>
    <col min="9797" max="9797" width="9" style="785" bestFit="1" customWidth="1"/>
    <col min="9798" max="9810" width="7.6640625" style="785" customWidth="1"/>
    <col min="9811" max="9984" width="8.88671875" style="785"/>
    <col min="9985" max="9985" width="38.44140625" style="785" customWidth="1"/>
    <col min="9986" max="9986" width="12.88671875" style="785" customWidth="1"/>
    <col min="9987" max="10042" width="7.6640625" style="785" customWidth="1"/>
    <col min="10043" max="10043" width="13" style="785" customWidth="1"/>
    <col min="10044" max="10044" width="8.44140625" style="785" customWidth="1"/>
    <col min="10045" max="10045" width="8.109375" style="785" customWidth="1"/>
    <col min="10046" max="10051" width="8.109375" style="785" bestFit="1" customWidth="1"/>
    <col min="10052" max="10052" width="7.44140625" style="785" bestFit="1" customWidth="1"/>
    <col min="10053" max="10053" width="9" style="785" bestFit="1" customWidth="1"/>
    <col min="10054" max="10066" width="7.6640625" style="785" customWidth="1"/>
    <col min="10067" max="10240" width="8.88671875" style="785"/>
    <col min="10241" max="10241" width="38.44140625" style="785" customWidth="1"/>
    <col min="10242" max="10242" width="12.88671875" style="785" customWidth="1"/>
    <col min="10243" max="10298" width="7.6640625" style="785" customWidth="1"/>
    <col min="10299" max="10299" width="13" style="785" customWidth="1"/>
    <col min="10300" max="10300" width="8.44140625" style="785" customWidth="1"/>
    <col min="10301" max="10301" width="8.109375" style="785" customWidth="1"/>
    <col min="10302" max="10307" width="8.109375" style="785" bestFit="1" customWidth="1"/>
    <col min="10308" max="10308" width="7.44140625" style="785" bestFit="1" customWidth="1"/>
    <col min="10309" max="10309" width="9" style="785" bestFit="1" customWidth="1"/>
    <col min="10310" max="10322" width="7.6640625" style="785" customWidth="1"/>
    <col min="10323" max="10496" width="8.88671875" style="785"/>
    <col min="10497" max="10497" width="38.44140625" style="785" customWidth="1"/>
    <col min="10498" max="10498" width="12.88671875" style="785" customWidth="1"/>
    <col min="10499" max="10554" width="7.6640625" style="785" customWidth="1"/>
    <col min="10555" max="10555" width="13" style="785" customWidth="1"/>
    <col min="10556" max="10556" width="8.44140625" style="785" customWidth="1"/>
    <col min="10557" max="10557" width="8.109375" style="785" customWidth="1"/>
    <col min="10558" max="10563" width="8.109375" style="785" bestFit="1" customWidth="1"/>
    <col min="10564" max="10564" width="7.44140625" style="785" bestFit="1" customWidth="1"/>
    <col min="10565" max="10565" width="9" style="785" bestFit="1" customWidth="1"/>
    <col min="10566" max="10578" width="7.6640625" style="785" customWidth="1"/>
    <col min="10579" max="10752" width="8.88671875" style="785"/>
    <col min="10753" max="10753" width="38.44140625" style="785" customWidth="1"/>
    <col min="10754" max="10754" width="12.88671875" style="785" customWidth="1"/>
    <col min="10755" max="10810" width="7.6640625" style="785" customWidth="1"/>
    <col min="10811" max="10811" width="13" style="785" customWidth="1"/>
    <col min="10812" max="10812" width="8.44140625" style="785" customWidth="1"/>
    <col min="10813" max="10813" width="8.109375" style="785" customWidth="1"/>
    <col min="10814" max="10819" width="8.109375" style="785" bestFit="1" customWidth="1"/>
    <col min="10820" max="10820" width="7.44140625" style="785" bestFit="1" customWidth="1"/>
    <col min="10821" max="10821" width="9" style="785" bestFit="1" customWidth="1"/>
    <col min="10822" max="10834" width="7.6640625" style="785" customWidth="1"/>
    <col min="10835" max="11008" width="8.88671875" style="785"/>
    <col min="11009" max="11009" width="38.44140625" style="785" customWidth="1"/>
    <col min="11010" max="11010" width="12.88671875" style="785" customWidth="1"/>
    <col min="11011" max="11066" width="7.6640625" style="785" customWidth="1"/>
    <col min="11067" max="11067" width="13" style="785" customWidth="1"/>
    <col min="11068" max="11068" width="8.44140625" style="785" customWidth="1"/>
    <col min="11069" max="11069" width="8.109375" style="785" customWidth="1"/>
    <col min="11070" max="11075" width="8.109375" style="785" bestFit="1" customWidth="1"/>
    <col min="11076" max="11076" width="7.44140625" style="785" bestFit="1" customWidth="1"/>
    <col min="11077" max="11077" width="9" style="785" bestFit="1" customWidth="1"/>
    <col min="11078" max="11090" width="7.6640625" style="785" customWidth="1"/>
    <col min="11091" max="11264" width="8.88671875" style="785"/>
    <col min="11265" max="11265" width="38.44140625" style="785" customWidth="1"/>
    <col min="11266" max="11266" width="12.88671875" style="785" customWidth="1"/>
    <col min="11267" max="11322" width="7.6640625" style="785" customWidth="1"/>
    <col min="11323" max="11323" width="13" style="785" customWidth="1"/>
    <col min="11324" max="11324" width="8.44140625" style="785" customWidth="1"/>
    <col min="11325" max="11325" width="8.109375" style="785" customWidth="1"/>
    <col min="11326" max="11331" width="8.109375" style="785" bestFit="1" customWidth="1"/>
    <col min="11332" max="11332" width="7.44140625" style="785" bestFit="1" customWidth="1"/>
    <col min="11333" max="11333" width="9" style="785" bestFit="1" customWidth="1"/>
    <col min="11334" max="11346" width="7.6640625" style="785" customWidth="1"/>
    <col min="11347" max="11520" width="8.88671875" style="785"/>
    <col min="11521" max="11521" width="38.44140625" style="785" customWidth="1"/>
    <col min="11522" max="11522" width="12.88671875" style="785" customWidth="1"/>
    <col min="11523" max="11578" width="7.6640625" style="785" customWidth="1"/>
    <col min="11579" max="11579" width="13" style="785" customWidth="1"/>
    <col min="11580" max="11580" width="8.44140625" style="785" customWidth="1"/>
    <col min="11581" max="11581" width="8.109375" style="785" customWidth="1"/>
    <col min="11582" max="11587" width="8.109375" style="785" bestFit="1" customWidth="1"/>
    <col min="11588" max="11588" width="7.44140625" style="785" bestFit="1" customWidth="1"/>
    <col min="11589" max="11589" width="9" style="785" bestFit="1" customWidth="1"/>
    <col min="11590" max="11602" width="7.6640625" style="785" customWidth="1"/>
    <col min="11603" max="11776" width="8.88671875" style="785"/>
    <col min="11777" max="11777" width="38.44140625" style="785" customWidth="1"/>
    <col min="11778" max="11778" width="12.88671875" style="785" customWidth="1"/>
    <col min="11779" max="11834" width="7.6640625" style="785" customWidth="1"/>
    <col min="11835" max="11835" width="13" style="785" customWidth="1"/>
    <col min="11836" max="11836" width="8.44140625" style="785" customWidth="1"/>
    <col min="11837" max="11837" width="8.109375" style="785" customWidth="1"/>
    <col min="11838" max="11843" width="8.109375" style="785" bestFit="1" customWidth="1"/>
    <col min="11844" max="11844" width="7.44140625" style="785" bestFit="1" customWidth="1"/>
    <col min="11845" max="11845" width="9" style="785" bestFit="1" customWidth="1"/>
    <col min="11846" max="11858" width="7.6640625" style="785" customWidth="1"/>
    <col min="11859" max="12032" width="8.88671875" style="785"/>
    <col min="12033" max="12033" width="38.44140625" style="785" customWidth="1"/>
    <col min="12034" max="12034" width="12.88671875" style="785" customWidth="1"/>
    <col min="12035" max="12090" width="7.6640625" style="785" customWidth="1"/>
    <col min="12091" max="12091" width="13" style="785" customWidth="1"/>
    <col min="12092" max="12092" width="8.44140625" style="785" customWidth="1"/>
    <col min="12093" max="12093" width="8.109375" style="785" customWidth="1"/>
    <col min="12094" max="12099" width="8.109375" style="785" bestFit="1" customWidth="1"/>
    <col min="12100" max="12100" width="7.44140625" style="785" bestFit="1" customWidth="1"/>
    <col min="12101" max="12101" width="9" style="785" bestFit="1" customWidth="1"/>
    <col min="12102" max="12114" width="7.6640625" style="785" customWidth="1"/>
    <col min="12115" max="12288" width="8.88671875" style="785"/>
    <col min="12289" max="12289" width="38.44140625" style="785" customWidth="1"/>
    <col min="12290" max="12290" width="12.88671875" style="785" customWidth="1"/>
    <col min="12291" max="12346" width="7.6640625" style="785" customWidth="1"/>
    <col min="12347" max="12347" width="13" style="785" customWidth="1"/>
    <col min="12348" max="12348" width="8.44140625" style="785" customWidth="1"/>
    <col min="12349" max="12349" width="8.109375" style="785" customWidth="1"/>
    <col min="12350" max="12355" width="8.109375" style="785" bestFit="1" customWidth="1"/>
    <col min="12356" max="12356" width="7.44140625" style="785" bestFit="1" customWidth="1"/>
    <col min="12357" max="12357" width="9" style="785" bestFit="1" customWidth="1"/>
    <col min="12358" max="12370" width="7.6640625" style="785" customWidth="1"/>
    <col min="12371" max="12544" width="8.88671875" style="785"/>
    <col min="12545" max="12545" width="38.44140625" style="785" customWidth="1"/>
    <col min="12546" max="12546" width="12.88671875" style="785" customWidth="1"/>
    <col min="12547" max="12602" width="7.6640625" style="785" customWidth="1"/>
    <col min="12603" max="12603" width="13" style="785" customWidth="1"/>
    <col min="12604" max="12604" width="8.44140625" style="785" customWidth="1"/>
    <col min="12605" max="12605" width="8.109375" style="785" customWidth="1"/>
    <col min="12606" max="12611" width="8.109375" style="785" bestFit="1" customWidth="1"/>
    <col min="12612" max="12612" width="7.44140625" style="785" bestFit="1" customWidth="1"/>
    <col min="12613" max="12613" width="9" style="785" bestFit="1" customWidth="1"/>
    <col min="12614" max="12626" width="7.6640625" style="785" customWidth="1"/>
    <col min="12627" max="12800" width="8.88671875" style="785"/>
    <col min="12801" max="12801" width="38.44140625" style="785" customWidth="1"/>
    <col min="12802" max="12802" width="12.88671875" style="785" customWidth="1"/>
    <col min="12803" max="12858" width="7.6640625" style="785" customWidth="1"/>
    <col min="12859" max="12859" width="13" style="785" customWidth="1"/>
    <col min="12860" max="12860" width="8.44140625" style="785" customWidth="1"/>
    <col min="12861" max="12861" width="8.109375" style="785" customWidth="1"/>
    <col min="12862" max="12867" width="8.109375" style="785" bestFit="1" customWidth="1"/>
    <col min="12868" max="12868" width="7.44140625" style="785" bestFit="1" customWidth="1"/>
    <col min="12869" max="12869" width="9" style="785" bestFit="1" customWidth="1"/>
    <col min="12870" max="12882" width="7.6640625" style="785" customWidth="1"/>
    <col min="12883" max="13056" width="8.88671875" style="785"/>
    <col min="13057" max="13057" width="38.44140625" style="785" customWidth="1"/>
    <col min="13058" max="13058" width="12.88671875" style="785" customWidth="1"/>
    <col min="13059" max="13114" width="7.6640625" style="785" customWidth="1"/>
    <col min="13115" max="13115" width="13" style="785" customWidth="1"/>
    <col min="13116" max="13116" width="8.44140625" style="785" customWidth="1"/>
    <col min="13117" max="13117" width="8.109375" style="785" customWidth="1"/>
    <col min="13118" max="13123" width="8.109375" style="785" bestFit="1" customWidth="1"/>
    <col min="13124" max="13124" width="7.44140625" style="785" bestFit="1" customWidth="1"/>
    <col min="13125" max="13125" width="9" style="785" bestFit="1" customWidth="1"/>
    <col min="13126" max="13138" width="7.6640625" style="785" customWidth="1"/>
    <col min="13139" max="13312" width="8.88671875" style="785"/>
    <col min="13313" max="13313" width="38.44140625" style="785" customWidth="1"/>
    <col min="13314" max="13314" width="12.88671875" style="785" customWidth="1"/>
    <col min="13315" max="13370" width="7.6640625" style="785" customWidth="1"/>
    <col min="13371" max="13371" width="13" style="785" customWidth="1"/>
    <col min="13372" max="13372" width="8.44140625" style="785" customWidth="1"/>
    <col min="13373" max="13373" width="8.109375" style="785" customWidth="1"/>
    <col min="13374" max="13379" width="8.109375" style="785" bestFit="1" customWidth="1"/>
    <col min="13380" max="13380" width="7.44140625" style="785" bestFit="1" customWidth="1"/>
    <col min="13381" max="13381" width="9" style="785" bestFit="1" customWidth="1"/>
    <col min="13382" max="13394" width="7.6640625" style="785" customWidth="1"/>
    <col min="13395" max="13568" width="8.88671875" style="785"/>
    <col min="13569" max="13569" width="38.44140625" style="785" customWidth="1"/>
    <col min="13570" max="13570" width="12.88671875" style="785" customWidth="1"/>
    <col min="13571" max="13626" width="7.6640625" style="785" customWidth="1"/>
    <col min="13627" max="13627" width="13" style="785" customWidth="1"/>
    <col min="13628" max="13628" width="8.44140625" style="785" customWidth="1"/>
    <col min="13629" max="13629" width="8.109375" style="785" customWidth="1"/>
    <col min="13630" max="13635" width="8.109375" style="785" bestFit="1" customWidth="1"/>
    <col min="13636" max="13636" width="7.44140625" style="785" bestFit="1" customWidth="1"/>
    <col min="13637" max="13637" width="9" style="785" bestFit="1" customWidth="1"/>
    <col min="13638" max="13650" width="7.6640625" style="785" customWidth="1"/>
    <col min="13651" max="13824" width="8.88671875" style="785"/>
    <col min="13825" max="13825" width="38.44140625" style="785" customWidth="1"/>
    <col min="13826" max="13826" width="12.88671875" style="785" customWidth="1"/>
    <col min="13827" max="13882" width="7.6640625" style="785" customWidth="1"/>
    <col min="13883" max="13883" width="13" style="785" customWidth="1"/>
    <col min="13884" max="13884" width="8.44140625" style="785" customWidth="1"/>
    <col min="13885" max="13885" width="8.109375" style="785" customWidth="1"/>
    <col min="13886" max="13891" width="8.109375" style="785" bestFit="1" customWidth="1"/>
    <col min="13892" max="13892" width="7.44140625" style="785" bestFit="1" customWidth="1"/>
    <col min="13893" max="13893" width="9" style="785" bestFit="1" customWidth="1"/>
    <col min="13894" max="13906" width="7.6640625" style="785" customWidth="1"/>
    <col min="13907" max="14080" width="8.88671875" style="785"/>
    <col min="14081" max="14081" width="38.44140625" style="785" customWidth="1"/>
    <col min="14082" max="14082" width="12.88671875" style="785" customWidth="1"/>
    <col min="14083" max="14138" width="7.6640625" style="785" customWidth="1"/>
    <col min="14139" max="14139" width="13" style="785" customWidth="1"/>
    <col min="14140" max="14140" width="8.44140625" style="785" customWidth="1"/>
    <col min="14141" max="14141" width="8.109375" style="785" customWidth="1"/>
    <col min="14142" max="14147" width="8.109375" style="785" bestFit="1" customWidth="1"/>
    <col min="14148" max="14148" width="7.44140625" style="785" bestFit="1" customWidth="1"/>
    <col min="14149" max="14149" width="9" style="785" bestFit="1" customWidth="1"/>
    <col min="14150" max="14162" width="7.6640625" style="785" customWidth="1"/>
    <col min="14163" max="14336" width="8.88671875" style="785"/>
    <col min="14337" max="14337" width="38.44140625" style="785" customWidth="1"/>
    <col min="14338" max="14338" width="12.88671875" style="785" customWidth="1"/>
    <col min="14339" max="14394" width="7.6640625" style="785" customWidth="1"/>
    <col min="14395" max="14395" width="13" style="785" customWidth="1"/>
    <col min="14396" max="14396" width="8.44140625" style="785" customWidth="1"/>
    <col min="14397" max="14397" width="8.109375" style="785" customWidth="1"/>
    <col min="14398" max="14403" width="8.109375" style="785" bestFit="1" customWidth="1"/>
    <col min="14404" max="14404" width="7.44140625" style="785" bestFit="1" customWidth="1"/>
    <col min="14405" max="14405" width="9" style="785" bestFit="1" customWidth="1"/>
    <col min="14406" max="14418" width="7.6640625" style="785" customWidth="1"/>
    <col min="14419" max="14592" width="8.88671875" style="785"/>
    <col min="14593" max="14593" width="38.44140625" style="785" customWidth="1"/>
    <col min="14594" max="14594" width="12.88671875" style="785" customWidth="1"/>
    <col min="14595" max="14650" width="7.6640625" style="785" customWidth="1"/>
    <col min="14651" max="14651" width="13" style="785" customWidth="1"/>
    <col min="14652" max="14652" width="8.44140625" style="785" customWidth="1"/>
    <col min="14653" max="14653" width="8.109375" style="785" customWidth="1"/>
    <col min="14654" max="14659" width="8.109375" style="785" bestFit="1" customWidth="1"/>
    <col min="14660" max="14660" width="7.44140625" style="785" bestFit="1" customWidth="1"/>
    <col min="14661" max="14661" width="9" style="785" bestFit="1" customWidth="1"/>
    <col min="14662" max="14674" width="7.6640625" style="785" customWidth="1"/>
    <col min="14675" max="14848" width="8.88671875" style="785"/>
    <col min="14849" max="14849" width="38.44140625" style="785" customWidth="1"/>
    <col min="14850" max="14850" width="12.88671875" style="785" customWidth="1"/>
    <col min="14851" max="14906" width="7.6640625" style="785" customWidth="1"/>
    <col min="14907" max="14907" width="13" style="785" customWidth="1"/>
    <col min="14908" max="14908" width="8.44140625" style="785" customWidth="1"/>
    <col min="14909" max="14909" width="8.109375" style="785" customWidth="1"/>
    <col min="14910" max="14915" width="8.109375" style="785" bestFit="1" customWidth="1"/>
    <col min="14916" max="14916" width="7.44140625" style="785" bestFit="1" customWidth="1"/>
    <col min="14917" max="14917" width="9" style="785" bestFit="1" customWidth="1"/>
    <col min="14918" max="14930" width="7.6640625" style="785" customWidth="1"/>
    <col min="14931" max="15104" width="8.88671875" style="785"/>
    <col min="15105" max="15105" width="38.44140625" style="785" customWidth="1"/>
    <col min="15106" max="15106" width="12.88671875" style="785" customWidth="1"/>
    <col min="15107" max="15162" width="7.6640625" style="785" customWidth="1"/>
    <col min="15163" max="15163" width="13" style="785" customWidth="1"/>
    <col min="15164" max="15164" width="8.44140625" style="785" customWidth="1"/>
    <col min="15165" max="15165" width="8.109375" style="785" customWidth="1"/>
    <col min="15166" max="15171" width="8.109375" style="785" bestFit="1" customWidth="1"/>
    <col min="15172" max="15172" width="7.44140625" style="785" bestFit="1" customWidth="1"/>
    <col min="15173" max="15173" width="9" style="785" bestFit="1" customWidth="1"/>
    <col min="15174" max="15186" width="7.6640625" style="785" customWidth="1"/>
    <col min="15187" max="15360" width="8.88671875" style="785"/>
    <col min="15361" max="15361" width="38.44140625" style="785" customWidth="1"/>
    <col min="15362" max="15362" width="12.88671875" style="785" customWidth="1"/>
    <col min="15363" max="15418" width="7.6640625" style="785" customWidth="1"/>
    <col min="15419" max="15419" width="13" style="785" customWidth="1"/>
    <col min="15420" max="15420" width="8.44140625" style="785" customWidth="1"/>
    <col min="15421" max="15421" width="8.109375" style="785" customWidth="1"/>
    <col min="15422" max="15427" width="8.109375" style="785" bestFit="1" customWidth="1"/>
    <col min="15428" max="15428" width="7.44140625" style="785" bestFit="1" customWidth="1"/>
    <col min="15429" max="15429" width="9" style="785" bestFit="1" customWidth="1"/>
    <col min="15430" max="15442" width="7.6640625" style="785" customWidth="1"/>
    <col min="15443" max="15616" width="8.88671875" style="785"/>
    <col min="15617" max="15617" width="38.44140625" style="785" customWidth="1"/>
    <col min="15618" max="15618" width="12.88671875" style="785" customWidth="1"/>
    <col min="15619" max="15674" width="7.6640625" style="785" customWidth="1"/>
    <col min="15675" max="15675" width="13" style="785" customWidth="1"/>
    <col min="15676" max="15676" width="8.44140625" style="785" customWidth="1"/>
    <col min="15677" max="15677" width="8.109375" style="785" customWidth="1"/>
    <col min="15678" max="15683" width="8.109375" style="785" bestFit="1" customWidth="1"/>
    <col min="15684" max="15684" width="7.44140625" style="785" bestFit="1" customWidth="1"/>
    <col min="15685" max="15685" width="9" style="785" bestFit="1" customWidth="1"/>
    <col min="15686" max="15698" width="7.6640625" style="785" customWidth="1"/>
    <col min="15699" max="15872" width="8.88671875" style="785"/>
    <col min="15873" max="15873" width="38.44140625" style="785" customWidth="1"/>
    <col min="15874" max="15874" width="12.88671875" style="785" customWidth="1"/>
    <col min="15875" max="15930" width="7.6640625" style="785" customWidth="1"/>
    <col min="15931" max="15931" width="13" style="785" customWidth="1"/>
    <col min="15932" max="15932" width="8.44140625" style="785" customWidth="1"/>
    <col min="15933" max="15933" width="8.109375" style="785" customWidth="1"/>
    <col min="15934" max="15939" width="8.109375" style="785" bestFit="1" customWidth="1"/>
    <col min="15940" max="15940" width="7.44140625" style="785" bestFit="1" customWidth="1"/>
    <col min="15941" max="15941" width="9" style="785" bestFit="1" customWidth="1"/>
    <col min="15942" max="15954" width="7.6640625" style="785" customWidth="1"/>
    <col min="15955" max="16128" width="8.88671875" style="785"/>
    <col min="16129" max="16129" width="38.44140625" style="785" customWidth="1"/>
    <col min="16130" max="16130" width="12.88671875" style="785" customWidth="1"/>
    <col min="16131" max="16186" width="7.6640625" style="785" customWidth="1"/>
    <col min="16187" max="16187" width="13" style="785" customWidth="1"/>
    <col min="16188" max="16188" width="8.44140625" style="785" customWidth="1"/>
    <col min="16189" max="16189" width="8.109375" style="785" customWidth="1"/>
    <col min="16190" max="16195" width="8.109375" style="785" bestFit="1" customWidth="1"/>
    <col min="16196" max="16196" width="7.44140625" style="785" bestFit="1" customWidth="1"/>
    <col min="16197" max="16197" width="9" style="785" bestFit="1" customWidth="1"/>
    <col min="16198" max="16210" width="7.6640625" style="785" customWidth="1"/>
    <col min="16211" max="16384" width="8.88671875" style="785"/>
  </cols>
  <sheetData>
    <row r="1" spans="1:83" ht="17.399999999999999">
      <c r="A1" s="783" t="s">
        <v>286</v>
      </c>
      <c r="B1" s="784"/>
    </row>
    <row r="2" spans="1:83" ht="15.6">
      <c r="A2" s="786" t="s">
        <v>287</v>
      </c>
      <c r="B2" s="787"/>
    </row>
    <row r="3" spans="1:83" ht="14.4" thickBot="1">
      <c r="A3" s="788" t="s">
        <v>288</v>
      </c>
      <c r="B3" s="789"/>
    </row>
    <row r="6" spans="1:83">
      <c r="BI6" s="791" t="s">
        <v>289</v>
      </c>
      <c r="BJ6" s="791" t="s">
        <v>289</v>
      </c>
      <c r="BK6" s="791" t="s">
        <v>289</v>
      </c>
      <c r="BL6" s="791" t="s">
        <v>289</v>
      </c>
      <c r="BM6" s="792" t="s">
        <v>290</v>
      </c>
      <c r="BN6" s="792" t="s">
        <v>290</v>
      </c>
      <c r="BO6" s="792" t="s">
        <v>290</v>
      </c>
      <c r="BP6" s="792" t="s">
        <v>290</v>
      </c>
      <c r="BQ6" s="793" t="s">
        <v>291</v>
      </c>
      <c r="BR6" s="793" t="s">
        <v>291</v>
      </c>
      <c r="BS6" s="793" t="s">
        <v>291</v>
      </c>
      <c r="BT6" s="793" t="s">
        <v>291</v>
      </c>
      <c r="BU6" s="794" t="s">
        <v>292</v>
      </c>
      <c r="BV6" s="794" t="s">
        <v>292</v>
      </c>
      <c r="BW6" s="794" t="s">
        <v>292</v>
      </c>
      <c r="BX6" s="794" t="s">
        <v>292</v>
      </c>
      <c r="BY6" s="795" t="s">
        <v>293</v>
      </c>
      <c r="BZ6" s="795" t="s">
        <v>293</v>
      </c>
      <c r="CA6" s="795" t="s">
        <v>293</v>
      </c>
      <c r="CB6" s="795" t="s">
        <v>293</v>
      </c>
    </row>
    <row r="7" spans="1:83" s="790" customFormat="1">
      <c r="B7" s="790" t="s">
        <v>294</v>
      </c>
      <c r="C7" s="796" t="s">
        <v>295</v>
      </c>
      <c r="D7" s="796" t="s">
        <v>296</v>
      </c>
      <c r="E7" s="796" t="s">
        <v>297</v>
      </c>
      <c r="F7" s="796" t="s">
        <v>298</v>
      </c>
      <c r="G7" s="796" t="s">
        <v>299</v>
      </c>
      <c r="H7" s="796" t="s">
        <v>300</v>
      </c>
      <c r="I7" s="796" t="s">
        <v>301</v>
      </c>
      <c r="J7" s="796" t="s">
        <v>302</v>
      </c>
      <c r="K7" s="796" t="s">
        <v>303</v>
      </c>
      <c r="L7" s="796" t="s">
        <v>304</v>
      </c>
      <c r="M7" s="796" t="s">
        <v>305</v>
      </c>
      <c r="N7" s="796" t="s">
        <v>306</v>
      </c>
      <c r="O7" s="796" t="s">
        <v>307</v>
      </c>
      <c r="P7" s="796" t="s">
        <v>308</v>
      </c>
      <c r="Q7" s="796" t="s">
        <v>309</v>
      </c>
      <c r="R7" s="796" t="s">
        <v>310</v>
      </c>
      <c r="S7" s="796" t="s">
        <v>311</v>
      </c>
      <c r="T7" s="796" t="s">
        <v>312</v>
      </c>
      <c r="U7" s="796" t="s">
        <v>313</v>
      </c>
      <c r="V7" s="796" t="s">
        <v>314</v>
      </c>
      <c r="W7" s="796" t="s">
        <v>315</v>
      </c>
      <c r="X7" s="796" t="s">
        <v>316</v>
      </c>
      <c r="Y7" s="796" t="s">
        <v>317</v>
      </c>
      <c r="Z7" s="796" t="s">
        <v>318</v>
      </c>
      <c r="AA7" s="796" t="s">
        <v>319</v>
      </c>
      <c r="AB7" s="796" t="s">
        <v>320</v>
      </c>
      <c r="AC7" s="796" t="s">
        <v>321</v>
      </c>
      <c r="AD7" s="796" t="s">
        <v>322</v>
      </c>
      <c r="AE7" s="796" t="s">
        <v>323</v>
      </c>
      <c r="AF7" s="796" t="s">
        <v>324</v>
      </c>
      <c r="AG7" s="796" t="s">
        <v>325</v>
      </c>
      <c r="AH7" s="796" t="s">
        <v>326</v>
      </c>
      <c r="AI7" s="796" t="s">
        <v>327</v>
      </c>
      <c r="AJ7" s="796" t="s">
        <v>328</v>
      </c>
      <c r="AK7" s="796" t="s">
        <v>329</v>
      </c>
      <c r="AL7" s="796" t="s">
        <v>330</v>
      </c>
      <c r="AM7" s="796" t="s">
        <v>331</v>
      </c>
      <c r="AN7" s="796" t="s">
        <v>332</v>
      </c>
      <c r="AO7" s="796" t="s">
        <v>333</v>
      </c>
      <c r="AP7" s="796" t="s">
        <v>334</v>
      </c>
      <c r="AQ7" s="796" t="s">
        <v>335</v>
      </c>
      <c r="AR7" s="796" t="s">
        <v>336</v>
      </c>
      <c r="AS7" s="796" t="s">
        <v>337</v>
      </c>
      <c r="AT7" s="796" t="s">
        <v>338</v>
      </c>
      <c r="AU7" s="790" t="s">
        <v>339</v>
      </c>
      <c r="AV7" s="790" t="s">
        <v>340</v>
      </c>
      <c r="AW7" s="790" t="s">
        <v>341</v>
      </c>
      <c r="AX7" s="790" t="s">
        <v>342</v>
      </c>
      <c r="AY7" s="790" t="s">
        <v>343</v>
      </c>
      <c r="AZ7" s="790" t="s">
        <v>344</v>
      </c>
      <c r="BA7" s="790" t="s">
        <v>345</v>
      </c>
      <c r="BB7" s="790" t="s">
        <v>346</v>
      </c>
      <c r="BC7" s="790" t="s">
        <v>347</v>
      </c>
      <c r="BD7" s="790" t="s">
        <v>348</v>
      </c>
      <c r="BE7" s="790" t="s">
        <v>349</v>
      </c>
      <c r="BF7" s="790" t="s">
        <v>350</v>
      </c>
      <c r="BG7" s="790" t="s">
        <v>351</v>
      </c>
      <c r="BH7" s="790" t="s">
        <v>352</v>
      </c>
      <c r="BI7" s="790" t="s">
        <v>353</v>
      </c>
      <c r="BJ7" s="790" t="s">
        <v>354</v>
      </c>
      <c r="BK7" s="790" t="s">
        <v>355</v>
      </c>
      <c r="BL7" s="790" t="s">
        <v>356</v>
      </c>
      <c r="BM7" s="790" t="s">
        <v>357</v>
      </c>
      <c r="BN7" s="790" t="s">
        <v>358</v>
      </c>
      <c r="BO7" s="790" t="s">
        <v>359</v>
      </c>
      <c r="BP7" s="790" t="s">
        <v>360</v>
      </c>
      <c r="BQ7" s="790" t="s">
        <v>361</v>
      </c>
      <c r="BR7" s="790" t="s">
        <v>362</v>
      </c>
      <c r="BS7" s="790" t="s">
        <v>363</v>
      </c>
      <c r="BT7" s="790" t="s">
        <v>364</v>
      </c>
      <c r="BU7" s="790" t="s">
        <v>365</v>
      </c>
      <c r="BV7" s="790" t="s">
        <v>366</v>
      </c>
      <c r="BW7" s="790" t="s">
        <v>367</v>
      </c>
      <c r="BX7" s="790" t="s">
        <v>368</v>
      </c>
      <c r="BY7" s="790" t="s">
        <v>369</v>
      </c>
      <c r="BZ7" s="790" t="s">
        <v>370</v>
      </c>
      <c r="CA7" s="790" t="s">
        <v>371</v>
      </c>
      <c r="CB7" s="790" t="s">
        <v>372</v>
      </c>
      <c r="CC7" s="790" t="s">
        <v>373</v>
      </c>
      <c r="CD7" s="790" t="s">
        <v>374</v>
      </c>
      <c r="CE7" s="790" t="s">
        <v>375</v>
      </c>
    </row>
    <row r="8" spans="1:83">
      <c r="A8" s="790" t="s">
        <v>376</v>
      </c>
      <c r="B8" s="790" t="s">
        <v>377</v>
      </c>
      <c r="C8" s="797">
        <v>2.0339999999999998</v>
      </c>
      <c r="D8" s="797">
        <v>2.0590000000000002</v>
      </c>
      <c r="E8" s="797">
        <v>2.0640000000000001</v>
      </c>
      <c r="F8" s="797">
        <v>2.0870000000000002</v>
      </c>
      <c r="G8" s="797">
        <v>2.1040000000000001</v>
      </c>
      <c r="H8" s="797">
        <v>2.1150000000000002</v>
      </c>
      <c r="I8" s="797">
        <v>2.15</v>
      </c>
      <c r="J8" s="797">
        <v>2.169</v>
      </c>
      <c r="K8" s="797">
        <v>2.1880000000000002</v>
      </c>
      <c r="L8" s="797">
        <v>2.2130000000000001</v>
      </c>
      <c r="M8" s="797">
        <v>2.234</v>
      </c>
      <c r="N8" s="797">
        <v>2.2200000000000002</v>
      </c>
      <c r="O8" s="797">
        <v>2.234</v>
      </c>
      <c r="P8" s="797">
        <v>2.2589999999999999</v>
      </c>
      <c r="Q8" s="797">
        <v>2.2749999999999999</v>
      </c>
      <c r="R8" s="797">
        <v>2.3010000000000002</v>
      </c>
      <c r="S8" s="797">
        <v>2.3220000000000001</v>
      </c>
      <c r="T8" s="797">
        <v>2.363</v>
      </c>
      <c r="U8" s="797">
        <v>2.4039999999999999</v>
      </c>
      <c r="V8" s="797">
        <v>2.35</v>
      </c>
      <c r="W8" s="797">
        <v>2.3420000000000001</v>
      </c>
      <c r="X8" s="797">
        <v>2.347</v>
      </c>
      <c r="Y8" s="797">
        <v>2.367</v>
      </c>
      <c r="Z8" s="797">
        <v>2.38</v>
      </c>
      <c r="AA8" s="797">
        <v>2.3809999999999998</v>
      </c>
      <c r="AB8" s="797">
        <v>2.3839999999999999</v>
      </c>
      <c r="AC8" s="797">
        <v>2.3980000000000001</v>
      </c>
      <c r="AD8" s="797">
        <v>2.42</v>
      </c>
      <c r="AE8" s="797">
        <v>2.4340000000000002</v>
      </c>
      <c r="AF8" s="797">
        <v>2.4769999999999999</v>
      </c>
      <c r="AG8" s="797">
        <v>2.488</v>
      </c>
      <c r="AH8" s="797">
        <v>2.4950000000000001</v>
      </c>
      <c r="AI8" s="797">
        <v>2.5150000000000001</v>
      </c>
      <c r="AJ8" s="797">
        <v>2.5190000000000001</v>
      </c>
      <c r="AK8" s="797">
        <v>2.5289999999999999</v>
      </c>
      <c r="AL8" s="797">
        <v>2.5470000000000002</v>
      </c>
      <c r="AM8" s="797">
        <v>2.5569999999999999</v>
      </c>
      <c r="AN8" s="797">
        <v>2.5539999999999998</v>
      </c>
      <c r="AO8" s="797">
        <v>2.573</v>
      </c>
      <c r="AP8" s="797">
        <v>2.5870000000000002</v>
      </c>
      <c r="AQ8" s="797">
        <v>2.5979999999999999</v>
      </c>
      <c r="AR8" s="797">
        <v>2.6080000000000001</v>
      </c>
      <c r="AS8" s="797">
        <v>2.6139999999999999</v>
      </c>
      <c r="AT8" s="797">
        <v>2.6139999999999999</v>
      </c>
      <c r="AU8" s="785">
        <v>2.613</v>
      </c>
      <c r="AV8" s="785">
        <v>2.6230000000000002</v>
      </c>
      <c r="AW8" s="785">
        <v>2.6190000000000002</v>
      </c>
      <c r="AX8" s="785">
        <v>2.6240000000000001</v>
      </c>
      <c r="AY8" s="785">
        <v>2.6240000000000001</v>
      </c>
      <c r="AZ8" s="785">
        <v>2.6429999999999998</v>
      </c>
      <c r="BA8" s="785">
        <v>2.6640000000000001</v>
      </c>
      <c r="BB8" s="785">
        <v>2.6739999999999999</v>
      </c>
      <c r="BC8" s="785">
        <v>2.6949999999999998</v>
      </c>
      <c r="BD8" s="785">
        <v>2.694</v>
      </c>
      <c r="BE8" s="785">
        <v>2.706</v>
      </c>
      <c r="BF8" s="785">
        <v>2.714</v>
      </c>
      <c r="BG8" s="785">
        <v>2.746</v>
      </c>
      <c r="BH8" s="785">
        <v>2.7650000000000001</v>
      </c>
      <c r="BI8" s="785">
        <v>2.78</v>
      </c>
      <c r="BJ8" s="785">
        <v>2.8050000000000002</v>
      </c>
      <c r="BK8" s="785">
        <v>2.8250000000000002</v>
      </c>
      <c r="BL8" s="785">
        <v>2.8380000000000001</v>
      </c>
      <c r="BM8" s="785">
        <v>2.8479999999999999</v>
      </c>
      <c r="BN8" s="785">
        <v>2.8690000000000002</v>
      </c>
      <c r="BO8" s="785">
        <v>2.895</v>
      </c>
      <c r="BP8" s="785">
        <v>2.91</v>
      </c>
      <c r="BQ8" s="785">
        <v>2.9239999999999999</v>
      </c>
      <c r="BR8" s="785">
        <v>2.94</v>
      </c>
      <c r="BS8" s="785">
        <v>2.96</v>
      </c>
      <c r="BT8" s="785">
        <v>2.9790000000000001</v>
      </c>
      <c r="BU8" s="785">
        <v>2.9990000000000001</v>
      </c>
      <c r="BV8" s="785">
        <v>3.0169999999999999</v>
      </c>
      <c r="BW8" s="785">
        <v>3.0339999999999998</v>
      </c>
      <c r="BX8" s="785">
        <v>3.0510000000000002</v>
      </c>
      <c r="BY8" s="785">
        <v>3.07</v>
      </c>
      <c r="BZ8" s="785">
        <v>3.0880000000000001</v>
      </c>
      <c r="CA8" s="785">
        <v>3.1059999999999999</v>
      </c>
      <c r="CB8" s="785">
        <v>3.1219999999999999</v>
      </c>
      <c r="CC8" s="785">
        <v>3.14</v>
      </c>
      <c r="CD8" s="785">
        <v>3.1579999999999999</v>
      </c>
    </row>
    <row r="9" spans="1:83">
      <c r="A9" s="790" t="s">
        <v>378</v>
      </c>
      <c r="B9" s="790" t="s">
        <v>379</v>
      </c>
      <c r="C9" s="797">
        <v>2.0339999999999998</v>
      </c>
      <c r="D9" s="797">
        <v>2.0590000000000002</v>
      </c>
      <c r="E9" s="797">
        <v>2.0640000000000001</v>
      </c>
      <c r="F9" s="797">
        <v>2.0870000000000002</v>
      </c>
      <c r="G9" s="797">
        <v>2.1040000000000001</v>
      </c>
      <c r="H9" s="797">
        <v>2.1150000000000002</v>
      </c>
      <c r="I9" s="797">
        <v>2.15</v>
      </c>
      <c r="J9" s="797">
        <v>2.169</v>
      </c>
      <c r="K9" s="797">
        <v>2.1880000000000002</v>
      </c>
      <c r="L9" s="797">
        <v>2.2130000000000001</v>
      </c>
      <c r="M9" s="797">
        <v>2.234</v>
      </c>
      <c r="N9" s="797">
        <v>2.2200000000000002</v>
      </c>
      <c r="O9" s="797">
        <v>2.234</v>
      </c>
      <c r="P9" s="797">
        <v>2.2589999999999999</v>
      </c>
      <c r="Q9" s="797">
        <v>2.2749999999999999</v>
      </c>
      <c r="R9" s="797">
        <v>2.3010000000000002</v>
      </c>
      <c r="S9" s="797">
        <v>2.3220000000000001</v>
      </c>
      <c r="T9" s="797">
        <v>2.363</v>
      </c>
      <c r="U9" s="797">
        <v>2.4039999999999999</v>
      </c>
      <c r="V9" s="797">
        <v>2.35</v>
      </c>
      <c r="W9" s="797">
        <v>2.3420000000000001</v>
      </c>
      <c r="X9" s="797">
        <v>2.347</v>
      </c>
      <c r="Y9" s="797">
        <v>2.367</v>
      </c>
      <c r="Z9" s="797">
        <v>2.38</v>
      </c>
      <c r="AA9" s="797">
        <v>2.3809999999999998</v>
      </c>
      <c r="AB9" s="797">
        <v>2.3839999999999999</v>
      </c>
      <c r="AC9" s="797">
        <v>2.3980000000000001</v>
      </c>
      <c r="AD9" s="797">
        <v>2.42</v>
      </c>
      <c r="AE9" s="797">
        <v>2.4340000000000002</v>
      </c>
      <c r="AF9" s="797">
        <v>2.4769999999999999</v>
      </c>
      <c r="AG9" s="797">
        <v>2.488</v>
      </c>
      <c r="AH9" s="797">
        <v>2.4950000000000001</v>
      </c>
      <c r="AI9" s="797">
        <v>2.5150000000000001</v>
      </c>
      <c r="AJ9" s="797">
        <v>2.5190000000000001</v>
      </c>
      <c r="AK9" s="797">
        <v>2.5289999999999999</v>
      </c>
      <c r="AL9" s="797">
        <v>2.5470000000000002</v>
      </c>
      <c r="AM9" s="797">
        <v>2.5569999999999999</v>
      </c>
      <c r="AN9" s="797">
        <v>2.5539999999999998</v>
      </c>
      <c r="AO9" s="797">
        <v>2.573</v>
      </c>
      <c r="AP9" s="797">
        <v>2.5870000000000002</v>
      </c>
      <c r="AQ9" s="797">
        <v>2.5979999999999999</v>
      </c>
      <c r="AR9" s="797">
        <v>2.6080000000000001</v>
      </c>
      <c r="AS9" s="797">
        <v>2.6139999999999999</v>
      </c>
      <c r="AT9" s="797">
        <v>2.6139999999999999</v>
      </c>
      <c r="AU9" s="785">
        <v>2.613</v>
      </c>
      <c r="AV9" s="785">
        <v>2.6230000000000002</v>
      </c>
      <c r="AW9" s="785">
        <v>2.6190000000000002</v>
      </c>
      <c r="AX9" s="785">
        <v>2.6240000000000001</v>
      </c>
      <c r="AY9" s="785">
        <v>2.6240000000000001</v>
      </c>
      <c r="AZ9" s="785">
        <v>2.6429999999999998</v>
      </c>
      <c r="BA9" s="785">
        <v>2.6640000000000001</v>
      </c>
      <c r="BB9" s="785">
        <v>2.6739999999999999</v>
      </c>
      <c r="BC9" s="785">
        <v>2.6949999999999998</v>
      </c>
      <c r="BD9" s="785">
        <v>2.694</v>
      </c>
      <c r="BE9" s="785">
        <v>2.706</v>
      </c>
      <c r="BF9" s="785">
        <v>2.714</v>
      </c>
      <c r="BG9" s="785">
        <v>2.746</v>
      </c>
      <c r="BH9" s="785">
        <v>2.7650000000000001</v>
      </c>
      <c r="BI9" s="785">
        <v>2.78</v>
      </c>
      <c r="BJ9" s="785">
        <v>2.8010000000000002</v>
      </c>
      <c r="BK9" s="785">
        <v>2.8170000000000002</v>
      </c>
      <c r="BL9" s="785">
        <v>2.8260000000000001</v>
      </c>
      <c r="BM9" s="785">
        <v>2.8330000000000002</v>
      </c>
      <c r="BN9" s="785">
        <v>2.8519999999999999</v>
      </c>
      <c r="BO9" s="785">
        <v>2.8759999999999999</v>
      </c>
      <c r="BP9" s="785">
        <v>2.8879999999999999</v>
      </c>
      <c r="BQ9" s="785">
        <v>2.9</v>
      </c>
      <c r="BR9" s="785">
        <v>2.9129999999999998</v>
      </c>
      <c r="BS9" s="785">
        <v>2.931</v>
      </c>
      <c r="BT9" s="785">
        <v>2.9470000000000001</v>
      </c>
      <c r="BU9" s="785">
        <v>2.9630000000000001</v>
      </c>
      <c r="BV9" s="785">
        <v>2.9769999999999999</v>
      </c>
      <c r="BW9" s="785">
        <v>2.99</v>
      </c>
      <c r="BX9" s="785">
        <v>3.004</v>
      </c>
      <c r="BY9" s="785">
        <v>3.0190000000000001</v>
      </c>
      <c r="BZ9" s="785">
        <v>3.0339999999999998</v>
      </c>
      <c r="CA9" s="785">
        <v>3.0489999999999999</v>
      </c>
      <c r="CB9" s="785">
        <v>3.0619999999999998</v>
      </c>
      <c r="CC9" s="785">
        <v>3.0790000000000002</v>
      </c>
      <c r="CD9" s="785">
        <v>3.0950000000000002</v>
      </c>
    </row>
    <row r="10" spans="1:83">
      <c r="A10" s="790" t="s">
        <v>380</v>
      </c>
      <c r="B10" s="790" t="s">
        <v>381</v>
      </c>
      <c r="C10" s="797">
        <v>2.0339999999999998</v>
      </c>
      <c r="D10" s="797">
        <v>2.0590000000000002</v>
      </c>
      <c r="E10" s="797">
        <v>2.0640000000000001</v>
      </c>
      <c r="F10" s="797">
        <v>2.0870000000000002</v>
      </c>
      <c r="G10" s="797">
        <v>2.1040000000000001</v>
      </c>
      <c r="H10" s="797">
        <v>2.1150000000000002</v>
      </c>
      <c r="I10" s="797">
        <v>2.15</v>
      </c>
      <c r="J10" s="797">
        <v>2.169</v>
      </c>
      <c r="K10" s="797">
        <v>2.1880000000000002</v>
      </c>
      <c r="L10" s="797">
        <v>2.2130000000000001</v>
      </c>
      <c r="M10" s="797">
        <v>2.234</v>
      </c>
      <c r="N10" s="797">
        <v>2.2200000000000002</v>
      </c>
      <c r="O10" s="797">
        <v>2.234</v>
      </c>
      <c r="P10" s="797">
        <v>2.2589999999999999</v>
      </c>
      <c r="Q10" s="797">
        <v>2.2749999999999999</v>
      </c>
      <c r="R10" s="797">
        <v>2.3010000000000002</v>
      </c>
      <c r="S10" s="797">
        <v>2.3220000000000001</v>
      </c>
      <c r="T10" s="797">
        <v>2.363</v>
      </c>
      <c r="U10" s="797">
        <v>2.4039999999999999</v>
      </c>
      <c r="V10" s="797">
        <v>2.35</v>
      </c>
      <c r="W10" s="797">
        <v>2.3420000000000001</v>
      </c>
      <c r="X10" s="797">
        <v>2.347</v>
      </c>
      <c r="Y10" s="797">
        <v>2.367</v>
      </c>
      <c r="Z10" s="797">
        <v>2.38</v>
      </c>
      <c r="AA10" s="797">
        <v>2.3809999999999998</v>
      </c>
      <c r="AB10" s="797">
        <v>2.3839999999999999</v>
      </c>
      <c r="AC10" s="797">
        <v>2.3980000000000001</v>
      </c>
      <c r="AD10" s="797">
        <v>2.42</v>
      </c>
      <c r="AE10" s="797">
        <v>2.4340000000000002</v>
      </c>
      <c r="AF10" s="797">
        <v>2.4769999999999999</v>
      </c>
      <c r="AG10" s="797">
        <v>2.488</v>
      </c>
      <c r="AH10" s="797">
        <v>2.4950000000000001</v>
      </c>
      <c r="AI10" s="797">
        <v>2.5150000000000001</v>
      </c>
      <c r="AJ10" s="797">
        <v>2.5190000000000001</v>
      </c>
      <c r="AK10" s="797">
        <v>2.5289999999999999</v>
      </c>
      <c r="AL10" s="797">
        <v>2.5470000000000002</v>
      </c>
      <c r="AM10" s="797">
        <v>2.5569999999999999</v>
      </c>
      <c r="AN10" s="797">
        <v>2.5539999999999998</v>
      </c>
      <c r="AO10" s="797">
        <v>2.573</v>
      </c>
      <c r="AP10" s="797">
        <v>2.5870000000000002</v>
      </c>
      <c r="AQ10" s="797">
        <v>2.5979999999999999</v>
      </c>
      <c r="AR10" s="797">
        <v>2.6080000000000001</v>
      </c>
      <c r="AS10" s="797">
        <v>2.6139999999999999</v>
      </c>
      <c r="AT10" s="797">
        <v>2.6139999999999999</v>
      </c>
      <c r="AU10" s="785">
        <v>2.613</v>
      </c>
      <c r="AV10" s="785">
        <v>2.6230000000000002</v>
      </c>
      <c r="AW10" s="785">
        <v>2.6190000000000002</v>
      </c>
      <c r="AX10" s="785">
        <v>2.6240000000000001</v>
      </c>
      <c r="AY10" s="785">
        <v>2.6240000000000001</v>
      </c>
      <c r="AZ10" s="785">
        <v>2.6429999999999998</v>
      </c>
      <c r="BA10" s="785">
        <v>2.6640000000000001</v>
      </c>
      <c r="BB10" s="785">
        <v>2.6739999999999999</v>
      </c>
      <c r="BC10" s="785">
        <v>2.6949999999999998</v>
      </c>
      <c r="BD10" s="785">
        <v>2.694</v>
      </c>
      <c r="BE10" s="785">
        <v>2.706</v>
      </c>
      <c r="BF10" s="785">
        <v>2.714</v>
      </c>
      <c r="BG10" s="785">
        <v>2.746</v>
      </c>
      <c r="BH10" s="785">
        <v>2.7650000000000001</v>
      </c>
      <c r="BI10" s="785">
        <v>2.78</v>
      </c>
      <c r="BJ10" s="785">
        <v>2.806</v>
      </c>
      <c r="BK10" s="785">
        <v>2.827</v>
      </c>
      <c r="BL10" s="785">
        <v>2.8420000000000001</v>
      </c>
      <c r="BM10" s="785">
        <v>2.855</v>
      </c>
      <c r="BN10" s="785">
        <v>2.88</v>
      </c>
      <c r="BO10" s="785">
        <v>2.911</v>
      </c>
      <c r="BP10" s="785">
        <v>2.931</v>
      </c>
      <c r="BQ10" s="785">
        <v>2.95</v>
      </c>
      <c r="BR10" s="785">
        <v>2.972</v>
      </c>
      <c r="BS10" s="785">
        <v>2.9980000000000002</v>
      </c>
      <c r="BT10" s="785">
        <v>3.0230000000000001</v>
      </c>
      <c r="BU10" s="785">
        <v>3.0489999999999999</v>
      </c>
      <c r="BV10" s="785">
        <v>3.073</v>
      </c>
      <c r="BW10" s="785">
        <v>3.0979999999999999</v>
      </c>
      <c r="BX10" s="785">
        <v>3.1219999999999999</v>
      </c>
      <c r="BY10" s="785">
        <v>3.149</v>
      </c>
      <c r="BZ10" s="785">
        <v>3.1749999999999998</v>
      </c>
      <c r="CA10" s="785">
        <v>3.2010000000000001</v>
      </c>
      <c r="CB10" s="785">
        <v>3.2250000000000001</v>
      </c>
      <c r="CC10" s="785">
        <v>3.2519999999999998</v>
      </c>
      <c r="CD10" s="785">
        <v>3.278</v>
      </c>
    </row>
    <row r="13" spans="1:83">
      <c r="BF13" s="798" t="s">
        <v>382</v>
      </c>
      <c r="BG13" s="799"/>
      <c r="BH13" s="799"/>
      <c r="BI13" s="800" t="s">
        <v>383</v>
      </c>
      <c r="BJ13" s="801"/>
      <c r="BK13" s="801"/>
      <c r="BL13" s="801"/>
      <c r="BM13" s="801"/>
      <c r="BN13" s="801"/>
      <c r="BO13" s="799"/>
      <c r="BP13" s="799"/>
      <c r="BQ13" s="799"/>
    </row>
    <row r="14" spans="1:83">
      <c r="BF14" s="802"/>
      <c r="BG14" s="803"/>
      <c r="BH14" s="803"/>
      <c r="BI14" s="803"/>
      <c r="BJ14" s="803"/>
      <c r="BK14" s="803"/>
      <c r="BL14" s="803"/>
      <c r="BM14" s="803"/>
      <c r="BN14" s="803"/>
      <c r="BO14" s="803"/>
      <c r="BP14" s="803"/>
      <c r="BQ14" s="804"/>
    </row>
    <row r="15" spans="1:83">
      <c r="BF15" s="805"/>
      <c r="BG15" s="806" t="s">
        <v>384</v>
      </c>
      <c r="BH15" s="807" t="s">
        <v>385</v>
      </c>
      <c r="BI15" s="807"/>
      <c r="BJ15" s="807"/>
      <c r="BK15" s="807"/>
      <c r="BL15" s="807"/>
      <c r="BM15" s="807"/>
      <c r="BN15" s="807"/>
      <c r="BO15" s="807"/>
      <c r="BP15" s="807"/>
      <c r="BQ15" s="808"/>
    </row>
    <row r="16" spans="1:83">
      <c r="BF16" s="805"/>
      <c r="BG16" s="807"/>
      <c r="BH16" s="790" t="s">
        <v>356</v>
      </c>
      <c r="BI16" s="807"/>
      <c r="BJ16" s="807"/>
      <c r="BK16" s="807"/>
      <c r="BL16" s="807"/>
      <c r="BM16" s="807"/>
      <c r="BN16" s="807"/>
      <c r="BO16" s="807"/>
      <c r="BP16" s="807"/>
      <c r="BQ16" s="809" t="s">
        <v>386</v>
      </c>
    </row>
    <row r="17" spans="58:69">
      <c r="BF17" s="805"/>
      <c r="BG17" s="807"/>
      <c r="BH17" s="810">
        <f>BL9</f>
        <v>2.8260000000000001</v>
      </c>
      <c r="BI17" s="807"/>
      <c r="BJ17" s="807"/>
      <c r="BK17" s="807"/>
      <c r="BL17" s="807"/>
      <c r="BM17" s="807"/>
      <c r="BN17" s="807"/>
      <c r="BO17" s="807"/>
      <c r="BP17" s="807"/>
      <c r="BQ17" s="811">
        <f>BH17</f>
        <v>2.8260000000000001</v>
      </c>
    </row>
    <row r="18" spans="58:69">
      <c r="BF18" s="805"/>
      <c r="BG18" s="807"/>
      <c r="BH18" s="807"/>
      <c r="BI18" s="807"/>
      <c r="BJ18" s="807"/>
      <c r="BK18" s="807"/>
      <c r="BL18" s="807"/>
      <c r="BM18" s="807"/>
      <c r="BN18" s="807"/>
      <c r="BO18" s="807"/>
      <c r="BP18" s="807"/>
      <c r="BQ18" s="812"/>
    </row>
    <row r="19" spans="58:69">
      <c r="BF19" s="805"/>
      <c r="BG19" s="806" t="s">
        <v>387</v>
      </c>
      <c r="BH19" s="807" t="s">
        <v>388</v>
      </c>
      <c r="BI19" s="807"/>
      <c r="BJ19" s="807"/>
      <c r="BK19" s="807"/>
      <c r="BL19" s="807"/>
      <c r="BM19" s="807"/>
      <c r="BN19" s="807"/>
      <c r="BO19" s="807"/>
      <c r="BP19" s="807"/>
      <c r="BQ19" s="812"/>
    </row>
    <row r="20" spans="58:69">
      <c r="BF20" s="805"/>
      <c r="BG20" s="807"/>
      <c r="BH20" s="813" t="str">
        <f>BM7</f>
        <v>2019Q3</v>
      </c>
      <c r="BI20" s="796" t="str">
        <f t="shared" ref="BI20:BO20" si="0">BN7</f>
        <v>2019Q4</v>
      </c>
      <c r="BJ20" s="796" t="str">
        <f t="shared" si="0"/>
        <v>2020Q1</v>
      </c>
      <c r="BK20" s="796" t="str">
        <f t="shared" si="0"/>
        <v>2020Q2</v>
      </c>
      <c r="BL20" s="796" t="str">
        <f t="shared" si="0"/>
        <v>2020Q3</v>
      </c>
      <c r="BM20" s="796" t="str">
        <f t="shared" si="0"/>
        <v>2020Q4</v>
      </c>
      <c r="BN20" s="796" t="str">
        <f t="shared" si="0"/>
        <v>2021Q1</v>
      </c>
      <c r="BO20" s="796" t="str">
        <f t="shared" si="0"/>
        <v>2021Q2</v>
      </c>
      <c r="BP20" s="807"/>
      <c r="BQ20" s="812"/>
    </row>
    <row r="21" spans="58:69">
      <c r="BF21" s="805"/>
      <c r="BG21" s="807"/>
      <c r="BH21" s="797">
        <f>BM9</f>
        <v>2.8330000000000002</v>
      </c>
      <c r="BI21" s="797">
        <f t="shared" ref="BI21:BO21" si="1">BN9</f>
        <v>2.8519999999999999</v>
      </c>
      <c r="BJ21" s="797">
        <f t="shared" si="1"/>
        <v>2.8759999999999999</v>
      </c>
      <c r="BK21" s="797">
        <f t="shared" si="1"/>
        <v>2.8879999999999999</v>
      </c>
      <c r="BL21" s="797">
        <f t="shared" si="1"/>
        <v>2.9</v>
      </c>
      <c r="BM21" s="797">
        <f t="shared" si="1"/>
        <v>2.9129999999999998</v>
      </c>
      <c r="BN21" s="797">
        <f t="shared" si="1"/>
        <v>2.931</v>
      </c>
      <c r="BO21" s="797">
        <f t="shared" si="1"/>
        <v>2.9470000000000001</v>
      </c>
      <c r="BP21" s="807"/>
      <c r="BQ21" s="811">
        <f>AVERAGE(BH21:BO21)</f>
        <v>2.8925000000000001</v>
      </c>
    </row>
    <row r="22" spans="58:69">
      <c r="BF22" s="805"/>
      <c r="BG22" s="807"/>
      <c r="BH22" s="807"/>
      <c r="BI22" s="807"/>
      <c r="BJ22" s="807"/>
      <c r="BK22" s="807"/>
      <c r="BL22" s="807"/>
      <c r="BM22" s="807"/>
      <c r="BN22" s="807"/>
      <c r="BO22" s="807"/>
      <c r="BP22" s="807"/>
      <c r="BQ22" s="812"/>
    </row>
    <row r="23" spans="58:69">
      <c r="BF23" s="805"/>
      <c r="BG23" s="807"/>
      <c r="BH23" s="807"/>
      <c r="BI23" s="807"/>
      <c r="BJ23" s="807"/>
      <c r="BK23" s="807"/>
      <c r="BL23" s="807"/>
      <c r="BM23" s="807"/>
      <c r="BN23" s="807"/>
      <c r="BO23" s="807"/>
      <c r="BP23" s="814" t="s">
        <v>112</v>
      </c>
      <c r="BQ23" s="815">
        <f>(BQ21-BQ17)/BQ17</f>
        <v>2.3531493276716206E-2</v>
      </c>
    </row>
    <row r="24" spans="58:69">
      <c r="BF24" s="816"/>
      <c r="BG24" s="817"/>
      <c r="BH24" s="817"/>
      <c r="BI24" s="817"/>
      <c r="BJ24" s="817"/>
      <c r="BK24" s="817"/>
      <c r="BL24" s="817"/>
      <c r="BM24" s="817"/>
      <c r="BN24" s="817"/>
      <c r="BO24" s="817"/>
      <c r="BP24" s="817"/>
      <c r="BQ24" s="818"/>
    </row>
    <row r="28" spans="58:69">
      <c r="BF28" s="790"/>
    </row>
  </sheetData>
  <pageMargins left="0.25" right="0.25" top="1" bottom="1" header="0.5" footer="0.5"/>
  <pageSetup scale="8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AF93"/>
  <sheetViews>
    <sheetView topLeftCell="S1" zoomScale="80" zoomScaleNormal="80" workbookViewId="0">
      <selection activeCell="AA55" sqref="AA55"/>
    </sheetView>
  </sheetViews>
  <sheetFormatPr defaultColWidth="9.109375" defaultRowHeight="14.4"/>
  <cols>
    <col min="1" max="1" width="5.33203125" customWidth="1"/>
    <col min="2" max="2" width="22.44140625" style="136" customWidth="1"/>
    <col min="3" max="3" width="14.44140625" style="136" customWidth="1"/>
    <col min="4" max="4" width="10.109375" style="136" customWidth="1"/>
    <col min="5" max="6" width="10.109375" style="136" hidden="1" customWidth="1"/>
    <col min="7" max="7" width="9.44140625" customWidth="1"/>
    <col min="8" max="8" width="8.88671875" customWidth="1"/>
    <col min="9" max="9" width="9.44140625" customWidth="1"/>
    <col min="10" max="10" width="8.6640625" customWidth="1"/>
    <col min="11" max="11" width="9" customWidth="1"/>
    <col min="12" max="12" width="9.33203125" customWidth="1"/>
    <col min="13" max="13" width="11.33203125" customWidth="1"/>
    <col min="14" max="14" width="3.109375" customWidth="1"/>
    <col min="15" max="15" width="39.6640625" customWidth="1"/>
    <col min="16" max="16" width="12.88671875" customWidth="1"/>
    <col min="17" max="17" width="12.5546875" customWidth="1"/>
    <col min="18" max="18" width="13.88671875" customWidth="1"/>
    <col min="19" max="19" width="2.5546875" style="137" customWidth="1"/>
    <col min="20" max="20" width="29.109375" customWidth="1"/>
    <col min="21" max="21" width="12.33203125" customWidth="1"/>
    <col min="22" max="22" width="14.109375" customWidth="1"/>
    <col min="23" max="23" width="13.88671875" customWidth="1"/>
    <col min="24" max="24" width="2.33203125" customWidth="1"/>
    <col min="25" max="25" width="29.33203125" customWidth="1"/>
    <col min="26" max="26" width="11.33203125" customWidth="1"/>
    <col min="27" max="27" width="13.6640625" customWidth="1"/>
    <col min="28" max="28" width="15.109375" bestFit="1" customWidth="1"/>
    <col min="29" max="29" width="8" customWidth="1"/>
  </cols>
  <sheetData>
    <row r="1" spans="1:29" ht="18">
      <c r="A1" s="135"/>
      <c r="B1" s="135" t="s">
        <v>400</v>
      </c>
    </row>
    <row r="2" spans="1:29">
      <c r="O2" s="138"/>
      <c r="P2" s="139"/>
      <c r="Q2" s="139"/>
      <c r="R2" s="139"/>
      <c r="S2" s="140"/>
      <c r="T2" s="141"/>
      <c r="X2" s="142"/>
    </row>
    <row r="3" spans="1:29" ht="15" thickBot="1">
      <c r="B3" s="688" t="str">
        <f>'Models A B C'!B4:M4</f>
        <v>MASTER DATA LOOKUP TABLE</v>
      </c>
      <c r="C3" s="689"/>
      <c r="D3" s="690"/>
      <c r="E3" s="690"/>
      <c r="F3" s="690"/>
      <c r="G3" s="686"/>
      <c r="H3" s="686"/>
      <c r="I3" s="686"/>
      <c r="J3" s="684"/>
      <c r="K3" s="686"/>
      <c r="L3" s="686"/>
      <c r="M3" s="686"/>
      <c r="N3" s="686"/>
      <c r="O3" s="139"/>
      <c r="P3" s="139"/>
      <c r="Q3" s="139"/>
      <c r="R3" s="139"/>
      <c r="S3" s="142"/>
      <c r="X3" s="145"/>
      <c r="Y3" s="146"/>
      <c r="Z3" s="146"/>
      <c r="AA3" s="146"/>
      <c r="AB3" s="146"/>
    </row>
    <row r="4" spans="1:29" ht="15" thickBot="1">
      <c r="B4" s="869" t="s">
        <v>51</v>
      </c>
      <c r="C4" s="870"/>
      <c r="D4" s="870"/>
      <c r="E4" s="870"/>
      <c r="F4" s="870"/>
      <c r="G4" s="870"/>
      <c r="H4" s="870"/>
      <c r="I4" s="870"/>
      <c r="J4" s="870"/>
      <c r="K4" s="870"/>
      <c r="L4" s="870"/>
      <c r="M4" s="871"/>
      <c r="O4" s="872" t="s">
        <v>52</v>
      </c>
      <c r="P4" s="873"/>
      <c r="Q4" s="873"/>
      <c r="R4" s="874"/>
      <c r="S4" s="145"/>
      <c r="T4" s="875" t="s">
        <v>53</v>
      </c>
      <c r="U4" s="876"/>
      <c r="V4" s="876"/>
      <c r="W4" s="877"/>
      <c r="X4" s="145"/>
      <c r="Y4" s="875" t="s">
        <v>54</v>
      </c>
      <c r="Z4" s="876"/>
      <c r="AA4" s="876"/>
      <c r="AB4" s="877"/>
    </row>
    <row r="5" spans="1:29" ht="15" thickBot="1">
      <c r="B5" s="827" t="s">
        <v>55</v>
      </c>
      <c r="C5" s="828"/>
      <c r="D5" s="828"/>
      <c r="E5" s="498" t="s">
        <v>178</v>
      </c>
      <c r="F5" s="498" t="s">
        <v>179</v>
      </c>
      <c r="G5" s="829" t="s">
        <v>56</v>
      </c>
      <c r="H5" s="830"/>
      <c r="I5" s="830"/>
      <c r="J5" s="830"/>
      <c r="K5" s="830"/>
      <c r="L5" s="830"/>
      <c r="M5" s="831"/>
      <c r="O5" s="382" t="s">
        <v>135</v>
      </c>
      <c r="P5" s="148">
        <v>13</v>
      </c>
      <c r="Q5" s="146"/>
      <c r="R5" s="149"/>
      <c r="S5" s="150"/>
      <c r="T5" s="382" t="s">
        <v>135</v>
      </c>
      <c r="U5" s="152">
        <v>20</v>
      </c>
      <c r="V5" s="153"/>
      <c r="W5" s="154"/>
      <c r="X5" s="150"/>
      <c r="Y5" s="382" t="s">
        <v>135</v>
      </c>
      <c r="Z5" s="447">
        <v>45</v>
      </c>
      <c r="AA5" s="146"/>
      <c r="AB5" s="149"/>
    </row>
    <row r="6" spans="1:29" ht="15" thickBot="1">
      <c r="B6" s="155" t="s">
        <v>58</v>
      </c>
      <c r="C6" s="156"/>
      <c r="D6" s="157">
        <f>'[5]AHCS Salary Breakout'!B6</f>
        <v>75588.90937283411</v>
      </c>
      <c r="E6" s="157">
        <f>D6*($D$40+1)*($D$41+1)</f>
        <v>81569.118315377287</v>
      </c>
      <c r="F6" s="501">
        <f>E6/2080</f>
        <v>39.21592226700831</v>
      </c>
      <c r="G6" s="158" t="s">
        <v>389</v>
      </c>
      <c r="H6" s="159"/>
      <c r="I6" s="159"/>
      <c r="J6" s="159"/>
      <c r="K6" s="159"/>
      <c r="L6" s="159"/>
      <c r="M6" s="160"/>
      <c r="O6" s="151" t="s">
        <v>60</v>
      </c>
      <c r="P6" s="152">
        <v>6</v>
      </c>
      <c r="Q6" s="161" t="s">
        <v>61</v>
      </c>
      <c r="R6" s="162">
        <f>P6*365</f>
        <v>2190</v>
      </c>
      <c r="S6" s="150"/>
      <c r="T6" s="151" t="s">
        <v>60</v>
      </c>
      <c r="U6" s="152">
        <v>9</v>
      </c>
      <c r="V6" s="161" t="s">
        <v>61</v>
      </c>
      <c r="W6" s="162">
        <f>U6*365</f>
        <v>3285</v>
      </c>
      <c r="X6" s="150"/>
      <c r="Y6" s="151" t="s">
        <v>60</v>
      </c>
      <c r="Z6" s="152">
        <v>13</v>
      </c>
      <c r="AA6" s="161" t="s">
        <v>61</v>
      </c>
      <c r="AB6" s="162">
        <f>Z6*365</f>
        <v>4745</v>
      </c>
    </row>
    <row r="7" spans="1:29" ht="15" thickBot="1">
      <c r="B7" s="163" t="s">
        <v>62</v>
      </c>
      <c r="C7" s="164"/>
      <c r="D7" s="165">
        <f>'[5]AHCS Salary Breakout'!B5</f>
        <v>54265.845095051212</v>
      </c>
      <c r="E7" s="157">
        <f t="shared" ref="E7:E16" si="0">D7*($D$40+1)*($D$41+1)</f>
        <v>58559.081957504444</v>
      </c>
      <c r="F7" s="501">
        <f t="shared" ref="F7:F16" si="1">E7/2080</f>
        <v>28.153404787261753</v>
      </c>
      <c r="G7" s="158" t="s">
        <v>390</v>
      </c>
      <c r="H7" s="167"/>
      <c r="I7" s="167"/>
      <c r="J7" s="167"/>
      <c r="K7" s="167"/>
      <c r="L7" s="167"/>
      <c r="M7" s="168"/>
      <c r="O7" s="151" t="s">
        <v>64</v>
      </c>
      <c r="P7" s="152">
        <v>4</v>
      </c>
      <c r="Q7" s="161" t="s">
        <v>61</v>
      </c>
      <c r="R7" s="162">
        <f>P7*365/3</f>
        <v>486.66666666666669</v>
      </c>
      <c r="S7" s="150"/>
      <c r="T7" s="151" t="s">
        <v>64</v>
      </c>
      <c r="U7" s="152">
        <v>10</v>
      </c>
      <c r="V7" s="161" t="s">
        <v>61</v>
      </c>
      <c r="W7" s="162">
        <f>U7*365/3</f>
        <v>1216.6666666666667</v>
      </c>
      <c r="X7" s="150"/>
      <c r="Y7" s="151" t="s">
        <v>64</v>
      </c>
      <c r="Z7" s="152">
        <v>32</v>
      </c>
      <c r="AA7" s="161" t="s">
        <v>61</v>
      </c>
      <c r="AB7" s="433">
        <f>Z7*365/3</f>
        <v>3893.3333333333335</v>
      </c>
      <c r="AC7" t="s">
        <v>149</v>
      </c>
    </row>
    <row r="8" spans="1:29" ht="15" customHeight="1">
      <c r="B8" s="169" t="s">
        <v>65</v>
      </c>
      <c r="C8" s="170"/>
      <c r="D8" s="165">
        <f>'[5]AHCS Salary Breakout'!B15</f>
        <v>53772.035779272279</v>
      </c>
      <c r="E8" s="157">
        <f t="shared" si="0"/>
        <v>58026.204967504062</v>
      </c>
      <c r="F8" s="501">
        <f t="shared" si="1"/>
        <v>27.897213926684646</v>
      </c>
      <c r="G8" s="158" t="s">
        <v>391</v>
      </c>
      <c r="H8" s="167"/>
      <c r="I8" s="167"/>
      <c r="J8" s="167"/>
      <c r="K8" s="167"/>
      <c r="L8" s="167"/>
      <c r="M8" s="168"/>
      <c r="O8" s="171" t="s">
        <v>67</v>
      </c>
      <c r="P8" s="172" t="s">
        <v>68</v>
      </c>
      <c r="Q8" s="172" t="s">
        <v>69</v>
      </c>
      <c r="R8" s="173" t="s">
        <v>70</v>
      </c>
      <c r="S8" s="174"/>
      <c r="T8" s="175" t="s">
        <v>67</v>
      </c>
      <c r="U8" s="176" t="s">
        <v>68</v>
      </c>
      <c r="V8" s="176" t="s">
        <v>69</v>
      </c>
      <c r="W8" s="177" t="s">
        <v>70</v>
      </c>
      <c r="X8" s="174"/>
      <c r="Y8" s="175" t="s">
        <v>67</v>
      </c>
      <c r="Z8" s="176" t="s">
        <v>68</v>
      </c>
      <c r="AA8" s="176" t="s">
        <v>69</v>
      </c>
      <c r="AB8" s="177" t="s">
        <v>70</v>
      </c>
    </row>
    <row r="9" spans="1:29">
      <c r="B9" s="169" t="s">
        <v>71</v>
      </c>
      <c r="C9" s="170"/>
      <c r="D9" s="165">
        <f>'[5]AHCS Salary Breakout'!B10</f>
        <v>90483.887203019724</v>
      </c>
      <c r="E9" s="157">
        <f t="shared" si="0"/>
        <v>97642.510814568173</v>
      </c>
      <c r="F9" s="501">
        <f t="shared" si="1"/>
        <v>46.943514814696236</v>
      </c>
      <c r="G9" s="158" t="s">
        <v>392</v>
      </c>
      <c r="H9" s="167"/>
      <c r="I9" s="167"/>
      <c r="J9" s="167"/>
      <c r="K9" s="167"/>
      <c r="L9" s="167"/>
      <c r="M9" s="168"/>
      <c r="O9" s="178" t="str">
        <f t="shared" ref="O9:O15" si="2">B6</f>
        <v>Program Function Manager</v>
      </c>
      <c r="P9" s="179">
        <f>$D$6</f>
        <v>75588.90937283411</v>
      </c>
      <c r="Q9" s="180">
        <f t="shared" ref="Q9:Q19" si="3">D20</f>
        <v>0.05</v>
      </c>
      <c r="R9" s="181">
        <f>P9*Q9</f>
        <v>3779.4454686417057</v>
      </c>
      <c r="S9" s="174"/>
      <c r="T9" s="182" t="str">
        <f t="shared" ref="T9:T19" si="4">O9</f>
        <v>Program Function Manager</v>
      </c>
      <c r="U9" s="183">
        <f>$D$6</f>
        <v>75588.90937283411</v>
      </c>
      <c r="V9" s="184">
        <f t="shared" ref="V9:V19" si="5">G20</f>
        <v>0.05</v>
      </c>
      <c r="W9" s="185">
        <f>U9*V9</f>
        <v>3779.4454686417057</v>
      </c>
      <c r="X9" s="174"/>
      <c r="Y9" s="182" t="str">
        <f>T9</f>
        <v>Program Function Manager</v>
      </c>
      <c r="Z9" s="183">
        <f>$D$6</f>
        <v>75588.90937283411</v>
      </c>
      <c r="AA9" s="184">
        <f t="shared" ref="AA9:AA19" si="6">H20</f>
        <v>0.10833333333333334</v>
      </c>
      <c r="AB9" s="185">
        <f>Z9*AA9</f>
        <v>8188.7985153903619</v>
      </c>
    </row>
    <row r="10" spans="1:29" ht="15" customHeight="1">
      <c r="B10" s="169" t="s">
        <v>73</v>
      </c>
      <c r="C10" s="170"/>
      <c r="D10" s="165">
        <f>'[5]AHCS Salary Breakout'!B11</f>
        <v>62728.637696237201</v>
      </c>
      <c r="E10" s="157">
        <f t="shared" si="0"/>
        <v>67691.407541933731</v>
      </c>
      <c r="F10" s="501">
        <f t="shared" si="1"/>
        <v>32.543945933621984</v>
      </c>
      <c r="G10" s="158" t="s">
        <v>393</v>
      </c>
      <c r="H10" s="167"/>
      <c r="I10" s="167"/>
      <c r="J10" s="167"/>
      <c r="K10" s="167"/>
      <c r="L10" s="167"/>
      <c r="M10" s="168"/>
      <c r="O10" s="186" t="str">
        <f t="shared" si="2"/>
        <v>Program Director</v>
      </c>
      <c r="P10" s="179">
        <f>$D$7</f>
        <v>54265.845095051212</v>
      </c>
      <c r="Q10" s="180">
        <f t="shared" si="3"/>
        <v>1</v>
      </c>
      <c r="R10" s="181">
        <f t="shared" ref="R10:R19" si="7">P10*Q10</f>
        <v>54265.845095051212</v>
      </c>
      <c r="S10" s="174"/>
      <c r="T10" s="187" t="str">
        <f t="shared" si="4"/>
        <v>Program Director</v>
      </c>
      <c r="U10" s="183">
        <f>$D$7</f>
        <v>54265.845095051212</v>
      </c>
      <c r="V10" s="184">
        <f t="shared" si="5"/>
        <v>1.1499999999999999</v>
      </c>
      <c r="W10" s="185">
        <f t="shared" ref="W10:W19" si="8">U10*V10</f>
        <v>62405.721859308891</v>
      </c>
      <c r="X10" s="174"/>
      <c r="Y10" s="187" t="str">
        <f>T10</f>
        <v>Program Director</v>
      </c>
      <c r="Z10" s="183">
        <f>$D$7</f>
        <v>54265.845095051212</v>
      </c>
      <c r="AA10" s="184">
        <f t="shared" si="6"/>
        <v>2.1666666666666665</v>
      </c>
      <c r="AB10" s="185">
        <f t="shared" ref="AB10:AB19" si="9">Z10*AA10</f>
        <v>117575.99770594429</v>
      </c>
    </row>
    <row r="11" spans="1:29">
      <c r="B11" s="169" t="s">
        <v>75</v>
      </c>
      <c r="C11" s="170"/>
      <c r="D11" s="165">
        <f>'[5]AHCS Salary Breakout'!B12</f>
        <v>48356.933422073991</v>
      </c>
      <c r="E11" s="157">
        <f t="shared" si="0"/>
        <v>52182.687333382339</v>
      </c>
      <c r="F11" s="501">
        <f t="shared" si="1"/>
        <v>25.08783044874151</v>
      </c>
      <c r="G11" s="158" t="s">
        <v>394</v>
      </c>
      <c r="H11" s="167"/>
      <c r="I11" s="167"/>
      <c r="J11" s="167"/>
      <c r="K11" s="167"/>
      <c r="L11" s="167"/>
      <c r="M11" s="168"/>
      <c r="O11" s="186" t="str">
        <f t="shared" si="2"/>
        <v>LPHA</v>
      </c>
      <c r="P11" s="179">
        <f>$D$8</f>
        <v>53772.035779272279</v>
      </c>
      <c r="Q11" s="180">
        <f t="shared" si="3"/>
        <v>0.6</v>
      </c>
      <c r="R11" s="181">
        <f t="shared" si="7"/>
        <v>32263.221467563366</v>
      </c>
      <c r="S11" s="174"/>
      <c r="T11" s="186" t="str">
        <f t="shared" si="4"/>
        <v>LPHA</v>
      </c>
      <c r="U11" s="179">
        <f>$D$8</f>
        <v>53772.035779272279</v>
      </c>
      <c r="V11" s="180">
        <f t="shared" si="5"/>
        <v>0.65</v>
      </c>
      <c r="W11" s="185">
        <f t="shared" si="8"/>
        <v>34951.823256526979</v>
      </c>
      <c r="X11" s="174"/>
      <c r="Y11" s="187" t="str">
        <f t="shared" ref="Y11:Y19" si="10">T11</f>
        <v>LPHA</v>
      </c>
      <c r="Z11" s="179">
        <f>$D$8</f>
        <v>53772.035779272279</v>
      </c>
      <c r="AA11" s="180">
        <f t="shared" si="6"/>
        <v>1.2999999999999998</v>
      </c>
      <c r="AB11" s="185">
        <f t="shared" si="9"/>
        <v>69903.646513053958</v>
      </c>
    </row>
    <row r="12" spans="1:29">
      <c r="B12" s="163" t="s">
        <v>77</v>
      </c>
      <c r="C12" s="164"/>
      <c r="D12" s="165">
        <f>'[5]AHCS Salary Breakout'!B27</f>
        <v>28224.841144193815</v>
      </c>
      <c r="E12" s="157">
        <f t="shared" si="0"/>
        <v>30457.846605085277</v>
      </c>
      <c r="F12" s="501">
        <f t="shared" si="1"/>
        <v>14.643195483214075</v>
      </c>
      <c r="G12" s="158" t="s">
        <v>395</v>
      </c>
      <c r="H12" s="167"/>
      <c r="I12" s="167"/>
      <c r="J12" s="167"/>
      <c r="K12" s="167"/>
      <c r="L12" s="167"/>
      <c r="M12" s="168"/>
      <c r="O12" s="186" t="str">
        <f t="shared" si="2"/>
        <v>APRN</v>
      </c>
      <c r="P12" s="179">
        <f>$D$9</f>
        <v>90483.887203019724</v>
      </c>
      <c r="Q12" s="180">
        <f t="shared" si="3"/>
        <v>0.1</v>
      </c>
      <c r="R12" s="181">
        <f t="shared" si="7"/>
        <v>9048.3887203019731</v>
      </c>
      <c r="S12" s="174"/>
      <c r="T12" s="186" t="str">
        <f t="shared" si="4"/>
        <v>APRN</v>
      </c>
      <c r="U12" s="179">
        <f>$D$9</f>
        <v>90483.887203019724</v>
      </c>
      <c r="V12" s="180">
        <f t="shared" si="5"/>
        <v>0.15000000000000002</v>
      </c>
      <c r="W12" s="185">
        <f t="shared" si="8"/>
        <v>13572.583080452961</v>
      </c>
      <c r="X12" s="174"/>
      <c r="Y12" s="187" t="str">
        <f t="shared" si="10"/>
        <v>APRN</v>
      </c>
      <c r="Z12" s="179">
        <f>$D$9</f>
        <v>90483.887203019724</v>
      </c>
      <c r="AA12" s="180">
        <f t="shared" si="6"/>
        <v>0.21666666666666667</v>
      </c>
      <c r="AB12" s="185">
        <f t="shared" si="9"/>
        <v>19604.84222732094</v>
      </c>
    </row>
    <row r="13" spans="1:29">
      <c r="B13" s="163" t="s">
        <v>79</v>
      </c>
      <c r="C13" s="164"/>
      <c r="D13" s="165">
        <f>'[5]AHCS Salary Breakout'!B27</f>
        <v>28224.841144193815</v>
      </c>
      <c r="E13" s="157">
        <f t="shared" si="0"/>
        <v>30457.846605085277</v>
      </c>
      <c r="F13" s="501">
        <f t="shared" si="1"/>
        <v>14.643195483214075</v>
      </c>
      <c r="G13" s="158" t="s">
        <v>396</v>
      </c>
      <c r="H13" s="167"/>
      <c r="I13" s="167"/>
      <c r="J13" s="167"/>
      <c r="K13" s="167"/>
      <c r="L13" s="167"/>
      <c r="M13" s="168"/>
      <c r="O13" s="186" t="str">
        <f t="shared" si="2"/>
        <v>RN</v>
      </c>
      <c r="P13" s="179">
        <f>$D$10</f>
        <v>62728.637696237201</v>
      </c>
      <c r="Q13" s="180">
        <f t="shared" si="3"/>
        <v>0.5</v>
      </c>
      <c r="R13" s="181">
        <f t="shared" si="7"/>
        <v>31364.318848118601</v>
      </c>
      <c r="S13" s="174"/>
      <c r="T13" s="186" t="str">
        <f t="shared" si="4"/>
        <v>RN</v>
      </c>
      <c r="U13" s="179">
        <f>$D$10</f>
        <v>62728.637696237201</v>
      </c>
      <c r="V13" s="180">
        <f t="shared" si="5"/>
        <v>0.55000000000000004</v>
      </c>
      <c r="W13" s="185">
        <f t="shared" si="8"/>
        <v>34500.750732930464</v>
      </c>
      <c r="X13" s="174"/>
      <c r="Y13" s="187" t="str">
        <f t="shared" si="10"/>
        <v>RN</v>
      </c>
      <c r="Z13" s="179">
        <f>$D$10</f>
        <v>62728.637696237201</v>
      </c>
      <c r="AA13" s="180">
        <f t="shared" si="6"/>
        <v>1.0833333333333333</v>
      </c>
      <c r="AB13" s="185">
        <f t="shared" si="9"/>
        <v>67956.024170923629</v>
      </c>
    </row>
    <row r="14" spans="1:29">
      <c r="B14" s="163" t="s">
        <v>80</v>
      </c>
      <c r="C14" s="164"/>
      <c r="D14" s="165">
        <f>'[5]AHCS Salary Breakout'!B27</f>
        <v>28224.841144193815</v>
      </c>
      <c r="E14" s="157">
        <f t="shared" si="0"/>
        <v>30457.846605085277</v>
      </c>
      <c r="F14" s="501">
        <f t="shared" si="1"/>
        <v>14.643195483214075</v>
      </c>
      <c r="G14" s="158" t="s">
        <v>397</v>
      </c>
      <c r="H14" s="167"/>
      <c r="I14" s="167"/>
      <c r="J14" s="167"/>
      <c r="K14" s="167"/>
      <c r="L14" s="167"/>
      <c r="M14" s="168"/>
      <c r="O14" s="186" t="str">
        <f t="shared" si="2"/>
        <v>LPN</v>
      </c>
      <c r="P14" s="179">
        <f>$D$11</f>
        <v>48356.933422073991</v>
      </c>
      <c r="Q14" s="180">
        <f t="shared" si="3"/>
        <v>0.5</v>
      </c>
      <c r="R14" s="181">
        <f t="shared" si="7"/>
        <v>24178.466711036996</v>
      </c>
      <c r="S14" s="174"/>
      <c r="T14" s="186" t="str">
        <f t="shared" si="4"/>
        <v>LPN</v>
      </c>
      <c r="U14" s="179">
        <f>$D$11</f>
        <v>48356.933422073991</v>
      </c>
      <c r="V14" s="180">
        <f t="shared" si="5"/>
        <v>0.55000000000000004</v>
      </c>
      <c r="W14" s="185">
        <f t="shared" si="8"/>
        <v>26596.313382140695</v>
      </c>
      <c r="X14" s="174"/>
      <c r="Y14" s="187" t="str">
        <f t="shared" si="10"/>
        <v>LPN</v>
      </c>
      <c r="Z14" s="179">
        <f>$D$11</f>
        <v>48356.933422073991</v>
      </c>
      <c r="AA14" s="180">
        <f t="shared" si="6"/>
        <v>1.0833333333333333</v>
      </c>
      <c r="AB14" s="185">
        <f t="shared" si="9"/>
        <v>52386.67787391349</v>
      </c>
    </row>
    <row r="15" spans="1:29">
      <c r="B15" s="163" t="s">
        <v>81</v>
      </c>
      <c r="C15" s="164"/>
      <c r="D15" s="165">
        <f>'[5]AHCS Salary Breakout'!B27</f>
        <v>28224.841144193815</v>
      </c>
      <c r="E15" s="157">
        <f t="shared" si="0"/>
        <v>30457.846605085277</v>
      </c>
      <c r="F15" s="501">
        <f t="shared" si="1"/>
        <v>14.643195483214075</v>
      </c>
      <c r="G15" s="158" t="s">
        <v>398</v>
      </c>
      <c r="H15" s="167"/>
      <c r="I15" s="167"/>
      <c r="J15" s="167"/>
      <c r="K15" s="167"/>
      <c r="L15" s="167"/>
      <c r="M15" s="168"/>
      <c r="O15" s="186" t="str">
        <f t="shared" si="2"/>
        <v>DC Blend (I + II )</v>
      </c>
      <c r="P15" s="179">
        <f>$D$12</f>
        <v>28224.841144193815</v>
      </c>
      <c r="Q15" s="180">
        <f t="shared" si="3"/>
        <v>4.2</v>
      </c>
      <c r="R15" s="181">
        <f t="shared" si="7"/>
        <v>118544.33280561403</v>
      </c>
      <c r="S15" s="174"/>
      <c r="T15" s="186" t="str">
        <f t="shared" si="4"/>
        <v>DC Blend (I + II )</v>
      </c>
      <c r="U15" s="179">
        <f>$D$12</f>
        <v>28224.841144193815</v>
      </c>
      <c r="V15" s="180">
        <f t="shared" si="5"/>
        <v>5.4600000000000009</v>
      </c>
      <c r="W15" s="185">
        <f t="shared" si="8"/>
        <v>154107.63264729825</v>
      </c>
      <c r="X15" s="174"/>
      <c r="Y15" s="187" t="str">
        <f t="shared" si="10"/>
        <v>DC Blend (I + II )</v>
      </c>
      <c r="Z15" s="179">
        <f>$D$12</f>
        <v>28224.841144193815</v>
      </c>
      <c r="AA15" s="180">
        <f t="shared" si="6"/>
        <v>9.1000000000000014</v>
      </c>
      <c r="AB15" s="185">
        <f t="shared" si="9"/>
        <v>256846.05441216376</v>
      </c>
    </row>
    <row r="16" spans="1:29" ht="15" customHeight="1">
      <c r="B16" s="188" t="s">
        <v>82</v>
      </c>
      <c r="C16" s="189"/>
      <c r="D16" s="190">
        <f>'[5]AHCS Salary Breakout'!B29</f>
        <v>27811.316309872502</v>
      </c>
      <c r="E16" s="157">
        <f t="shared" si="0"/>
        <v>30011.60579519704</v>
      </c>
      <c r="F16" s="501">
        <f t="shared" si="1"/>
        <v>14.42865663230627</v>
      </c>
      <c r="G16" s="158" t="s">
        <v>399</v>
      </c>
      <c r="H16" s="191"/>
      <c r="I16" s="191"/>
      <c r="J16" s="191"/>
      <c r="K16" s="191"/>
      <c r="L16" s="191"/>
      <c r="M16" s="192"/>
      <c r="O16" s="186" t="str">
        <f>B13</f>
        <v>Relief</v>
      </c>
      <c r="P16" s="179">
        <f>$D$13</f>
        <v>28224.841144193815</v>
      </c>
      <c r="Q16" s="180">
        <f t="shared" si="3"/>
        <v>1.1242000000000001</v>
      </c>
      <c r="R16" s="181">
        <f>P16*Q16</f>
        <v>31730.366414302691</v>
      </c>
      <c r="S16" s="193"/>
      <c r="T16" s="186" t="str">
        <f>O16</f>
        <v>Relief</v>
      </c>
      <c r="U16" s="179">
        <f>$D$13</f>
        <v>28224.841144193815</v>
      </c>
      <c r="V16" s="180">
        <f t="shared" si="5"/>
        <v>1.6724400000000001</v>
      </c>
      <c r="W16" s="185">
        <f>U16*V16</f>
        <v>47204.353323195508</v>
      </c>
      <c r="X16" s="193"/>
      <c r="Y16" s="187" t="str">
        <f>T16</f>
        <v>Relief</v>
      </c>
      <c r="Z16" s="179">
        <f>$D$13</f>
        <v>28224.841144193815</v>
      </c>
      <c r="AA16" s="180">
        <f t="shared" si="6"/>
        <v>3.6934333333333336</v>
      </c>
      <c r="AB16" s="185">
        <f>Z16*AA16</f>
        <v>104246.56911000358</v>
      </c>
    </row>
    <row r="17" spans="2:32">
      <c r="B17" s="194"/>
      <c r="C17" s="195" t="s">
        <v>84</v>
      </c>
      <c r="D17" s="196" t="s">
        <v>85</v>
      </c>
      <c r="E17" s="196"/>
      <c r="F17" s="196"/>
      <c r="G17" s="196" t="s">
        <v>86</v>
      </c>
      <c r="H17" s="196" t="s">
        <v>87</v>
      </c>
      <c r="I17" s="197"/>
      <c r="J17" s="197"/>
      <c r="K17" s="197"/>
      <c r="L17" s="197"/>
      <c r="M17" s="198"/>
      <c r="O17" s="186" t="str">
        <f>B14</f>
        <v>DC Blend (I + II ) Mobile</v>
      </c>
      <c r="P17" s="179">
        <f>$D$14</f>
        <v>28224.841144193815</v>
      </c>
      <c r="Q17" s="180">
        <f t="shared" si="3"/>
        <v>1.4</v>
      </c>
      <c r="R17" s="181">
        <f t="shared" si="7"/>
        <v>39514.777601871341</v>
      </c>
      <c r="S17" s="174"/>
      <c r="T17" s="186" t="str">
        <f t="shared" si="4"/>
        <v>DC Blend (I + II ) Mobile</v>
      </c>
      <c r="U17" s="179">
        <f>$D$14</f>
        <v>28224.841144193815</v>
      </c>
      <c r="V17" s="180">
        <f t="shared" si="5"/>
        <v>3.5</v>
      </c>
      <c r="W17" s="185">
        <f t="shared" si="8"/>
        <v>98786.944004678357</v>
      </c>
      <c r="X17" s="174"/>
      <c r="Y17" s="187" t="str">
        <f t="shared" si="10"/>
        <v>DC Blend (I + II ) Mobile</v>
      </c>
      <c r="Z17" s="179">
        <f>$D$14</f>
        <v>28224.841144193815</v>
      </c>
      <c r="AA17" s="180">
        <f t="shared" si="6"/>
        <v>11.2</v>
      </c>
      <c r="AB17" s="185">
        <f t="shared" si="9"/>
        <v>316118.22081497073</v>
      </c>
    </row>
    <row r="18" spans="2:32">
      <c r="B18" s="322" t="s">
        <v>88</v>
      </c>
      <c r="C18" s="200" t="s">
        <v>89</v>
      </c>
      <c r="D18" s="201">
        <v>6</v>
      </c>
      <c r="E18" s="201"/>
      <c r="F18" s="201"/>
      <c r="G18" s="202">
        <v>9</v>
      </c>
      <c r="H18" s="201">
        <v>13</v>
      </c>
      <c r="I18" s="165"/>
      <c r="J18" s="165"/>
      <c r="K18" s="165"/>
      <c r="L18" s="165"/>
      <c r="M18" s="203"/>
      <c r="O18" s="186" t="str">
        <f>B15</f>
        <v>Peer &amp; Family Specialist</v>
      </c>
      <c r="P18" s="179">
        <f>$D$15</f>
        <v>28224.841144193815</v>
      </c>
      <c r="Q18" s="180">
        <f t="shared" si="3"/>
        <v>0.4</v>
      </c>
      <c r="R18" s="181">
        <f t="shared" si="7"/>
        <v>11289.936457677526</v>
      </c>
      <c r="S18" s="204"/>
      <c r="T18" s="186" t="str">
        <f t="shared" si="4"/>
        <v>Peer &amp; Family Specialist</v>
      </c>
      <c r="U18" s="179">
        <f>$D$15</f>
        <v>28224.841144193815</v>
      </c>
      <c r="V18" s="180">
        <f t="shared" si="5"/>
        <v>0.52</v>
      </c>
      <c r="W18" s="185">
        <f t="shared" si="8"/>
        <v>14676.917394980785</v>
      </c>
      <c r="X18" s="204"/>
      <c r="Y18" s="187" t="str">
        <f t="shared" si="10"/>
        <v>Peer &amp; Family Specialist</v>
      </c>
      <c r="Z18" s="179">
        <f>$D$15</f>
        <v>28224.841144193815</v>
      </c>
      <c r="AA18" s="180">
        <f t="shared" si="6"/>
        <v>0.8666666666666667</v>
      </c>
      <c r="AB18" s="185">
        <f t="shared" si="9"/>
        <v>24461.528991634641</v>
      </c>
    </row>
    <row r="19" spans="2:32">
      <c r="B19" s="322"/>
      <c r="C19" s="205" t="s">
        <v>90</v>
      </c>
      <c r="D19" s="206">
        <v>4</v>
      </c>
      <c r="E19" s="206"/>
      <c r="F19" s="206"/>
      <c r="G19" s="207">
        <v>10</v>
      </c>
      <c r="H19" s="207">
        <v>32</v>
      </c>
      <c r="I19" s="165"/>
      <c r="J19" s="165"/>
      <c r="K19" s="165"/>
      <c r="L19" s="165"/>
      <c r="M19" s="203"/>
      <c r="O19" s="208" t="str">
        <f>B16</f>
        <v>Clerical Support</v>
      </c>
      <c r="P19" s="209">
        <f>$D$16</f>
        <v>27811.316309872502</v>
      </c>
      <c r="Q19" s="180">
        <f t="shared" si="3"/>
        <v>0.25</v>
      </c>
      <c r="R19" s="181">
        <f t="shared" si="7"/>
        <v>6952.8290774681254</v>
      </c>
      <c r="S19" s="210"/>
      <c r="T19" s="208" t="str">
        <f t="shared" si="4"/>
        <v>Clerical Support</v>
      </c>
      <c r="U19" s="209">
        <f>$D$16</f>
        <v>27811.316309872502</v>
      </c>
      <c r="V19" s="180">
        <f t="shared" si="5"/>
        <v>0.32500000000000001</v>
      </c>
      <c r="W19" s="185">
        <f t="shared" si="8"/>
        <v>9038.6778007085632</v>
      </c>
      <c r="X19" s="210"/>
      <c r="Y19" s="211" t="str">
        <f t="shared" si="10"/>
        <v>Clerical Support</v>
      </c>
      <c r="Z19" s="209">
        <f>$D$16</f>
        <v>27811.316309872502</v>
      </c>
      <c r="AA19" s="180">
        <f t="shared" si="6"/>
        <v>0.54166666666666663</v>
      </c>
      <c r="AB19" s="185">
        <f t="shared" si="9"/>
        <v>15064.463001180937</v>
      </c>
    </row>
    <row r="20" spans="2:32">
      <c r="B20" s="163" t="s">
        <v>58</v>
      </c>
      <c r="C20" s="164"/>
      <c r="D20" s="212">
        <v>0.05</v>
      </c>
      <c r="E20" s="212"/>
      <c r="F20" s="212"/>
      <c r="G20" s="212">
        <f>D20</f>
        <v>0.05</v>
      </c>
      <c r="H20" s="212">
        <f>D20/$D$18*$H$18</f>
        <v>0.10833333333333334</v>
      </c>
      <c r="I20" s="213" t="s">
        <v>91</v>
      </c>
      <c r="J20" s="167"/>
      <c r="K20" s="167"/>
      <c r="L20" s="167"/>
      <c r="M20" s="168"/>
      <c r="O20" s="214" t="s">
        <v>92</v>
      </c>
      <c r="P20" s="215"/>
      <c r="Q20" s="216">
        <f>SUM(Q9:Q19)</f>
        <v>10.124200000000002</v>
      </c>
      <c r="R20" s="217">
        <f>SUM(R9:R19)</f>
        <v>362931.92866764753</v>
      </c>
      <c r="S20" s="193"/>
      <c r="T20" s="218" t="s">
        <v>92</v>
      </c>
      <c r="U20" s="219"/>
      <c r="V20" s="220">
        <f>SUM(V9:V19)</f>
        <v>14.577439999999999</v>
      </c>
      <c r="W20" s="221">
        <f>SUM(W9:W19)</f>
        <v>499621.16295086307</v>
      </c>
      <c r="X20" s="193"/>
      <c r="Y20" s="218" t="s">
        <v>92</v>
      </c>
      <c r="Z20" s="219"/>
      <c r="AA20" s="220">
        <f>SUM(AA9:AA19)</f>
        <v>31.360100000000003</v>
      </c>
      <c r="AB20" s="221">
        <f>SUM(AB9:AB19)</f>
        <v>1052352.8233365002</v>
      </c>
      <c r="AF20" s="184"/>
    </row>
    <row r="21" spans="2:32">
      <c r="B21" s="163" t="s">
        <v>62</v>
      </c>
      <c r="C21" s="164"/>
      <c r="D21" s="212">
        <v>1</v>
      </c>
      <c r="E21" s="212"/>
      <c r="F21" s="212"/>
      <c r="G21" s="212">
        <f>D21*1.15</f>
        <v>1.1499999999999999</v>
      </c>
      <c r="H21" s="212">
        <f t="shared" ref="H21:H30" si="11">D21/$D$18*$H$18</f>
        <v>2.1666666666666665</v>
      </c>
      <c r="I21" s="213" t="s">
        <v>91</v>
      </c>
      <c r="J21" s="167"/>
      <c r="K21" s="167"/>
      <c r="L21" s="167"/>
      <c r="M21" s="222"/>
      <c r="O21" s="223"/>
      <c r="P21" s="224"/>
      <c r="Q21" s="225"/>
      <c r="R21" s="226"/>
      <c r="S21" s="227"/>
      <c r="T21" s="228"/>
      <c r="U21" s="224"/>
      <c r="V21" s="229"/>
      <c r="W21" s="230"/>
      <c r="X21" s="227"/>
      <c r="Y21" s="228"/>
      <c r="Z21" s="224"/>
      <c r="AA21" s="229"/>
      <c r="AB21" s="230"/>
    </row>
    <row r="22" spans="2:32">
      <c r="B22" s="169" t="s">
        <v>65</v>
      </c>
      <c r="C22" s="170"/>
      <c r="D22" s="212">
        <v>0.6</v>
      </c>
      <c r="E22" s="212"/>
      <c r="F22" s="212"/>
      <c r="G22" s="212">
        <f>D22+0.05</f>
        <v>0.65</v>
      </c>
      <c r="H22" s="212">
        <f t="shared" si="11"/>
        <v>1.2999999999999998</v>
      </c>
      <c r="I22" s="213" t="s">
        <v>91</v>
      </c>
      <c r="J22" s="167"/>
      <c r="K22" s="167"/>
      <c r="L22" s="167"/>
      <c r="M22" s="168"/>
      <c r="O22" s="231" t="s">
        <v>93</v>
      </c>
      <c r="P22" s="232">
        <f>$D$33</f>
        <v>0.22602863541922683</v>
      </c>
      <c r="Q22" s="210"/>
      <c r="R22" s="233">
        <f>P22*R20</f>
        <v>82033.008586816533</v>
      </c>
      <c r="S22" s="227"/>
      <c r="T22" s="234" t="s">
        <v>93</v>
      </c>
      <c r="U22" s="232">
        <f>$D$33</f>
        <v>0.22602863541922683</v>
      </c>
      <c r="V22" s="235"/>
      <c r="W22" s="236">
        <f>U22*W20</f>
        <v>112928.68968835074</v>
      </c>
      <c r="X22" s="227"/>
      <c r="Y22" s="234" t="s">
        <v>93</v>
      </c>
      <c r="Z22" s="232">
        <f>$D$33</f>
        <v>0.22602863541922683</v>
      </c>
      <c r="AA22" s="235"/>
      <c r="AB22" s="236">
        <f>Z22*AB20</f>
        <v>237861.87263831982</v>
      </c>
    </row>
    <row r="23" spans="2:32" ht="15" thickBot="1">
      <c r="B23" s="169" t="s">
        <v>71</v>
      </c>
      <c r="C23" s="170"/>
      <c r="D23" s="212">
        <v>0.1</v>
      </c>
      <c r="E23" s="212"/>
      <c r="F23" s="212"/>
      <c r="G23" s="212">
        <f>D23+0.05</f>
        <v>0.15000000000000002</v>
      </c>
      <c r="H23" s="212">
        <f t="shared" si="11"/>
        <v>0.21666666666666667</v>
      </c>
      <c r="I23" s="213" t="s">
        <v>91</v>
      </c>
      <c r="J23" s="167"/>
      <c r="K23" s="167"/>
      <c r="L23" s="167"/>
      <c r="M23" s="168"/>
      <c r="O23" s="237" t="s">
        <v>94</v>
      </c>
      <c r="P23" s="238"/>
      <c r="Q23" s="239"/>
      <c r="R23" s="240">
        <f>R20+R22</f>
        <v>444964.93725446408</v>
      </c>
      <c r="S23" s="193"/>
      <c r="T23" s="241" t="s">
        <v>94</v>
      </c>
      <c r="U23" s="238"/>
      <c r="V23" s="242"/>
      <c r="W23" s="243">
        <f>W20+W22</f>
        <v>612549.85263921379</v>
      </c>
      <c r="X23" s="193"/>
      <c r="Y23" s="241" t="s">
        <v>94</v>
      </c>
      <c r="Z23" s="238"/>
      <c r="AA23" s="242"/>
      <c r="AB23" s="243">
        <f>AB20+AB22</f>
        <v>1290214.6959748201</v>
      </c>
    </row>
    <row r="24" spans="2:32" ht="15" thickTop="1">
      <c r="B24" s="169" t="s">
        <v>73</v>
      </c>
      <c r="C24" s="170"/>
      <c r="D24" s="212">
        <v>0.5</v>
      </c>
      <c r="E24" s="212"/>
      <c r="F24" s="212"/>
      <c r="G24" s="212">
        <f t="shared" ref="G24:G25" si="12">D24+0.05</f>
        <v>0.55000000000000004</v>
      </c>
      <c r="H24" s="212">
        <f t="shared" si="11"/>
        <v>1.0833333333333333</v>
      </c>
      <c r="I24" s="213" t="s">
        <v>91</v>
      </c>
      <c r="J24" s="167"/>
      <c r="K24" s="167"/>
      <c r="L24" s="167"/>
      <c r="M24" s="168"/>
      <c r="O24" s="244"/>
      <c r="P24" s="245"/>
      <c r="Q24" s="246"/>
      <c r="R24" s="247"/>
      <c r="S24" s="193"/>
      <c r="T24" s="244"/>
      <c r="U24" s="245"/>
      <c r="V24" s="246"/>
      <c r="W24" s="247"/>
      <c r="X24" s="193"/>
      <c r="Y24" s="244"/>
      <c r="Z24" s="245"/>
      <c r="AA24" s="246"/>
      <c r="AB24" s="247"/>
    </row>
    <row r="25" spans="2:32" ht="15" customHeight="1">
      <c r="B25" s="169" t="s">
        <v>75</v>
      </c>
      <c r="C25" s="170"/>
      <c r="D25" s="212">
        <v>0.5</v>
      </c>
      <c r="E25" s="212"/>
      <c r="F25" s="212"/>
      <c r="G25" s="212">
        <f t="shared" si="12"/>
        <v>0.55000000000000004</v>
      </c>
      <c r="H25" s="212">
        <f t="shared" si="11"/>
        <v>1.0833333333333333</v>
      </c>
      <c r="I25" s="213" t="s">
        <v>91</v>
      </c>
      <c r="J25" s="167"/>
      <c r="K25" s="167"/>
      <c r="L25" s="167"/>
      <c r="M25" s="168"/>
      <c r="O25" s="244" t="s">
        <v>95</v>
      </c>
      <c r="P25" s="245"/>
      <c r="Q25" s="142"/>
      <c r="R25" s="247"/>
      <c r="S25" s="193"/>
      <c r="T25" s="244" t="s">
        <v>95</v>
      </c>
      <c r="U25" s="245"/>
      <c r="V25" s="142"/>
      <c r="W25" s="247"/>
      <c r="X25" s="193"/>
      <c r="Y25" s="244" t="s">
        <v>95</v>
      </c>
      <c r="Z25" s="245"/>
      <c r="AA25" s="142"/>
      <c r="AB25" s="247"/>
    </row>
    <row r="26" spans="2:32">
      <c r="B26" s="163" t="s">
        <v>96</v>
      </c>
      <c r="C26" s="164"/>
      <c r="D26" s="212">
        <v>4.2</v>
      </c>
      <c r="E26" s="212"/>
      <c r="F26" s="212"/>
      <c r="G26" s="212">
        <f>D26*1.3</f>
        <v>5.4600000000000009</v>
      </c>
      <c r="H26" s="212">
        <f t="shared" si="11"/>
        <v>9.1000000000000014</v>
      </c>
      <c r="I26" s="213" t="s">
        <v>91</v>
      </c>
      <c r="J26" s="167"/>
      <c r="K26" s="167"/>
      <c r="L26" s="167"/>
      <c r="M26" s="168"/>
      <c r="O26" s="231" t="str">
        <f>B34</f>
        <v xml:space="preserve">Occupancy </v>
      </c>
      <c r="P26" s="225"/>
      <c r="Q26" s="179">
        <f>D34</f>
        <v>51201.5</v>
      </c>
      <c r="R26" s="233">
        <f>Q26</f>
        <v>51201.5</v>
      </c>
      <c r="S26" s="193"/>
      <c r="T26" s="231" t="str">
        <f>O26</f>
        <v xml:space="preserve">Occupancy </v>
      </c>
      <c r="U26" s="225"/>
      <c r="V26" s="179">
        <f>Q26</f>
        <v>51201.5</v>
      </c>
      <c r="W26" s="233">
        <f>V26*1.3</f>
        <v>66561.95</v>
      </c>
      <c r="X26" s="193"/>
      <c r="Y26" s="231" t="str">
        <f>O26</f>
        <v xml:space="preserve">Occupancy </v>
      </c>
      <c r="Z26" s="225"/>
      <c r="AA26" s="179">
        <f>Q26</f>
        <v>51201.5</v>
      </c>
      <c r="AB26" s="248">
        <f>AA26*1.75</f>
        <v>89602.625</v>
      </c>
    </row>
    <row r="27" spans="2:32" ht="27" customHeight="1">
      <c r="B27" s="373" t="s">
        <v>79</v>
      </c>
      <c r="C27" s="374"/>
      <c r="D27" s="375">
        <f>SUM(D22:D26,D28)*15.4%</f>
        <v>1.1242000000000001</v>
      </c>
      <c r="E27" s="375"/>
      <c r="F27" s="375"/>
      <c r="G27" s="375">
        <f t="shared" ref="G27:H27" si="13">SUM(G22:G26,G28)*15.4%</f>
        <v>1.6724400000000001</v>
      </c>
      <c r="H27" s="375">
        <f t="shared" si="13"/>
        <v>3.6934333333333336</v>
      </c>
      <c r="I27" s="878" t="s">
        <v>127</v>
      </c>
      <c r="J27" s="879"/>
      <c r="K27" s="879"/>
      <c r="L27" s="879"/>
      <c r="M27" s="880"/>
      <c r="O27" s="330" t="str">
        <f>B35</f>
        <v>Mobile Transportation (per Mobile DC FTE)</v>
      </c>
      <c r="P27" s="331"/>
      <c r="Q27" s="332">
        <f>D35</f>
        <v>4106.25</v>
      </c>
      <c r="R27" s="333">
        <f>Q27*Q17</f>
        <v>5748.75</v>
      </c>
      <c r="S27" s="334"/>
      <c r="T27" s="330" t="str">
        <f>O27</f>
        <v>Mobile Transportation (per Mobile DC FTE)</v>
      </c>
      <c r="U27" s="331"/>
      <c r="V27" s="332">
        <f>$D$35</f>
        <v>4106.25</v>
      </c>
      <c r="W27" s="335">
        <f>V27*V17</f>
        <v>14371.875</v>
      </c>
      <c r="X27" s="334"/>
      <c r="Y27" s="330" t="str">
        <f>B35</f>
        <v>Mobile Transportation (per Mobile DC FTE)</v>
      </c>
      <c r="Z27" s="331"/>
      <c r="AA27" s="332">
        <f>$D$35</f>
        <v>4106.25</v>
      </c>
      <c r="AB27" s="333">
        <f>AA27*AA17</f>
        <v>45990</v>
      </c>
    </row>
    <row r="28" spans="2:32" ht="14.25" customHeight="1">
      <c r="B28" s="163" t="s">
        <v>80</v>
      </c>
      <c r="C28" s="164"/>
      <c r="D28" s="212">
        <v>1.4</v>
      </c>
      <c r="E28" s="212"/>
      <c r="F28" s="212"/>
      <c r="G28" s="212">
        <f>D28*2.5</f>
        <v>3.5</v>
      </c>
      <c r="H28" s="212">
        <f>D28/D19*H19</f>
        <v>11.2</v>
      </c>
      <c r="I28" s="213" t="s">
        <v>91</v>
      </c>
      <c r="J28" s="167"/>
      <c r="K28" s="167"/>
      <c r="L28" s="167"/>
      <c r="M28" s="168"/>
      <c r="O28" s="249" t="str">
        <f>B36</f>
        <v>Meals (per bed day)</v>
      </c>
      <c r="P28" s="210"/>
      <c r="Q28" s="250">
        <f>D36</f>
        <v>8.16</v>
      </c>
      <c r="R28" s="233">
        <f>Q28*R6</f>
        <v>17870.400000000001</v>
      </c>
      <c r="S28" s="193"/>
      <c r="T28" s="249" t="str">
        <f>B36</f>
        <v>Meals (per bed day)</v>
      </c>
      <c r="U28" s="210"/>
      <c r="V28" s="250">
        <f>D36</f>
        <v>8.16</v>
      </c>
      <c r="W28" s="181">
        <f>V28*W6</f>
        <v>26805.600000000002</v>
      </c>
      <c r="X28" s="193"/>
      <c r="Y28" s="249" t="str">
        <f>B36</f>
        <v>Meals (per bed day)</v>
      </c>
      <c r="Z28" s="210"/>
      <c r="AA28" s="250">
        <f>$D$36</f>
        <v>8.16</v>
      </c>
      <c r="AB28" s="181">
        <f>AA28*AB6</f>
        <v>38719.199999999997</v>
      </c>
      <c r="AE28" s="184"/>
    </row>
    <row r="29" spans="2:32">
      <c r="B29" s="163" t="s">
        <v>81</v>
      </c>
      <c r="C29" s="164"/>
      <c r="D29" s="212">
        <v>0.4</v>
      </c>
      <c r="E29" s="212"/>
      <c r="F29" s="212"/>
      <c r="G29" s="212">
        <f>D29*1.3</f>
        <v>0.52</v>
      </c>
      <c r="H29" s="212">
        <f t="shared" si="11"/>
        <v>0.8666666666666667</v>
      </c>
      <c r="I29" s="213" t="s">
        <v>91</v>
      </c>
      <c r="J29" s="167"/>
      <c r="K29" s="167"/>
      <c r="L29" s="167"/>
      <c r="M29" s="168"/>
      <c r="O29" s="231" t="str">
        <f>B37</f>
        <v>Other Expenses (per FTE)</v>
      </c>
      <c r="P29" s="210"/>
      <c r="Q29" s="179">
        <f>D37</f>
        <v>1668.9958313837251</v>
      </c>
      <c r="R29" s="233">
        <f>Q29*Q20</f>
        <v>16897.247596095112</v>
      </c>
      <c r="S29" s="251"/>
      <c r="T29" s="231" t="str">
        <f>B37</f>
        <v>Other Expenses (per FTE)</v>
      </c>
      <c r="U29" s="210"/>
      <c r="V29" s="179">
        <f>$D$37</f>
        <v>1668.9958313837251</v>
      </c>
      <c r="W29" s="233">
        <f>V29*V20</f>
        <v>24329.686592246369</v>
      </c>
      <c r="X29" s="251"/>
      <c r="Y29" s="231" t="str">
        <f>B37</f>
        <v>Other Expenses (per FTE)</v>
      </c>
      <c r="Z29" s="210"/>
      <c r="AA29" s="179">
        <f>$D$37</f>
        <v>1668.9958313837251</v>
      </c>
      <c r="AB29" s="233">
        <f>AA29*AA20</f>
        <v>52339.876171776763</v>
      </c>
    </row>
    <row r="30" spans="2:32">
      <c r="B30" s="163" t="str">
        <f>B16</f>
        <v>Clerical Support</v>
      </c>
      <c r="C30" s="164"/>
      <c r="D30" s="212">
        <v>0.25</v>
      </c>
      <c r="E30" s="212"/>
      <c r="F30" s="212"/>
      <c r="G30" s="212">
        <f>D30*1.3</f>
        <v>0.32500000000000001</v>
      </c>
      <c r="H30" s="212">
        <f t="shared" si="11"/>
        <v>0.54166666666666663</v>
      </c>
      <c r="I30" s="213" t="s">
        <v>91</v>
      </c>
      <c r="J30" s="167"/>
      <c r="K30" s="167"/>
      <c r="L30" s="167"/>
      <c r="M30" s="168"/>
      <c r="O30" s="252" t="str">
        <f>B38</f>
        <v>Direct Admin Expenses (per FTE)</v>
      </c>
      <c r="P30" s="253"/>
      <c r="Q30" s="209">
        <f>$D$38</f>
        <v>1121.0773320855844</v>
      </c>
      <c r="R30" s="254">
        <f>Q30*Q20</f>
        <v>11350.011125500876</v>
      </c>
      <c r="S30" s="255"/>
      <c r="T30" s="252" t="str">
        <f>B38</f>
        <v>Direct Admin Expenses (per FTE)</v>
      </c>
      <c r="U30" s="253"/>
      <c r="V30" s="209">
        <f>$D$38</f>
        <v>1121.0773320855844</v>
      </c>
      <c r="W30" s="254">
        <f>V30*V20</f>
        <v>16342.437543837681</v>
      </c>
      <c r="X30" s="255"/>
      <c r="Y30" s="252" t="str">
        <f>B38</f>
        <v>Direct Admin Expenses (per FTE)</v>
      </c>
      <c r="Z30" s="253"/>
      <c r="AA30" s="209">
        <f>$D$38</f>
        <v>1121.0773320855844</v>
      </c>
      <c r="AB30" s="254">
        <f>AA30*AA20</f>
        <v>35157.097241937139</v>
      </c>
    </row>
    <row r="31" spans="2:32">
      <c r="B31" s="835" t="s">
        <v>97</v>
      </c>
      <c r="C31" s="836"/>
      <c r="D31" s="256">
        <f>SUM(D20:D30)</f>
        <v>10.124200000000002</v>
      </c>
      <c r="E31" s="256"/>
      <c r="F31" s="256"/>
      <c r="G31" s="256">
        <f>SUM(G20:G30)</f>
        <v>14.577439999999999</v>
      </c>
      <c r="H31" s="256">
        <f>SUM(H20:H30)</f>
        <v>31.360100000000003</v>
      </c>
      <c r="I31" s="197"/>
      <c r="J31" s="197"/>
      <c r="K31" s="197"/>
      <c r="L31" s="197"/>
      <c r="M31" s="198"/>
      <c r="O31" s="223" t="s">
        <v>98</v>
      </c>
      <c r="P31" s="210"/>
      <c r="Q31" s="257"/>
      <c r="R31" s="258">
        <f>SUM(R25:R30)</f>
        <v>103067.90872159599</v>
      </c>
      <c r="S31" s="259"/>
      <c r="T31" s="228" t="s">
        <v>98</v>
      </c>
      <c r="U31" s="210"/>
      <c r="V31" s="260"/>
      <c r="W31" s="258">
        <f>SUM(W25:W30)</f>
        <v>148411.54913608404</v>
      </c>
      <c r="X31" s="259"/>
      <c r="Y31" s="228" t="s">
        <v>98</v>
      </c>
      <c r="Z31" s="210"/>
      <c r="AA31" s="261"/>
      <c r="AB31" s="258">
        <f>SUM(AB25:AB30)</f>
        <v>261808.79841371393</v>
      </c>
    </row>
    <row r="32" spans="2:32" ht="15.75" customHeight="1">
      <c r="B32" s="819" t="s">
        <v>99</v>
      </c>
      <c r="C32" s="820"/>
      <c r="D32" s="820"/>
      <c r="E32" s="480"/>
      <c r="F32" s="480"/>
      <c r="G32" s="262"/>
      <c r="H32" s="263"/>
      <c r="I32" s="263"/>
      <c r="J32" s="263"/>
      <c r="K32" s="263"/>
      <c r="L32" s="263"/>
      <c r="M32" s="264"/>
      <c r="O32" s="231"/>
      <c r="P32" s="210"/>
      <c r="Q32" s="265"/>
      <c r="R32" s="266"/>
      <c r="S32" s="193"/>
      <c r="T32" s="234"/>
      <c r="U32" s="210"/>
      <c r="V32" s="267"/>
      <c r="W32" s="268"/>
      <c r="X32" s="193"/>
      <c r="Y32" s="234"/>
      <c r="Z32" s="210"/>
      <c r="AA32" s="267"/>
      <c r="AB32" s="268"/>
    </row>
    <row r="33" spans="2:28" ht="15" customHeight="1" thickBot="1">
      <c r="B33" s="269" t="s">
        <v>100</v>
      </c>
      <c r="C33" s="270"/>
      <c r="D33" s="271">
        <f>'[5]FY16 Contracts'!C42</f>
        <v>0.22602863541922683</v>
      </c>
      <c r="E33" s="271"/>
      <c r="F33" s="271"/>
      <c r="G33" s="272" t="s">
        <v>101</v>
      </c>
      <c r="H33" s="167"/>
      <c r="I33" s="167"/>
      <c r="J33" s="167"/>
      <c r="K33" s="167"/>
      <c r="L33" s="167"/>
      <c r="M33" s="168"/>
      <c r="O33" s="273" t="s">
        <v>102</v>
      </c>
      <c r="P33" s="274"/>
      <c r="Q33" s="274"/>
      <c r="R33" s="275">
        <f>R23+R31</f>
        <v>548032.84597606002</v>
      </c>
      <c r="S33" s="210"/>
      <c r="T33" s="276" t="s">
        <v>102</v>
      </c>
      <c r="U33" s="274"/>
      <c r="V33" s="277"/>
      <c r="W33" s="278">
        <f>W23+W31</f>
        <v>760961.40177529783</v>
      </c>
      <c r="X33" s="210"/>
      <c r="Y33" s="276" t="s">
        <v>102</v>
      </c>
      <c r="Z33" s="274"/>
      <c r="AA33" s="277"/>
      <c r="AB33" s="278">
        <f>AB23+AB31</f>
        <v>1552023.494388534</v>
      </c>
    </row>
    <row r="34" spans="2:28" ht="15" thickTop="1">
      <c r="B34" s="269" t="s">
        <v>103</v>
      </c>
      <c r="C34" s="270"/>
      <c r="D34" s="279">
        <f>'[5]FY16 Contracts'!BW14</f>
        <v>51201.5</v>
      </c>
      <c r="E34" s="279"/>
      <c r="F34" s="279"/>
      <c r="G34" s="280" t="s">
        <v>104</v>
      </c>
      <c r="H34" s="167"/>
      <c r="I34" s="167"/>
      <c r="J34" s="167"/>
      <c r="K34" s="167"/>
      <c r="L34" s="167"/>
      <c r="M34" s="168"/>
      <c r="O34" s="231" t="s">
        <v>105</v>
      </c>
      <c r="P34" s="281">
        <v>0.12</v>
      </c>
      <c r="Q34" s="210"/>
      <c r="R34" s="233">
        <f>P34*R33</f>
        <v>65763.941517127198</v>
      </c>
      <c r="S34" s="204"/>
      <c r="T34" s="234" t="s">
        <v>105</v>
      </c>
      <c r="U34" s="281">
        <v>0.12</v>
      </c>
      <c r="V34" s="235"/>
      <c r="W34" s="236">
        <f>U34*W33</f>
        <v>91315.368213035734</v>
      </c>
      <c r="X34" s="204"/>
      <c r="Y34" s="234" t="s">
        <v>105</v>
      </c>
      <c r="Z34" s="281">
        <v>0.12</v>
      </c>
      <c r="AA34" s="235"/>
      <c r="AB34" s="236">
        <f>Z34*AB33</f>
        <v>186242.81932662407</v>
      </c>
    </row>
    <row r="35" spans="2:28">
      <c r="B35" s="376" t="s">
        <v>106</v>
      </c>
      <c r="C35" s="377"/>
      <c r="D35" s="378">
        <f>25*365*0.45</f>
        <v>4106.25</v>
      </c>
      <c r="E35" s="378"/>
      <c r="F35" s="378"/>
      <c r="G35" s="379" t="s">
        <v>128</v>
      </c>
      <c r="H35" s="380"/>
      <c r="I35" s="380"/>
      <c r="J35" s="380"/>
      <c r="K35" s="380"/>
      <c r="L35" s="380"/>
      <c r="M35" s="381"/>
      <c r="O35" s="231"/>
      <c r="P35" s="283"/>
      <c r="Q35" s="210"/>
      <c r="R35" s="226"/>
      <c r="S35" s="284"/>
      <c r="T35" s="231"/>
      <c r="U35" s="283"/>
      <c r="V35" s="210"/>
      <c r="W35" s="226"/>
      <c r="X35" s="284"/>
      <c r="Y35" s="231"/>
      <c r="Z35" s="283"/>
      <c r="AA35" s="210"/>
      <c r="AB35" s="226"/>
    </row>
    <row r="36" spans="2:28" ht="15" customHeight="1" thickBot="1">
      <c r="B36" s="269" t="s">
        <v>108</v>
      </c>
      <c r="C36" s="270"/>
      <c r="D36" s="285">
        <v>8.16</v>
      </c>
      <c r="E36" s="285"/>
      <c r="F36" s="285"/>
      <c r="G36" s="272" t="s">
        <v>109</v>
      </c>
      <c r="H36" s="167"/>
      <c r="I36" s="167"/>
      <c r="J36" s="167"/>
      <c r="K36" s="167"/>
      <c r="L36" s="167"/>
      <c r="M36" s="168"/>
      <c r="O36" s="273" t="s">
        <v>177</v>
      </c>
      <c r="P36" s="286"/>
      <c r="Q36" s="287"/>
      <c r="R36" s="288">
        <f>R33+R34</f>
        <v>613796.78749318724</v>
      </c>
      <c r="S36"/>
      <c r="T36" s="273" t="s">
        <v>177</v>
      </c>
      <c r="U36" s="286"/>
      <c r="V36" s="287"/>
      <c r="W36" s="288">
        <f>W33+W34</f>
        <v>852276.76998833357</v>
      </c>
      <c r="Y36" s="273" t="s">
        <v>177</v>
      </c>
      <c r="Z36" s="286"/>
      <c r="AA36" s="287"/>
      <c r="AB36" s="288">
        <f>AB33+AB34</f>
        <v>1738266.313715158</v>
      </c>
    </row>
    <row r="37" spans="2:28" ht="15" customHeight="1" thickTop="1">
      <c r="B37" s="269" t="s">
        <v>111</v>
      </c>
      <c r="C37" s="270"/>
      <c r="D37" s="282">
        <f>'[5]FY16 Contracts'!BI64</f>
        <v>1668.9958313837251</v>
      </c>
      <c r="E37" s="282"/>
      <c r="F37" s="282"/>
      <c r="G37" s="272" t="s">
        <v>101</v>
      </c>
      <c r="H37" s="167"/>
      <c r="I37" s="167"/>
      <c r="J37" s="167"/>
      <c r="K37" s="167"/>
      <c r="L37" s="167"/>
      <c r="M37" s="168"/>
      <c r="O37" s="231" t="str">
        <f>B40</f>
        <v>CAF 1</v>
      </c>
      <c r="P37" s="281">
        <f>$D$40</f>
        <v>5.4305515997341604E-2</v>
      </c>
      <c r="Q37" s="210"/>
      <c r="R37" s="289">
        <f>R36*(1+P37)</f>
        <v>647129.3387555154</v>
      </c>
      <c r="S37" s="290"/>
      <c r="T37" s="231" t="str">
        <f>B40</f>
        <v>CAF 1</v>
      </c>
      <c r="U37" s="281">
        <f>$D$40</f>
        <v>5.4305515997341604E-2</v>
      </c>
      <c r="V37" s="210"/>
      <c r="W37" s="289">
        <f>W36*(1+U37)</f>
        <v>898560.09975509765</v>
      </c>
      <c r="X37" s="290"/>
      <c r="Y37" s="231" t="str">
        <f>B40</f>
        <v>CAF 1</v>
      </c>
      <c r="Z37" s="281">
        <f>$D$40</f>
        <v>5.4305515997341604E-2</v>
      </c>
      <c r="AA37" s="210"/>
      <c r="AB37" s="289">
        <f>AB36*(1+Z37)</f>
        <v>1832663.7628222564</v>
      </c>
    </row>
    <row r="38" spans="2:28" ht="15" thickBot="1">
      <c r="B38" s="269" t="s">
        <v>113</v>
      </c>
      <c r="C38" s="270"/>
      <c r="D38" s="282">
        <f>'[5]FY16 Contracts'!BI65</f>
        <v>1121.0773320855844</v>
      </c>
      <c r="E38" s="282"/>
      <c r="F38" s="282"/>
      <c r="G38" s="272" t="s">
        <v>101</v>
      </c>
      <c r="H38" s="167"/>
      <c r="I38" s="167"/>
      <c r="J38" s="167"/>
      <c r="K38" s="167"/>
      <c r="L38" s="167"/>
      <c r="M38" s="168"/>
      <c r="O38" s="231" t="str">
        <f>B41</f>
        <v>Rate Review CAF</v>
      </c>
      <c r="P38" s="491">
        <f>D41</f>
        <v>2.3531493276716206E-2</v>
      </c>
      <c r="Q38" s="291"/>
      <c r="R38" s="492">
        <f>R37*(P38+1)</f>
        <v>662357.25843960652</v>
      </c>
      <c r="S38" s="293"/>
      <c r="T38" s="231" t="str">
        <f>O38</f>
        <v>Rate Review CAF</v>
      </c>
      <c r="U38" s="491">
        <f>D41</f>
        <v>2.3531493276716206E-2</v>
      </c>
      <c r="V38" s="294"/>
      <c r="W38" s="497">
        <f>W37*(U38+1)</f>
        <v>919704.56070121005</v>
      </c>
      <c r="X38" s="293"/>
      <c r="Y38" s="231" t="str">
        <f>T38</f>
        <v>Rate Review CAF</v>
      </c>
      <c r="Z38" s="491">
        <f>D41</f>
        <v>2.3531493276716206E-2</v>
      </c>
      <c r="AA38" s="294"/>
      <c r="AB38" s="497">
        <f>AB37*(Z38+1)</f>
        <v>1875789.0778355896</v>
      </c>
    </row>
    <row r="39" spans="2:28" ht="15" thickBot="1">
      <c r="B39" s="296" t="s">
        <v>115</v>
      </c>
      <c r="C39" s="297"/>
      <c r="D39" s="271">
        <v>0.12</v>
      </c>
      <c r="E39" s="271"/>
      <c r="F39" s="271"/>
      <c r="G39" s="298" t="s">
        <v>116</v>
      </c>
      <c r="H39" s="191"/>
      <c r="I39" s="191"/>
      <c r="J39" s="191"/>
      <c r="K39" s="191"/>
      <c r="L39" s="191"/>
      <c r="M39" s="192"/>
      <c r="N39" s="146"/>
      <c r="O39" s="708" t="str">
        <f>B42</f>
        <v>PFMLA Trust Contribution</v>
      </c>
      <c r="P39" s="709">
        <f>D42</f>
        <v>6.3E-3</v>
      </c>
      <c r="Q39" s="710"/>
      <c r="R39" s="711">
        <f>R20*(P37+1)*(P38+1)*P39</f>
        <v>2467.3650851155217</v>
      </c>
      <c r="S39" s="2"/>
      <c r="T39" s="708" t="str">
        <f>O39</f>
        <v>PFMLA Trust Contribution</v>
      </c>
      <c r="U39" s="709">
        <f>D42</f>
        <v>6.3E-3</v>
      </c>
      <c r="V39" s="710"/>
      <c r="W39" s="711">
        <f>W20*(U37+1)*(U38+1)*U39</f>
        <v>3396.6364375140242</v>
      </c>
      <c r="X39" s="2"/>
      <c r="Y39" s="708" t="str">
        <f>T39</f>
        <v>PFMLA Trust Contribution</v>
      </c>
      <c r="Z39" s="709">
        <f>D42</f>
        <v>6.3E-3</v>
      </c>
      <c r="AA39" s="710"/>
      <c r="AB39" s="711">
        <f>AB20*(Z37+1)*(Z38+1)*Z39</f>
        <v>7154.3405482546732</v>
      </c>
    </row>
    <row r="40" spans="2:28" ht="15" thickBot="1">
      <c r="B40" s="296" t="s">
        <v>172</v>
      </c>
      <c r="C40" s="297"/>
      <c r="D40" s="303">
        <f>'[5]Fall2016 CAF'!BJ39</f>
        <v>5.4305515997341604E-2</v>
      </c>
      <c r="E40" s="499"/>
      <c r="F40" s="499"/>
      <c r="G40" s="304" t="s">
        <v>119</v>
      </c>
      <c r="H40" s="305"/>
      <c r="I40" s="306"/>
      <c r="J40" s="306"/>
      <c r="K40" s="306"/>
      <c r="L40" s="306"/>
      <c r="M40" s="307"/>
      <c r="O40" s="496" t="s">
        <v>110</v>
      </c>
      <c r="P40" s="494"/>
      <c r="Q40" s="494"/>
      <c r="R40" s="495">
        <f>R39+R38</f>
        <v>664824.62352472206</v>
      </c>
      <c r="S40" s="2"/>
      <c r="T40" s="496" t="s">
        <v>110</v>
      </c>
      <c r="U40" s="494"/>
      <c r="V40" s="494"/>
      <c r="W40" s="495">
        <f>W39+W38</f>
        <v>923101.19713872403</v>
      </c>
      <c r="X40" s="2"/>
      <c r="Y40" s="496" t="s">
        <v>110</v>
      </c>
      <c r="Z40" s="494"/>
      <c r="AA40" s="494"/>
      <c r="AB40" s="495">
        <f>AB39+AB38</f>
        <v>1882943.4183838444</v>
      </c>
    </row>
    <row r="41" spans="2:28" s="444" customFormat="1" ht="15" thickBot="1">
      <c r="B41" s="482" t="s">
        <v>173</v>
      </c>
      <c r="C41" s="483"/>
      <c r="D41" s="303">
        <f>'Fall 2018'!BQ23</f>
        <v>2.3531493276716206E-2</v>
      </c>
      <c r="E41" s="484"/>
      <c r="F41" s="484"/>
      <c r="G41" s="485" t="s">
        <v>174</v>
      </c>
      <c r="H41" s="485"/>
      <c r="I41" s="485"/>
      <c r="J41" s="485"/>
      <c r="K41" s="485"/>
      <c r="L41" s="485"/>
      <c r="M41" s="486"/>
      <c r="O41" s="299" t="s">
        <v>117</v>
      </c>
      <c r="P41" s="300"/>
      <c r="Q41" s="300"/>
      <c r="R41" s="493">
        <f>R40/12</f>
        <v>55402.051960393503</v>
      </c>
      <c r="S41" s="293"/>
      <c r="T41" s="299" t="s">
        <v>117</v>
      </c>
      <c r="U41" s="300"/>
      <c r="V41" s="300"/>
      <c r="W41" s="493">
        <f>W40/12</f>
        <v>76925.099761560341</v>
      </c>
      <c r="X41" s="293"/>
      <c r="Y41" s="299" t="s">
        <v>117</v>
      </c>
      <c r="Z41" s="300"/>
      <c r="AA41" s="300"/>
      <c r="AB41" s="493">
        <f>AB40/12</f>
        <v>156911.95153198703</v>
      </c>
    </row>
    <row r="42" spans="2:28" s="444" customFormat="1">
      <c r="B42" s="487" t="s">
        <v>175</v>
      </c>
      <c r="C42" s="488"/>
      <c r="D42" s="489">
        <v>6.3E-3</v>
      </c>
      <c r="E42" s="500"/>
      <c r="F42" s="500"/>
      <c r="G42" s="490" t="s">
        <v>176</v>
      </c>
      <c r="H42" s="490"/>
      <c r="I42" s="485"/>
      <c r="J42" s="485"/>
      <c r="K42" s="485"/>
      <c r="L42" s="485"/>
      <c r="M42" s="486"/>
      <c r="O42" s="225"/>
      <c r="P42" s="100"/>
      <c r="Q42" s="100"/>
      <c r="R42" s="308"/>
      <c r="S42" s="293"/>
      <c r="T42" s="293"/>
      <c r="U42" s="293"/>
      <c r="V42" s="100"/>
      <c r="W42" s="309"/>
      <c r="X42" s="293"/>
      <c r="Y42" s="293"/>
      <c r="Z42" s="293"/>
      <c r="AA42" s="100"/>
      <c r="AB42" s="309"/>
    </row>
    <row r="43" spans="2:28">
      <c r="S43"/>
    </row>
    <row r="44" spans="2:28">
      <c r="B44" s="446"/>
      <c r="C44" s="444"/>
      <c r="D44" s="444"/>
      <c r="E44" s="444"/>
      <c r="F44" s="444"/>
      <c r="G44" s="444"/>
      <c r="H44" s="444"/>
      <c r="I44" s="444"/>
      <c r="J44" s="444"/>
      <c r="O44" s="311"/>
      <c r="P44" s="316"/>
      <c r="Q44" s="317"/>
      <c r="R44" s="309"/>
      <c r="S44" s="293"/>
      <c r="T44" s="293"/>
      <c r="U44" s="293"/>
      <c r="V44" s="293"/>
      <c r="W44" s="309"/>
      <c r="X44" s="293"/>
      <c r="Y44" s="293"/>
      <c r="Z44" s="293"/>
      <c r="AA44" s="293"/>
      <c r="AB44" s="309"/>
    </row>
    <row r="45" spans="2:28">
      <c r="B45" s="446"/>
      <c r="C45" s="444"/>
      <c r="D45" s="444"/>
      <c r="E45" s="444"/>
      <c r="F45" s="444"/>
      <c r="G45" s="444"/>
      <c r="H45" s="444"/>
      <c r="I45" s="444"/>
      <c r="J45" s="444"/>
      <c r="M45" s="766"/>
      <c r="P45" s="293"/>
      <c r="Q45" s="318"/>
      <c r="R45" s="309"/>
      <c r="S45" s="293"/>
      <c r="T45" s="293"/>
      <c r="U45" s="293"/>
      <c r="V45" s="293"/>
      <c r="W45" s="309"/>
      <c r="X45" s="293"/>
      <c r="Y45" s="293"/>
      <c r="Z45" s="293"/>
      <c r="AA45" s="293"/>
      <c r="AB45" s="309"/>
    </row>
    <row r="46" spans="2:28">
      <c r="B46" s="446"/>
      <c r="C46" s="444"/>
      <c r="D46" s="444"/>
      <c r="E46" s="444"/>
      <c r="F46" s="444"/>
      <c r="G46" s="444"/>
      <c r="H46" s="444"/>
      <c r="I46" s="444"/>
      <c r="J46" s="444"/>
      <c r="M46" s="766"/>
      <c r="S46"/>
    </row>
    <row r="47" spans="2:28">
      <c r="B47" s="446"/>
      <c r="C47" s="444"/>
      <c r="D47" s="444"/>
      <c r="E47" s="444"/>
      <c r="F47" s="444"/>
      <c r="G47" s="444"/>
      <c r="H47" s="444"/>
      <c r="I47" s="444"/>
      <c r="J47" s="444"/>
      <c r="M47" s="481"/>
      <c r="S47"/>
    </row>
    <row r="48" spans="2:28">
      <c r="B48" s="445"/>
      <c r="C48" s="444"/>
      <c r="D48" s="444"/>
      <c r="E48" s="444"/>
      <c r="F48" s="444"/>
      <c r="G48" s="444"/>
      <c r="H48" s="444"/>
      <c r="I48" s="444"/>
      <c r="J48" s="444"/>
      <c r="S48"/>
    </row>
    <row r="49" spans="2:19">
      <c r="B49" s="445"/>
      <c r="S49"/>
    </row>
    <row r="50" spans="2:19" ht="15.75" customHeight="1">
      <c r="J50" s="136"/>
      <c r="K50" s="312"/>
      <c r="L50" s="136"/>
      <c r="S50"/>
    </row>
    <row r="51" spans="2:19" ht="15.75" customHeight="1">
      <c r="G51" s="329"/>
      <c r="I51" s="329"/>
      <c r="J51" s="136"/>
      <c r="K51" s="312"/>
      <c r="L51" s="136"/>
      <c r="S51"/>
    </row>
    <row r="52" spans="2:19" ht="15.75" customHeight="1">
      <c r="G52" s="329"/>
      <c r="I52" s="311"/>
      <c r="J52" s="136"/>
      <c r="K52" s="312"/>
      <c r="L52" s="136"/>
      <c r="S52"/>
    </row>
    <row r="53" spans="2:19" ht="15.75" customHeight="1">
      <c r="G53" s="329"/>
      <c r="I53" s="329"/>
      <c r="K53" s="313"/>
      <c r="S53"/>
    </row>
    <row r="54" spans="2:19">
      <c r="G54" s="416"/>
      <c r="K54" s="313"/>
    </row>
    <row r="55" spans="2:19">
      <c r="K55" s="313"/>
    </row>
    <row r="56" spans="2:19">
      <c r="B56"/>
      <c r="C56"/>
      <c r="D56" s="329"/>
      <c r="E56" s="329"/>
      <c r="F56" s="329"/>
      <c r="G56" s="329"/>
      <c r="H56" s="336"/>
      <c r="K56" s="329"/>
      <c r="L56" s="311"/>
      <c r="M56" s="329"/>
      <c r="P56" s="329"/>
      <c r="Q56" s="329"/>
      <c r="S56"/>
    </row>
    <row r="57" spans="2:19">
      <c r="D57" s="415"/>
      <c r="E57" s="415"/>
      <c r="F57" s="415"/>
      <c r="G57" s="311"/>
    </row>
    <row r="58" spans="2:19">
      <c r="D58" s="415"/>
      <c r="E58" s="415"/>
      <c r="F58" s="415"/>
      <c r="G58" s="329"/>
    </row>
    <row r="69" spans="8:30">
      <c r="H69" s="136"/>
    </row>
    <row r="77" spans="8:30">
      <c r="AD77" s="315"/>
    </row>
    <row r="79" spans="8:30" ht="15" customHeight="1"/>
    <row r="88" ht="15" customHeight="1"/>
    <row r="93" ht="15" customHeight="1"/>
  </sheetData>
  <mergeCells count="9">
    <mergeCell ref="B32:D32"/>
    <mergeCell ref="B4:M4"/>
    <mergeCell ref="O4:R4"/>
    <mergeCell ref="T4:W4"/>
    <mergeCell ref="Y4:AB4"/>
    <mergeCell ref="B5:D5"/>
    <mergeCell ref="G5:M5"/>
    <mergeCell ref="I27:M27"/>
    <mergeCell ref="B31:C31"/>
  </mergeCells>
  <pageMargins left="0.2" right="0.2" top="0.25" bottom="0.25" header="0.3" footer="0.3"/>
  <pageSetup scale="39" orientation="landscape" r:id="rId1"/>
  <ignoredErrors>
    <ignoredError sqref="D27" formulaRange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G77"/>
  <sheetViews>
    <sheetView zoomScale="90" zoomScaleNormal="90" workbookViewId="0">
      <selection activeCell="B1" sqref="B1:N36"/>
    </sheetView>
  </sheetViews>
  <sheetFormatPr defaultColWidth="8.6640625" defaultRowHeight="10.199999999999999"/>
  <cols>
    <col min="1" max="1" width="4.33203125" style="503" customWidth="1"/>
    <col min="2" max="2" width="43" style="503" customWidth="1"/>
    <col min="3" max="3" width="11" style="503" bestFit="1" customWidth="1"/>
    <col min="4" max="4" width="13.109375" style="503" customWidth="1"/>
    <col min="5" max="5" width="10.33203125" style="503" customWidth="1"/>
    <col min="6" max="6" width="15" style="503" customWidth="1"/>
    <col min="7" max="7" width="15.33203125" style="503" customWidth="1"/>
    <col min="8" max="8" width="11.33203125" style="503" customWidth="1"/>
    <col min="9" max="9" width="35.88671875" style="503" hidden="1" customWidth="1"/>
    <col min="10" max="10" width="4.33203125" style="503" customWidth="1"/>
    <col min="11" max="11" width="27.6640625" style="503" customWidth="1"/>
    <col min="12" max="12" width="13.44140625" style="503" customWidth="1"/>
    <col min="13" max="13" width="9.6640625" style="503" customWidth="1"/>
    <col min="14" max="14" width="12.5546875" style="503" customWidth="1"/>
    <col min="15" max="15" width="14.109375" style="504" customWidth="1"/>
    <col min="16" max="16" width="10.44140625" style="505" customWidth="1"/>
    <col min="17" max="17" width="8.88671875" style="505" bestFit="1" customWidth="1"/>
    <col min="18" max="18" width="11.33203125" style="504" customWidth="1"/>
    <col min="19" max="19" width="9.44140625" style="505" customWidth="1"/>
    <col min="20" max="20" width="10.33203125" style="505" customWidth="1"/>
    <col min="21" max="21" width="10.88671875" style="506" customWidth="1"/>
    <col min="22" max="22" width="16.5546875" style="506" customWidth="1"/>
    <col min="23" max="23" width="15.5546875" style="506" customWidth="1"/>
    <col min="24" max="24" width="9.88671875" style="506" customWidth="1"/>
    <col min="25" max="26" width="10.44140625" style="506" customWidth="1"/>
    <col min="27" max="28" width="11.109375" style="506" customWidth="1"/>
    <col min="29" max="29" width="9.88671875" style="503" customWidth="1"/>
    <col min="30" max="30" width="10.6640625" style="507" customWidth="1"/>
    <col min="31" max="31" width="9" style="507" customWidth="1"/>
    <col min="32" max="32" width="8.6640625" style="503"/>
    <col min="33" max="33" width="10" style="503" bestFit="1" customWidth="1"/>
    <col min="34" max="34" width="9.109375" style="503" bestFit="1" customWidth="1"/>
    <col min="35" max="16384" width="8.6640625" style="503"/>
  </cols>
  <sheetData>
    <row r="1" spans="1:33" ht="18" customHeight="1">
      <c r="A1" s="502"/>
      <c r="B1" s="502" t="s">
        <v>180</v>
      </c>
      <c r="O1" s="503"/>
      <c r="P1" s="503"/>
      <c r="Q1" s="504"/>
      <c r="R1" s="505"/>
      <c r="T1" s="504"/>
      <c r="U1" s="505"/>
      <c r="V1" s="505"/>
      <c r="AC1" s="506"/>
      <c r="AD1" s="506"/>
      <c r="AE1" s="503"/>
      <c r="AF1" s="507"/>
      <c r="AG1" s="507"/>
    </row>
    <row r="2" spans="1:33" ht="15.75" customHeight="1" thickBot="1">
      <c r="B2" s="508"/>
      <c r="H2" s="509"/>
      <c r="O2" s="503"/>
      <c r="P2" s="136"/>
      <c r="Q2" s="510"/>
      <c r="R2" s="511"/>
      <c r="S2" s="511"/>
      <c r="T2" s="510"/>
      <c r="U2" s="511"/>
      <c r="V2" s="511"/>
      <c r="W2" s="512"/>
      <c r="X2" s="136"/>
      <c r="Y2" s="503"/>
      <c r="Z2" s="503"/>
      <c r="AA2" s="503"/>
      <c r="AB2" s="503"/>
      <c r="AD2" s="503"/>
      <c r="AE2" s="503"/>
    </row>
    <row r="3" spans="1:33" s="513" customFormat="1" ht="15" thickBot="1">
      <c r="B3" s="883" t="str">
        <f>'Models A B C'!B4:M4</f>
        <v>MASTER DATA LOOKUP TABLE</v>
      </c>
      <c r="C3" s="884"/>
      <c r="D3" s="884"/>
      <c r="E3" s="884"/>
      <c r="F3" s="884"/>
      <c r="G3" s="884"/>
      <c r="H3" s="884"/>
      <c r="I3" s="885"/>
      <c r="J3" s="697"/>
      <c r="K3" s="872" t="s">
        <v>181</v>
      </c>
      <c r="L3" s="873"/>
      <c r="M3" s="873"/>
      <c r="N3" s="874"/>
      <c r="Q3" s="514"/>
      <c r="R3" s="514"/>
      <c r="S3" s="514"/>
      <c r="T3" s="515"/>
      <c r="U3" s="516"/>
      <c r="V3" s="512"/>
      <c r="W3" s="512"/>
      <c r="X3" s="512"/>
    </row>
    <row r="4" spans="1:33" ht="15.75" customHeight="1" thickBot="1">
      <c r="B4" s="886" t="s">
        <v>55</v>
      </c>
      <c r="C4" s="887"/>
      <c r="D4" s="888" t="s">
        <v>56</v>
      </c>
      <c r="E4" s="889"/>
      <c r="F4" s="889"/>
      <c r="G4" s="889"/>
      <c r="H4" s="889"/>
      <c r="I4" s="890"/>
      <c r="J4" s="697"/>
      <c r="K4" s="698" t="s">
        <v>182</v>
      </c>
      <c r="L4" s="699">
        <v>3</v>
      </c>
      <c r="M4" s="700"/>
      <c r="N4" s="726"/>
      <c r="O4" s="578"/>
      <c r="P4" s="706"/>
      <c r="Q4" s="706"/>
      <c r="R4" s="707"/>
      <c r="S4" s="522"/>
      <c r="T4" s="703"/>
      <c r="U4" s="704"/>
      <c r="V4" s="704"/>
      <c r="W4" s="705"/>
      <c r="X4" s="512"/>
      <c r="Y4" s="702"/>
      <c r="Z4" s="702"/>
      <c r="AA4" s="702"/>
      <c r="AB4" s="702"/>
      <c r="AD4" s="503"/>
      <c r="AE4" s="503"/>
    </row>
    <row r="5" spans="1:33" ht="14.4" thickBot="1">
      <c r="B5" s="525" t="s">
        <v>58</v>
      </c>
      <c r="C5" s="526">
        <f>'[7]AHCS Salary Breakout'!B6</f>
        <v>75588.90937283411</v>
      </c>
      <c r="D5" s="527" t="s">
        <v>389</v>
      </c>
      <c r="E5" s="528"/>
      <c r="F5" s="528"/>
      <c r="G5" s="529"/>
      <c r="H5" s="530"/>
      <c r="I5" s="531"/>
      <c r="K5" s="517" t="s">
        <v>57</v>
      </c>
      <c r="L5" s="518">
        <v>5</v>
      </c>
      <c r="M5" s="519"/>
      <c r="N5" s="520"/>
      <c r="O5" s="503"/>
      <c r="P5" s="290"/>
      <c r="Q5" s="290"/>
      <c r="R5" s="521"/>
      <c r="S5" s="522"/>
      <c r="T5" s="523"/>
      <c r="U5" s="524"/>
      <c r="V5" s="524"/>
      <c r="W5" s="512"/>
      <c r="X5" s="512"/>
      <c r="Y5" s="503"/>
      <c r="Z5" s="503"/>
      <c r="AA5" s="503"/>
      <c r="AB5" s="503"/>
      <c r="AD5" s="503"/>
      <c r="AE5" s="503"/>
    </row>
    <row r="6" spans="1:33" s="513" customFormat="1" ht="14.4" thickBot="1">
      <c r="B6" s="532" t="str">
        <f>B37</f>
        <v>Program Director</v>
      </c>
      <c r="C6" s="526">
        <f>'[7]AHCS Salary Breakout'!B5</f>
        <v>54265.845095051212</v>
      </c>
      <c r="D6" s="527" t="s">
        <v>390</v>
      </c>
      <c r="E6" s="533"/>
      <c r="F6" s="533"/>
      <c r="G6" s="534"/>
      <c r="H6" s="534"/>
      <c r="I6" s="535"/>
      <c r="J6" s="503"/>
      <c r="K6" s="517" t="s">
        <v>60</v>
      </c>
      <c r="L6" s="518">
        <v>4</v>
      </c>
      <c r="M6" s="536" t="s">
        <v>183</v>
      </c>
      <c r="N6" s="537">
        <f>L6*365</f>
        <v>1460</v>
      </c>
      <c r="R6" s="538"/>
      <c r="S6" s="539"/>
      <c r="T6" s="540"/>
      <c r="X6" s="512"/>
    </row>
    <row r="7" spans="1:33" ht="13.8">
      <c r="B7" s="532" t="s">
        <v>81</v>
      </c>
      <c r="C7" s="526">
        <f>'[7]AHCS Salary Breakout'!B27</f>
        <v>28224.841144193815</v>
      </c>
      <c r="D7" s="527" t="s">
        <v>391</v>
      </c>
      <c r="E7" s="533"/>
      <c r="F7" s="533"/>
      <c r="G7" s="534"/>
      <c r="H7" s="534"/>
      <c r="I7" s="535"/>
      <c r="K7" s="175" t="s">
        <v>67</v>
      </c>
      <c r="L7" s="176" t="s">
        <v>68</v>
      </c>
      <c r="M7" s="176" t="s">
        <v>69</v>
      </c>
      <c r="N7" s="177" t="s">
        <v>70</v>
      </c>
      <c r="O7" s="503"/>
      <c r="P7" s="503"/>
      <c r="Q7" s="503"/>
      <c r="R7" s="541"/>
      <c r="S7" s="542"/>
      <c r="T7" s="543"/>
      <c r="U7" s="505"/>
      <c r="V7" s="505"/>
      <c r="X7" s="512"/>
      <c r="Y7" s="503"/>
      <c r="Z7" s="503"/>
      <c r="AA7" s="503"/>
      <c r="AB7" s="503"/>
      <c r="AD7" s="503"/>
      <c r="AE7" s="503"/>
    </row>
    <row r="8" spans="1:33" ht="13.8">
      <c r="B8" s="532" t="s">
        <v>96</v>
      </c>
      <c r="C8" s="526">
        <f>'[7]AHCS Salary Breakout'!B27</f>
        <v>28224.841144193815</v>
      </c>
      <c r="D8" s="527" t="s">
        <v>392</v>
      </c>
      <c r="E8" s="533"/>
      <c r="F8" s="533"/>
      <c r="G8" s="534"/>
      <c r="H8" s="534"/>
      <c r="I8" s="535"/>
      <c r="K8" s="544" t="str">
        <f t="shared" ref="K8:L13" si="0">B5</f>
        <v>Program Function Manager</v>
      </c>
      <c r="L8" s="526">
        <f t="shared" si="0"/>
        <v>75588.90937283411</v>
      </c>
      <c r="M8" s="545">
        <f>C12</f>
        <v>0.05</v>
      </c>
      <c r="N8" s="546">
        <f>L8*M8</f>
        <v>3779.4454686417057</v>
      </c>
      <c r="O8" s="503"/>
      <c r="P8" s="503"/>
      <c r="Q8" s="503"/>
      <c r="R8" s="541"/>
      <c r="S8" s="542"/>
      <c r="T8" s="543"/>
      <c r="U8" s="505"/>
      <c r="V8" s="505"/>
      <c r="X8" s="512"/>
      <c r="Y8" s="503"/>
      <c r="Z8" s="503"/>
      <c r="AA8" s="503"/>
      <c r="AB8" s="503"/>
      <c r="AD8" s="503"/>
      <c r="AE8" s="503"/>
    </row>
    <row r="9" spans="1:33" ht="13.8">
      <c r="B9" s="532" t="s">
        <v>79</v>
      </c>
      <c r="C9" s="526">
        <f>'[7]AHCS Salary Breakout'!B27</f>
        <v>28224.841144193815</v>
      </c>
      <c r="D9" s="527" t="s">
        <v>393</v>
      </c>
      <c r="E9" s="533"/>
      <c r="F9" s="533"/>
      <c r="G9" s="534"/>
      <c r="H9" s="534"/>
      <c r="I9" s="535"/>
      <c r="K9" s="187" t="str">
        <f t="shared" si="0"/>
        <v>Program Director</v>
      </c>
      <c r="L9" s="526">
        <f t="shared" si="0"/>
        <v>54265.845095051212</v>
      </c>
      <c r="M9" s="547">
        <f t="shared" ref="M9:M13" si="1">C13</f>
        <v>1</v>
      </c>
      <c r="N9" s="546">
        <f t="shared" ref="N9:N13" si="2">L9*M9</f>
        <v>54265.845095051212</v>
      </c>
      <c r="O9" s="503"/>
      <c r="P9" s="503"/>
      <c r="Q9" s="503"/>
      <c r="R9" s="541"/>
      <c r="S9" s="542"/>
      <c r="T9" s="543"/>
      <c r="U9" s="505"/>
      <c r="V9" s="505"/>
      <c r="X9" s="512"/>
      <c r="Y9" s="503"/>
      <c r="Z9" s="503"/>
      <c r="AA9" s="503"/>
      <c r="AB9" s="503"/>
      <c r="AD9" s="503"/>
      <c r="AE9" s="503"/>
    </row>
    <row r="10" spans="1:33" ht="13.8">
      <c r="B10" s="532" t="str">
        <f>B40</f>
        <v>Clerical Support</v>
      </c>
      <c r="C10" s="526">
        <f>'[7]AHCS Salary Breakout'!B29</f>
        <v>27811.316309872502</v>
      </c>
      <c r="D10" s="527" t="s">
        <v>394</v>
      </c>
      <c r="E10" s="548"/>
      <c r="F10" s="548"/>
      <c r="G10" s="549"/>
      <c r="H10" s="534"/>
      <c r="I10" s="535"/>
      <c r="K10" s="187" t="str">
        <f t="shared" si="0"/>
        <v>Peer &amp; Family Specialist</v>
      </c>
      <c r="L10" s="526">
        <f t="shared" si="0"/>
        <v>28224.841144193815</v>
      </c>
      <c r="M10" s="547">
        <f t="shared" si="1"/>
        <v>2</v>
      </c>
      <c r="N10" s="546">
        <f t="shared" si="2"/>
        <v>56449.68228838763</v>
      </c>
      <c r="O10" s="503"/>
      <c r="P10" s="503"/>
      <c r="Q10" s="503"/>
      <c r="R10" s="541"/>
      <c r="S10" s="542"/>
      <c r="T10" s="543"/>
      <c r="U10" s="505"/>
      <c r="V10" s="505"/>
      <c r="X10" s="512"/>
      <c r="Y10" s="503"/>
      <c r="Z10" s="503"/>
      <c r="AA10" s="503"/>
      <c r="AB10" s="503"/>
      <c r="AD10" s="503"/>
      <c r="AE10" s="503"/>
    </row>
    <row r="11" spans="1:33" ht="13.8">
      <c r="B11" s="550"/>
      <c r="C11" s="551" t="s">
        <v>88</v>
      </c>
      <c r="D11" s="891"/>
      <c r="E11" s="892"/>
      <c r="F11" s="892"/>
      <c r="G11" s="552"/>
      <c r="H11" s="552"/>
      <c r="I11" s="553"/>
      <c r="K11" s="187" t="str">
        <f t="shared" si="0"/>
        <v>DC Blend (I + II)</v>
      </c>
      <c r="L11" s="526">
        <f t="shared" si="0"/>
        <v>28224.841144193815</v>
      </c>
      <c r="M11" s="547">
        <f t="shared" si="1"/>
        <v>4</v>
      </c>
      <c r="N11" s="546">
        <f t="shared" si="2"/>
        <v>112899.36457677526</v>
      </c>
      <c r="O11" s="503"/>
      <c r="P11" s="503"/>
      <c r="Q11" s="503"/>
      <c r="R11" s="541"/>
      <c r="S11" s="542"/>
      <c r="T11" s="543"/>
      <c r="U11" s="505"/>
      <c r="V11" s="505"/>
      <c r="X11" s="512"/>
      <c r="Y11" s="503"/>
      <c r="Z11" s="503"/>
      <c r="AA11" s="503"/>
      <c r="AB11" s="503"/>
      <c r="AD11" s="503"/>
      <c r="AE11" s="503"/>
    </row>
    <row r="12" spans="1:33" ht="13.8">
      <c r="B12" s="554" t="str">
        <f>B5</f>
        <v>Program Function Manager</v>
      </c>
      <c r="C12" s="545">
        <v>0.05</v>
      </c>
      <c r="D12" s="555" t="s">
        <v>91</v>
      </c>
      <c r="E12" s="556"/>
      <c r="F12" s="556"/>
      <c r="G12" s="557"/>
      <c r="H12" s="558"/>
      <c r="I12" s="559"/>
      <c r="K12" s="187" t="str">
        <f t="shared" si="0"/>
        <v>Relief</v>
      </c>
      <c r="L12" s="526">
        <f t="shared" si="0"/>
        <v>28224.841144193815</v>
      </c>
      <c r="M12" s="547">
        <f t="shared" si="1"/>
        <v>0.61599999999999999</v>
      </c>
      <c r="N12" s="546">
        <f t="shared" si="2"/>
        <v>17386.502144823389</v>
      </c>
      <c r="O12" s="503"/>
      <c r="P12" s="503"/>
      <c r="Q12" s="503"/>
      <c r="R12" s="541"/>
      <c r="S12" s="542"/>
      <c r="T12" s="543"/>
      <c r="U12" s="505"/>
      <c r="V12" s="505"/>
      <c r="X12" s="512"/>
      <c r="Y12" s="503"/>
      <c r="Z12" s="503"/>
      <c r="AA12" s="503"/>
      <c r="AB12" s="503"/>
      <c r="AD12" s="503"/>
      <c r="AE12" s="503"/>
    </row>
    <row r="13" spans="1:33" ht="13.8">
      <c r="B13" s="532" t="str">
        <f>B6</f>
        <v>Program Director</v>
      </c>
      <c r="C13" s="560">
        <f>C37</f>
        <v>1</v>
      </c>
      <c r="D13" s="561" t="s">
        <v>184</v>
      </c>
      <c r="E13" s="533"/>
      <c r="F13" s="533"/>
      <c r="G13" s="534"/>
      <c r="H13" s="534"/>
      <c r="I13" s="535"/>
      <c r="K13" s="187" t="str">
        <f t="shared" si="0"/>
        <v>Clerical Support</v>
      </c>
      <c r="L13" s="526">
        <f t="shared" si="0"/>
        <v>27811.316309872502</v>
      </c>
      <c r="M13" s="547">
        <f t="shared" si="1"/>
        <v>0.25</v>
      </c>
      <c r="N13" s="546">
        <f t="shared" si="2"/>
        <v>6952.8290774681254</v>
      </c>
      <c r="O13" s="503"/>
      <c r="P13" s="503"/>
      <c r="Q13" s="503"/>
      <c r="R13" s="541"/>
      <c r="S13" s="542"/>
      <c r="T13" s="543"/>
      <c r="U13" s="505"/>
      <c r="V13" s="505"/>
      <c r="X13" s="512"/>
      <c r="Y13" s="503"/>
      <c r="Z13" s="503"/>
      <c r="AA13" s="503"/>
      <c r="AB13" s="503"/>
      <c r="AD13" s="503"/>
      <c r="AE13" s="503"/>
    </row>
    <row r="14" spans="1:33" ht="13.8">
      <c r="B14" s="562" t="str">
        <f>B7</f>
        <v>Peer &amp; Family Specialist</v>
      </c>
      <c r="C14" s="560">
        <f>C38</f>
        <v>2</v>
      </c>
      <c r="D14" s="561" t="s">
        <v>184</v>
      </c>
      <c r="E14" s="533"/>
      <c r="F14" s="533"/>
      <c r="G14" s="534"/>
      <c r="H14" s="534"/>
      <c r="I14" s="535"/>
      <c r="K14" s="218" t="s">
        <v>92</v>
      </c>
      <c r="L14" s="219"/>
      <c r="M14" s="220">
        <f>SUM(M8:M13)</f>
        <v>7.9159999999999995</v>
      </c>
      <c r="N14" s="221">
        <f>SUM(N8:N13)</f>
        <v>251733.66865114734</v>
      </c>
      <c r="O14" s="503"/>
      <c r="P14" s="503"/>
      <c r="Q14" s="503"/>
      <c r="R14" s="541"/>
      <c r="S14" s="542"/>
      <c r="T14" s="543"/>
      <c r="U14" s="505"/>
      <c r="V14" s="505"/>
      <c r="X14" s="512"/>
      <c r="Y14" s="503"/>
      <c r="Z14" s="503"/>
      <c r="AA14" s="503"/>
      <c r="AB14" s="503"/>
      <c r="AD14" s="503"/>
      <c r="AE14" s="503"/>
    </row>
    <row r="15" spans="1:33" ht="13.8">
      <c r="B15" s="562" t="str">
        <f>B8</f>
        <v>DC Blend (I + II)</v>
      </c>
      <c r="C15" s="560">
        <v>4</v>
      </c>
      <c r="D15" s="561" t="s">
        <v>91</v>
      </c>
      <c r="E15" s="533"/>
      <c r="F15" s="533"/>
      <c r="G15" s="534"/>
      <c r="H15" s="534"/>
      <c r="I15" s="535"/>
      <c r="K15" s="228"/>
      <c r="L15" s="563"/>
      <c r="M15" s="564"/>
      <c r="N15" s="230"/>
      <c r="O15" s="503"/>
      <c r="P15" s="503"/>
      <c r="Q15" s="504"/>
      <c r="R15" s="505"/>
      <c r="S15" s="542"/>
      <c r="T15" s="504"/>
      <c r="U15" s="505"/>
      <c r="V15" s="505"/>
      <c r="X15" s="512"/>
      <c r="Y15" s="503"/>
      <c r="Z15" s="503"/>
      <c r="AA15" s="503"/>
      <c r="AB15" s="503"/>
      <c r="AD15" s="503"/>
      <c r="AE15" s="503"/>
    </row>
    <row r="16" spans="1:33" ht="13.8">
      <c r="B16" s="562" t="s">
        <v>79</v>
      </c>
      <c r="C16" s="560">
        <f>C15*15.4%</f>
        <v>0.61599999999999999</v>
      </c>
      <c r="D16" s="561" t="s">
        <v>185</v>
      </c>
      <c r="E16" s="533"/>
      <c r="F16" s="533"/>
      <c r="G16" s="534"/>
      <c r="H16" s="534"/>
      <c r="I16" s="535"/>
      <c r="K16" s="234" t="s">
        <v>93</v>
      </c>
      <c r="L16" s="565">
        <f>C19</f>
        <v>0.22602863541922683</v>
      </c>
      <c r="M16" s="563"/>
      <c r="N16" s="236">
        <f>L16*N14</f>
        <v>56899.017614294629</v>
      </c>
      <c r="O16" s="503"/>
      <c r="P16" s="503"/>
      <c r="Q16" s="504"/>
      <c r="R16" s="505"/>
      <c r="T16" s="504"/>
      <c r="U16" s="505"/>
      <c r="V16" s="505"/>
      <c r="X16" s="512"/>
      <c r="Y16" s="503"/>
      <c r="Z16" s="503"/>
      <c r="AA16" s="503"/>
      <c r="AB16" s="503"/>
      <c r="AD16" s="503"/>
      <c r="AE16" s="503"/>
    </row>
    <row r="17" spans="1:32" ht="14.4" thickBot="1">
      <c r="B17" s="562" t="str">
        <f>B10</f>
        <v>Clerical Support</v>
      </c>
      <c r="C17" s="560">
        <v>0.25</v>
      </c>
      <c r="D17" s="566" t="s">
        <v>91</v>
      </c>
      <c r="E17" s="548"/>
      <c r="F17" s="548"/>
      <c r="G17" s="549"/>
      <c r="H17" s="534"/>
      <c r="I17" s="535"/>
      <c r="K17" s="241" t="s">
        <v>94</v>
      </c>
      <c r="L17" s="567"/>
      <c r="M17" s="568"/>
      <c r="N17" s="243">
        <f>N14+N16</f>
        <v>308632.68626544194</v>
      </c>
      <c r="O17" s="503"/>
      <c r="P17" s="503"/>
      <c r="Q17" s="504"/>
      <c r="R17" s="505"/>
      <c r="T17" s="504"/>
      <c r="U17" s="505"/>
      <c r="V17" s="505"/>
      <c r="X17" s="512"/>
      <c r="Y17" s="503"/>
      <c r="Z17" s="503"/>
      <c r="AA17" s="503"/>
      <c r="AB17" s="503"/>
      <c r="AD17" s="503"/>
      <c r="AE17" s="503"/>
    </row>
    <row r="18" spans="1:32" ht="14.4" thickTop="1">
      <c r="B18" s="893" t="s">
        <v>99</v>
      </c>
      <c r="C18" s="894"/>
      <c r="D18" s="895"/>
      <c r="E18" s="896"/>
      <c r="F18" s="896"/>
      <c r="G18" s="569"/>
      <c r="H18" s="569"/>
      <c r="I18" s="570"/>
      <c r="K18" s="571"/>
      <c r="L18" s="572"/>
      <c r="M18" s="573"/>
      <c r="N18" s="574"/>
      <c r="O18" s="503"/>
      <c r="P18" s="503"/>
      <c r="Q18" s="504"/>
      <c r="R18" s="505"/>
      <c r="T18" s="504"/>
      <c r="U18" s="505"/>
      <c r="V18" s="505"/>
      <c r="X18" s="512"/>
      <c r="Y18" s="575"/>
      <c r="Z18" s="575"/>
      <c r="AA18" s="513"/>
      <c r="AB18" s="576"/>
      <c r="AC18" s="577"/>
      <c r="AD18" s="578"/>
      <c r="AE18" s="578"/>
      <c r="AF18" s="578"/>
    </row>
    <row r="19" spans="1:32" ht="13.8">
      <c r="B19" s="579" t="s">
        <v>100</v>
      </c>
      <c r="C19" s="580">
        <f>'[7]FY16 Contracts'!C42</f>
        <v>0.22602863541922683</v>
      </c>
      <c r="D19" s="581" t="s">
        <v>101</v>
      </c>
      <c r="E19" s="582"/>
      <c r="F19" s="582"/>
      <c r="G19" s="583"/>
      <c r="H19" s="534"/>
      <c r="I19" s="535"/>
      <c r="K19" s="584" t="s">
        <v>186</v>
      </c>
      <c r="L19" s="572"/>
      <c r="M19" s="585" t="s">
        <v>187</v>
      </c>
      <c r="N19" s="574"/>
      <c r="O19" s="503"/>
      <c r="P19" s="503"/>
      <c r="Q19" s="504"/>
      <c r="R19" s="505"/>
      <c r="T19" s="504"/>
      <c r="U19" s="505"/>
      <c r="V19" s="505"/>
      <c r="X19" s="512"/>
      <c r="Y19" s="575"/>
      <c r="Z19" s="575"/>
      <c r="AA19" s="513"/>
      <c r="AB19" s="578"/>
      <c r="AC19" s="586"/>
      <c r="AD19" s="578"/>
      <c r="AE19" s="578"/>
      <c r="AF19" s="578"/>
    </row>
    <row r="20" spans="1:32" ht="12.75" customHeight="1">
      <c r="B20" s="525" t="s">
        <v>188</v>
      </c>
      <c r="C20" s="526">
        <f>[7]BlendedModels!D34</f>
        <v>51201.5</v>
      </c>
      <c r="D20" s="561" t="s">
        <v>189</v>
      </c>
      <c r="E20" s="533"/>
      <c r="F20" s="533"/>
      <c r="G20" s="534"/>
      <c r="H20" s="534"/>
      <c r="I20" s="535"/>
      <c r="K20" s="234" t="str">
        <f>B20</f>
        <v>Occupancy (per site)</v>
      </c>
      <c r="L20" s="587"/>
      <c r="M20" s="526">
        <f>C20</f>
        <v>51201.5</v>
      </c>
      <c r="N20" s="236">
        <f>M20/[7]BlendedModels!N6*'Peer Model '!L6</f>
        <v>34134.333333333336</v>
      </c>
      <c r="O20" s="503"/>
      <c r="P20" s="503"/>
      <c r="Q20" s="504"/>
      <c r="R20" s="505"/>
      <c r="T20" s="504"/>
      <c r="U20" s="505"/>
      <c r="V20" s="505"/>
      <c r="X20" s="512"/>
      <c r="Y20" s="575"/>
      <c r="Z20" s="575"/>
      <c r="AA20" s="513"/>
      <c r="AB20" s="578"/>
      <c r="AC20" s="586"/>
      <c r="AD20" s="588"/>
      <c r="AE20" s="578"/>
      <c r="AF20" s="578"/>
    </row>
    <row r="21" spans="1:32" ht="13.8">
      <c r="B21" s="525" t="s">
        <v>190</v>
      </c>
      <c r="C21" s="589">
        <v>8.16</v>
      </c>
      <c r="D21" s="561" t="s">
        <v>191</v>
      </c>
      <c r="E21" s="533"/>
      <c r="F21" s="533"/>
      <c r="G21" s="534"/>
      <c r="H21" s="534"/>
      <c r="I21" s="535"/>
      <c r="K21" s="544" t="str">
        <f>B21</f>
        <v>Meals (per unit)</v>
      </c>
      <c r="L21" s="590"/>
      <c r="M21" s="589">
        <f>C21</f>
        <v>8.16</v>
      </c>
      <c r="N21" s="591">
        <f>M21*N6</f>
        <v>11913.6</v>
      </c>
      <c r="O21" s="503"/>
      <c r="P21" s="503"/>
      <c r="Q21" s="504"/>
      <c r="R21" s="505"/>
      <c r="T21" s="504"/>
      <c r="U21" s="505"/>
      <c r="V21" s="505"/>
      <c r="X21" s="512"/>
      <c r="Y21" s="513"/>
      <c r="Z21" s="578"/>
      <c r="AA21" s="588"/>
      <c r="AB21" s="588"/>
      <c r="AC21" s="578"/>
      <c r="AD21" s="578"/>
      <c r="AE21" s="503"/>
    </row>
    <row r="22" spans="1:32" ht="13.8">
      <c r="B22" s="525" t="s">
        <v>192</v>
      </c>
      <c r="C22" s="526">
        <f>H52</f>
        <v>176.85699848408288</v>
      </c>
      <c r="D22" s="561" t="s">
        <v>184</v>
      </c>
      <c r="E22" s="533"/>
      <c r="F22" s="533"/>
      <c r="G22" s="534"/>
      <c r="H22" s="534"/>
      <c r="I22" s="535"/>
      <c r="K22" s="234" t="str">
        <f>B22</f>
        <v>Transportation (per FTE)</v>
      </c>
      <c r="L22" s="587"/>
      <c r="M22" s="526">
        <f>C22</f>
        <v>176.85699848408288</v>
      </c>
      <c r="N22" s="591">
        <f>M22*M11</f>
        <v>707.42799393633152</v>
      </c>
      <c r="O22" s="503"/>
      <c r="P22" s="503"/>
      <c r="Q22" s="504"/>
      <c r="R22" s="505"/>
      <c r="T22" s="504"/>
      <c r="U22" s="505"/>
      <c r="V22" s="505"/>
      <c r="X22" s="503"/>
      <c r="Y22" s="592"/>
      <c r="Z22" s="588"/>
      <c r="AA22" s="588"/>
      <c r="AB22" s="576"/>
      <c r="AC22" s="576"/>
      <c r="AD22" s="503"/>
      <c r="AE22" s="503"/>
    </row>
    <row r="23" spans="1:32" ht="13.5" customHeight="1">
      <c r="B23" s="525" t="s">
        <v>111</v>
      </c>
      <c r="C23" s="526">
        <f>H57</f>
        <v>1573.7923193532088</v>
      </c>
      <c r="D23" s="561" t="s">
        <v>184</v>
      </c>
      <c r="E23" s="533"/>
      <c r="F23" s="533"/>
      <c r="G23" s="534"/>
      <c r="H23" s="534"/>
      <c r="I23" s="535"/>
      <c r="K23" s="234" t="str">
        <f>B23</f>
        <v>Other Expenses (per FTE)</v>
      </c>
      <c r="L23" s="587"/>
      <c r="M23" s="526">
        <f>C23</f>
        <v>1573.7923193532088</v>
      </c>
      <c r="N23" s="236">
        <f>M23*M14</f>
        <v>12458.14</v>
      </c>
      <c r="O23" s="503"/>
      <c r="P23" s="593"/>
      <c r="Q23" s="504"/>
      <c r="R23" s="505"/>
      <c r="T23" s="504"/>
      <c r="U23" s="505"/>
      <c r="V23" s="505"/>
      <c r="X23" s="503"/>
      <c r="Y23" s="594"/>
      <c r="Z23" s="507"/>
      <c r="AA23" s="507"/>
      <c r="AB23" s="503"/>
      <c r="AD23" s="503"/>
      <c r="AE23" s="503"/>
    </row>
    <row r="24" spans="1:32" ht="13.8">
      <c r="B24" s="525" t="s">
        <v>193</v>
      </c>
      <c r="C24" s="595">
        <f>H58</f>
        <v>1023.2440626579081</v>
      </c>
      <c r="D24" s="561" t="s">
        <v>184</v>
      </c>
      <c r="E24" s="533"/>
      <c r="F24" s="533"/>
      <c r="G24" s="534"/>
      <c r="H24" s="534"/>
      <c r="I24" s="535"/>
      <c r="K24" s="234" t="str">
        <f>B24</f>
        <v>Direct Admin Expense (per FTE)</v>
      </c>
      <c r="L24" s="587"/>
      <c r="M24" s="526">
        <f>C24</f>
        <v>1023.2440626579081</v>
      </c>
      <c r="N24" s="236">
        <f>M24*M14</f>
        <v>8100</v>
      </c>
      <c r="O24" s="503"/>
      <c r="P24" s="503"/>
      <c r="Q24" s="504"/>
      <c r="R24" s="505"/>
      <c r="T24" s="504"/>
      <c r="U24" s="505"/>
      <c r="V24" s="505"/>
      <c r="X24" s="503"/>
      <c r="Y24" s="503"/>
      <c r="Z24" s="507"/>
      <c r="AA24" s="507"/>
      <c r="AB24" s="503"/>
      <c r="AD24" s="503"/>
      <c r="AE24" s="503"/>
    </row>
    <row r="25" spans="1:32" ht="13.8">
      <c r="B25" s="596" t="s">
        <v>115</v>
      </c>
      <c r="C25" s="597">
        <f>D63</f>
        <v>0.1199999746661794</v>
      </c>
      <c r="D25" s="566" t="s">
        <v>184</v>
      </c>
      <c r="E25" s="548"/>
      <c r="F25" s="548"/>
      <c r="G25" s="549"/>
      <c r="H25" s="549"/>
      <c r="I25" s="598"/>
      <c r="K25" s="218" t="s">
        <v>194</v>
      </c>
      <c r="L25" s="599"/>
      <c r="M25" s="600"/>
      <c r="N25" s="601">
        <f>SUM(N20:N24)</f>
        <v>67313.501327269667</v>
      </c>
      <c r="O25" s="503"/>
      <c r="P25" s="503"/>
      <c r="Q25" s="504"/>
      <c r="R25" s="505"/>
      <c r="T25" s="504"/>
      <c r="U25" s="505"/>
      <c r="V25" s="505"/>
      <c r="X25" s="513"/>
      <c r="Y25" s="503"/>
      <c r="Z25" s="507"/>
      <c r="AA25" s="507"/>
      <c r="AB25" s="503"/>
      <c r="AD25" s="503"/>
      <c r="AE25" s="503"/>
    </row>
    <row r="26" spans="1:32" ht="14.4" thickBot="1">
      <c r="B26" s="525" t="s">
        <v>172</v>
      </c>
      <c r="C26" s="712">
        <f>'[7]Fall2016 CAF'!BJ39</f>
        <v>5.4305515997341604E-2</v>
      </c>
      <c r="D26" s="653" t="s">
        <v>195</v>
      </c>
      <c r="E26" s="534"/>
      <c r="F26" s="534"/>
      <c r="G26" s="534"/>
      <c r="H26" s="534"/>
      <c r="I26" s="535"/>
      <c r="K26" s="234"/>
      <c r="L26" s="563"/>
      <c r="M26" s="267"/>
      <c r="N26" s="268"/>
      <c r="O26" s="503"/>
      <c r="P26" s="503"/>
      <c r="Q26" s="504"/>
      <c r="R26" s="505"/>
      <c r="T26" s="504"/>
      <c r="U26" s="505"/>
      <c r="V26" s="505"/>
      <c r="X26" s="503"/>
      <c r="Y26" s="503"/>
      <c r="Z26" s="507"/>
      <c r="AA26" s="507"/>
      <c r="AB26" s="503"/>
      <c r="AD26" s="503"/>
      <c r="AE26" s="503"/>
    </row>
    <row r="27" spans="1:32" s="578" customFormat="1" ht="14.4" thickBot="1">
      <c r="A27" s="503"/>
      <c r="B27" s="713" t="s">
        <v>173</v>
      </c>
      <c r="C27" s="717">
        <f>'Fall 2018'!BQ23</f>
        <v>2.3531493276716206E-2</v>
      </c>
      <c r="D27" s="714" t="s">
        <v>174</v>
      </c>
      <c r="E27" s="519"/>
      <c r="F27" s="519"/>
      <c r="G27" s="519"/>
      <c r="H27" s="519"/>
      <c r="I27" s="520"/>
      <c r="J27" s="503"/>
      <c r="K27" s="276" t="s">
        <v>102</v>
      </c>
      <c r="L27" s="602"/>
      <c r="M27" s="277"/>
      <c r="N27" s="278">
        <f>N17+N25</f>
        <v>375946.18759271159</v>
      </c>
      <c r="O27" s="503"/>
      <c r="Y27" s="503"/>
      <c r="Z27" s="507"/>
      <c r="AA27" s="507"/>
      <c r="AB27" s="513"/>
      <c r="AC27" s="513"/>
    </row>
    <row r="28" spans="1:32" s="578" customFormat="1" ht="14.4" thickBot="1">
      <c r="A28" s="503"/>
      <c r="B28" s="715" t="s">
        <v>175</v>
      </c>
      <c r="C28" s="718">
        <v>6.3E-3</v>
      </c>
      <c r="D28" s="716" t="s">
        <v>176</v>
      </c>
      <c r="E28" s="519"/>
      <c r="F28" s="519"/>
      <c r="G28" s="519"/>
      <c r="H28" s="519"/>
      <c r="I28" s="520"/>
      <c r="J28" s="503"/>
      <c r="K28" s="234" t="s">
        <v>105</v>
      </c>
      <c r="L28" s="565">
        <f>C25</f>
        <v>0.1199999746661794</v>
      </c>
      <c r="M28" s="235"/>
      <c r="N28" s="236">
        <f>L28*N27</f>
        <v>45113.532986972117</v>
      </c>
      <c r="O28" s="503"/>
      <c r="X28" s="603"/>
      <c r="Y28" s="503"/>
      <c r="Z28" s="507"/>
      <c r="AA28" s="507"/>
      <c r="AB28" s="503"/>
      <c r="AC28" s="503"/>
    </row>
    <row r="29" spans="1:32" s="578" customFormat="1" ht="13.8">
      <c r="A29" s="503"/>
      <c r="B29" s="503"/>
      <c r="C29" s="503"/>
      <c r="D29" s="503"/>
      <c r="E29" s="503"/>
      <c r="F29" s="503"/>
      <c r="G29" s="503"/>
      <c r="H29" s="509"/>
      <c r="I29" s="503"/>
      <c r="J29" s="503"/>
      <c r="K29" s="231"/>
      <c r="L29" s="604"/>
      <c r="M29" s="210"/>
      <c r="N29" s="226"/>
      <c r="X29" s="605"/>
      <c r="Y29" s="503"/>
      <c r="Z29" s="507"/>
      <c r="AA29" s="507"/>
      <c r="AB29" s="503"/>
      <c r="AC29" s="503"/>
      <c r="AD29" s="576"/>
    </row>
    <row r="30" spans="1:32" ht="14.4" thickBot="1">
      <c r="A30" s="578"/>
      <c r="H30" s="509"/>
      <c r="K30" s="273" t="s">
        <v>110</v>
      </c>
      <c r="L30" s="606"/>
      <c r="M30" s="287"/>
      <c r="N30" s="288">
        <f>N27+N28</f>
        <v>421059.72057968372</v>
      </c>
      <c r="O30" s="578"/>
      <c r="V30" s="512"/>
      <c r="W30" s="607"/>
      <c r="X30" s="513"/>
      <c r="Y30" s="507"/>
      <c r="Z30" s="507"/>
      <c r="AA30" s="503"/>
      <c r="AB30" s="503"/>
      <c r="AD30" s="503"/>
      <c r="AE30" s="503"/>
    </row>
    <row r="31" spans="1:32" ht="14.4" thickTop="1">
      <c r="A31" s="578"/>
      <c r="K31" s="231" t="s">
        <v>172</v>
      </c>
      <c r="L31" s="608">
        <f>C26</f>
        <v>5.4305515997341604E-2</v>
      </c>
      <c r="M31" s="210"/>
      <c r="N31" s="289">
        <f>N30*(1+L31)</f>
        <v>443925.58597145992</v>
      </c>
      <c r="O31" s="578"/>
      <c r="V31" s="512"/>
      <c r="W31" s="607"/>
      <c r="X31" s="503"/>
      <c r="Y31" s="507"/>
      <c r="Z31" s="507"/>
      <c r="AA31" s="503"/>
      <c r="AB31" s="503"/>
      <c r="AD31" s="503"/>
      <c r="AE31" s="503"/>
    </row>
    <row r="32" spans="1:32" ht="14.4" thickBot="1">
      <c r="A32" s="578"/>
      <c r="K32" s="231" t="s">
        <v>173</v>
      </c>
      <c r="L32" s="719">
        <f>C27</f>
        <v>2.3531493276716206E-2</v>
      </c>
      <c r="M32" s="609"/>
      <c r="N32" s="289">
        <f>N31*(L32+1)</f>
        <v>454371.81791310961</v>
      </c>
      <c r="V32" s="512"/>
      <c r="W32" s="607"/>
      <c r="X32" s="503"/>
      <c r="Y32" s="507"/>
      <c r="Z32" s="507"/>
      <c r="AA32" s="503"/>
      <c r="AB32" s="503"/>
      <c r="AD32" s="503"/>
      <c r="AE32" s="503"/>
    </row>
    <row r="33" spans="1:31" s="513" customFormat="1" ht="14.4" thickBot="1">
      <c r="A33" s="503"/>
      <c r="B33" s="611"/>
      <c r="C33" s="612"/>
      <c r="D33" s="612"/>
      <c r="E33" s="612"/>
      <c r="F33" s="612"/>
      <c r="G33" s="612"/>
      <c r="H33" s="503"/>
      <c r="I33" s="503"/>
      <c r="J33" s="503"/>
      <c r="K33" s="708" t="s">
        <v>175</v>
      </c>
      <c r="L33" s="722">
        <f>C28</f>
        <v>6.3E-3</v>
      </c>
      <c r="M33" s="723"/>
      <c r="N33" s="724">
        <f>N14*(L31+1)*(L32+1)*L33</f>
        <v>1711.392180506296</v>
      </c>
      <c r="O33" s="504"/>
      <c r="V33" s="512"/>
      <c r="W33" s="607"/>
      <c r="X33" s="503"/>
      <c r="Y33" s="507"/>
      <c r="Z33" s="507"/>
      <c r="AA33" s="503"/>
      <c r="AB33" s="503"/>
      <c r="AC33" s="503"/>
    </row>
    <row r="34" spans="1:31" ht="14.4" hidden="1" thickBot="1">
      <c r="B34" s="613" t="s">
        <v>197</v>
      </c>
      <c r="C34" s="614" t="s">
        <v>198</v>
      </c>
      <c r="D34" s="615">
        <v>3</v>
      </c>
      <c r="E34" s="615">
        <f>D34*365</f>
        <v>1095</v>
      </c>
      <c r="F34" s="615" t="s">
        <v>199</v>
      </c>
      <c r="G34" s="615"/>
      <c r="H34" s="516"/>
      <c r="I34" s="516"/>
      <c r="K34" s="299" t="s">
        <v>110</v>
      </c>
      <c r="L34" s="720"/>
      <c r="M34" s="720"/>
      <c r="N34" s="721">
        <f>N31</f>
        <v>443925.58597145992</v>
      </c>
      <c r="P34" s="504"/>
      <c r="R34" s="505"/>
      <c r="S34" s="504"/>
      <c r="U34" s="505"/>
      <c r="W34" s="512"/>
      <c r="X34" s="607"/>
      <c r="Y34" s="503"/>
      <c r="Z34" s="507"/>
      <c r="AA34" s="507"/>
      <c r="AB34" s="503"/>
      <c r="AD34" s="503"/>
      <c r="AE34" s="503"/>
    </row>
    <row r="35" spans="1:31" ht="15" customHeight="1" thickBot="1">
      <c r="B35" s="616" t="s">
        <v>200</v>
      </c>
      <c r="C35" s="881" t="s">
        <v>201</v>
      </c>
      <c r="D35" s="881"/>
      <c r="E35" s="881"/>
      <c r="F35" s="617" t="s">
        <v>202</v>
      </c>
      <c r="G35" s="618"/>
      <c r="H35" s="619"/>
      <c r="I35" s="619"/>
      <c r="J35" s="513"/>
      <c r="K35" s="496" t="s">
        <v>110</v>
      </c>
      <c r="L35" s="494"/>
      <c r="M35" s="494"/>
      <c r="N35" s="495">
        <f>N33+N32</f>
        <v>456083.21009361593</v>
      </c>
      <c r="O35" s="513"/>
      <c r="P35" s="504"/>
      <c r="R35" s="505"/>
      <c r="S35" s="504"/>
      <c r="U35" s="505"/>
      <c r="W35" s="512"/>
      <c r="X35" s="607"/>
      <c r="Y35" s="503"/>
      <c r="Z35" s="507"/>
      <c r="AA35" s="507"/>
      <c r="AB35" s="503"/>
      <c r="AD35" s="503"/>
      <c r="AE35" s="503"/>
    </row>
    <row r="36" spans="1:31" ht="14.4" thickBot="1">
      <c r="B36" s="620"/>
      <c r="C36" s="614" t="s">
        <v>88</v>
      </c>
      <c r="D36" s="621" t="s">
        <v>38</v>
      </c>
      <c r="E36" s="621" t="s">
        <v>68</v>
      </c>
      <c r="F36" s="622">
        <f>C41/M14</f>
        <v>0.77059120768064682</v>
      </c>
      <c r="G36" s="615"/>
      <c r="H36" s="623"/>
      <c r="I36" s="623"/>
      <c r="J36" s="505"/>
      <c r="K36" s="496" t="s">
        <v>196</v>
      </c>
      <c r="L36" s="494"/>
      <c r="M36" s="494"/>
      <c r="N36" s="725">
        <f>N35/12</f>
        <v>38006.934174467991</v>
      </c>
      <c r="O36" s="503"/>
      <c r="P36" s="510"/>
      <c r="Q36" s="511"/>
      <c r="R36" s="511"/>
      <c r="S36" s="512"/>
      <c r="T36" s="624"/>
      <c r="U36" s="512"/>
      <c r="V36" s="512"/>
      <c r="W36" s="512"/>
      <c r="X36" s="607"/>
      <c r="Y36" s="503"/>
      <c r="Z36" s="507"/>
      <c r="AA36" s="507"/>
      <c r="AB36" s="503"/>
      <c r="AD36" s="503"/>
      <c r="AE36" s="503"/>
    </row>
    <row r="37" spans="1:31" ht="13.8">
      <c r="B37" s="625" t="s">
        <v>62</v>
      </c>
      <c r="C37" s="614">
        <v>1</v>
      </c>
      <c r="D37" s="626">
        <v>40000</v>
      </c>
      <c r="E37" s="626">
        <f>D37/C37</f>
        <v>40000</v>
      </c>
      <c r="F37" s="615"/>
      <c r="G37" s="615"/>
      <c r="H37" s="623"/>
      <c r="I37" s="623"/>
      <c r="J37" s="505"/>
      <c r="K37" s="505"/>
      <c r="L37" s="506"/>
      <c r="N37" s="513"/>
      <c r="O37" s="290"/>
      <c r="P37" s="510"/>
      <c r="Q37" s="511"/>
      <c r="R37" s="511"/>
      <c r="S37" s="512"/>
      <c r="T37" s="624"/>
      <c r="U37" s="512"/>
      <c r="V37" s="512"/>
      <c r="W37" s="512"/>
      <c r="X37" s="607"/>
      <c r="Y37" s="607"/>
      <c r="Z37" s="607"/>
      <c r="AA37" s="503"/>
      <c r="AB37" s="507"/>
      <c r="AC37" s="507"/>
      <c r="AD37" s="503"/>
      <c r="AE37" s="503"/>
    </row>
    <row r="38" spans="1:31" ht="13.8">
      <c r="B38" s="625" t="s">
        <v>203</v>
      </c>
      <c r="C38" s="614">
        <v>2</v>
      </c>
      <c r="D38" s="626">
        <v>62400</v>
      </c>
      <c r="E38" s="626">
        <f>D38/C38</f>
        <v>31200</v>
      </c>
      <c r="F38" s="627"/>
      <c r="G38" s="627"/>
      <c r="H38" s="628"/>
      <c r="I38" s="628"/>
      <c r="J38" s="505"/>
      <c r="K38" s="505"/>
      <c r="L38" s="506"/>
      <c r="O38" s="629"/>
      <c r="P38" s="504"/>
      <c r="R38" s="506"/>
      <c r="S38" s="512"/>
      <c r="T38" s="607"/>
      <c r="U38" s="607"/>
      <c r="V38" s="607"/>
      <c r="W38" s="503"/>
      <c r="X38" s="507"/>
      <c r="Y38" s="507"/>
      <c r="Z38" s="503"/>
      <c r="AA38" s="503"/>
      <c r="AB38" s="503"/>
      <c r="AD38" s="503"/>
      <c r="AE38" s="503"/>
    </row>
    <row r="39" spans="1:31" ht="13.8">
      <c r="B39" s="625" t="s">
        <v>204</v>
      </c>
      <c r="C39" s="614">
        <v>2.8</v>
      </c>
      <c r="D39" s="626">
        <v>78330</v>
      </c>
      <c r="E39" s="626">
        <f>D39/C39</f>
        <v>27975</v>
      </c>
      <c r="F39" s="626"/>
      <c r="G39" s="626"/>
      <c r="H39" s="246"/>
      <c r="I39" s="246"/>
      <c r="J39" s="628"/>
      <c r="M39" s="504"/>
      <c r="N39" s="505"/>
      <c r="O39" s="506"/>
      <c r="P39" s="512"/>
      <c r="Q39" s="506"/>
      <c r="R39" s="607"/>
      <c r="S39" s="607"/>
      <c r="T39" s="506"/>
      <c r="W39" s="503"/>
      <c r="X39" s="507"/>
      <c r="Y39" s="503"/>
      <c r="Z39" s="503"/>
      <c r="AA39" s="503"/>
      <c r="AB39" s="503"/>
      <c r="AD39" s="503"/>
      <c r="AE39" s="503"/>
    </row>
    <row r="40" spans="1:31" ht="13.8">
      <c r="B40" s="625" t="s">
        <v>82</v>
      </c>
      <c r="C40" s="614">
        <v>0.3</v>
      </c>
      <c r="D40" s="626">
        <v>10353</v>
      </c>
      <c r="E40" s="626">
        <f>D40/C40</f>
        <v>34510</v>
      </c>
      <c r="F40" s="630"/>
      <c r="G40" s="630"/>
      <c r="H40" s="515"/>
      <c r="I40" s="515"/>
      <c r="J40" s="246"/>
      <c r="M40" s="504"/>
      <c r="N40" s="505"/>
      <c r="O40" s="506"/>
      <c r="P40" s="512"/>
      <c r="Q40" s="506"/>
      <c r="R40" s="607"/>
      <c r="S40" s="607"/>
      <c r="T40" s="631"/>
      <c r="U40" s="631"/>
      <c r="W40" s="503"/>
      <c r="X40" s="507"/>
      <c r="Y40" s="503"/>
      <c r="Z40" s="503"/>
      <c r="AA40" s="503"/>
      <c r="AB40" s="503"/>
      <c r="AD40" s="503"/>
      <c r="AE40" s="503"/>
    </row>
    <row r="41" spans="1:31" ht="13.8">
      <c r="B41" s="613"/>
      <c r="C41" s="614">
        <f>SUM(C37:C40)</f>
        <v>6.1</v>
      </c>
      <c r="D41" s="630">
        <f>SUM(D37:D40)</f>
        <v>191083</v>
      </c>
      <c r="E41" s="630"/>
      <c r="F41" s="632"/>
      <c r="G41" s="632"/>
      <c r="H41" s="633"/>
      <c r="I41" s="633"/>
      <c r="J41" s="515"/>
      <c r="M41" s="505"/>
      <c r="N41" s="506"/>
      <c r="O41" s="512"/>
      <c r="P41" s="506"/>
      <c r="Q41" s="607"/>
      <c r="R41" s="634"/>
      <c r="S41" s="506"/>
      <c r="T41" s="506"/>
      <c r="V41" s="503"/>
      <c r="W41" s="507"/>
      <c r="X41" s="503"/>
      <c r="Y41" s="503"/>
      <c r="Z41" s="503"/>
      <c r="AA41" s="503"/>
      <c r="AB41" s="503"/>
      <c r="AD41" s="503"/>
      <c r="AE41" s="503"/>
    </row>
    <row r="42" spans="1:31" ht="13.5" customHeight="1">
      <c r="B42" s="625" t="s">
        <v>205</v>
      </c>
      <c r="C42" s="635"/>
      <c r="D42" s="626">
        <v>19108.3</v>
      </c>
      <c r="E42" s="626"/>
      <c r="F42" s="630"/>
      <c r="G42" s="630"/>
      <c r="H42" s="515"/>
      <c r="I42" s="515"/>
      <c r="J42" s="633"/>
      <c r="M42" s="246"/>
      <c r="N42" s="506"/>
      <c r="O42" s="512"/>
      <c r="P42" s="506"/>
      <c r="Q42" s="607"/>
      <c r="R42" s="506"/>
      <c r="S42" s="506"/>
      <c r="T42" s="506"/>
      <c r="V42" s="503"/>
      <c r="W42" s="507"/>
      <c r="X42" s="503"/>
      <c r="Y42" s="503"/>
      <c r="Z42" s="503"/>
      <c r="AA42" s="503"/>
      <c r="AB42" s="503"/>
      <c r="AD42" s="503"/>
      <c r="AE42" s="503"/>
    </row>
    <row r="43" spans="1:31" ht="13.8">
      <c r="B43" s="625" t="s">
        <v>206</v>
      </c>
      <c r="C43" s="635"/>
      <c r="D43" s="626">
        <v>22929.96</v>
      </c>
      <c r="E43" s="626"/>
      <c r="F43" s="626"/>
      <c r="G43" s="626"/>
      <c r="H43" s="512"/>
      <c r="I43" s="512"/>
      <c r="J43" s="515"/>
      <c r="L43" s="504"/>
      <c r="M43" s="505"/>
      <c r="N43" s="505"/>
      <c r="O43" s="515"/>
      <c r="P43" s="515"/>
      <c r="Q43" s="512"/>
      <c r="R43" s="506"/>
      <c r="S43" s="512"/>
      <c r="T43" s="506"/>
      <c r="U43" s="634"/>
      <c r="Z43" s="503"/>
      <c r="AA43" s="507"/>
      <c r="AB43" s="503"/>
      <c r="AD43" s="503"/>
      <c r="AE43" s="503"/>
    </row>
    <row r="44" spans="1:31" ht="13.8">
      <c r="B44" s="618" t="s">
        <v>207</v>
      </c>
      <c r="C44" s="636"/>
      <c r="D44" s="630">
        <f>D42+D43</f>
        <v>42038.259999999995</v>
      </c>
      <c r="E44" s="630"/>
      <c r="F44" s="626"/>
      <c r="G44" s="626"/>
      <c r="H44" s="246"/>
      <c r="I44" s="246"/>
      <c r="J44" s="512"/>
      <c r="L44" s="512"/>
      <c r="M44" s="505"/>
      <c r="N44" s="505"/>
      <c r="O44" s="512"/>
      <c r="P44" s="512"/>
      <c r="Q44" s="515"/>
      <c r="R44" s="506"/>
      <c r="S44" s="512"/>
      <c r="T44" s="506"/>
      <c r="Z44" s="503"/>
      <c r="AA44" s="507"/>
      <c r="AB44" s="503"/>
      <c r="AD44" s="503"/>
      <c r="AE44" s="503"/>
    </row>
    <row r="45" spans="1:31" ht="13.8">
      <c r="B45" s="625" t="s">
        <v>208</v>
      </c>
      <c r="C45" s="627"/>
      <c r="D45" s="637">
        <f>D44/D41</f>
        <v>0.21999999999999997</v>
      </c>
      <c r="E45" s="626"/>
      <c r="F45" s="630"/>
      <c r="G45" s="630"/>
      <c r="H45" s="638"/>
      <c r="I45" s="638"/>
      <c r="J45" s="246"/>
      <c r="L45" s="504"/>
      <c r="M45" s="505"/>
      <c r="N45" s="505"/>
      <c r="O45" s="512"/>
      <c r="P45" s="512"/>
      <c r="Q45" s="512"/>
      <c r="R45" s="506"/>
      <c r="S45" s="512"/>
      <c r="T45" s="506"/>
      <c r="Z45" s="503"/>
      <c r="AA45" s="507"/>
      <c r="AB45" s="503"/>
      <c r="AD45" s="503"/>
      <c r="AE45" s="503"/>
    </row>
    <row r="46" spans="1:31" ht="13.8">
      <c r="B46" s="620"/>
      <c r="C46" s="627"/>
      <c r="D46" s="626"/>
      <c r="E46" s="626"/>
      <c r="F46" s="626"/>
      <c r="G46" s="626"/>
      <c r="H46" s="512"/>
      <c r="I46" s="512"/>
      <c r="N46" s="512"/>
      <c r="V46" s="512"/>
      <c r="AE46" s="503"/>
    </row>
    <row r="47" spans="1:31" ht="13.8">
      <c r="B47" s="616" t="s">
        <v>209</v>
      </c>
      <c r="C47" s="636"/>
      <c r="D47" s="630">
        <f>D41+D44</f>
        <v>233121.26</v>
      </c>
      <c r="E47" s="630"/>
      <c r="F47" s="626"/>
      <c r="G47" s="626"/>
      <c r="H47" s="512"/>
      <c r="I47" s="512"/>
      <c r="V47" s="512"/>
      <c r="AE47" s="503"/>
    </row>
    <row r="48" spans="1:31" ht="13.8">
      <c r="B48" s="620"/>
      <c r="C48" s="627"/>
      <c r="D48" s="626"/>
      <c r="E48" s="626"/>
      <c r="F48" s="626"/>
      <c r="G48" s="626"/>
      <c r="H48" s="512"/>
      <c r="I48" s="512"/>
      <c r="V48" s="512"/>
      <c r="AE48" s="503"/>
    </row>
    <row r="49" spans="1:31" ht="13.8">
      <c r="B49" s="620"/>
      <c r="C49" s="627"/>
      <c r="D49" s="626"/>
      <c r="E49" s="626"/>
      <c r="F49" s="626"/>
      <c r="G49" s="626"/>
      <c r="H49" s="626"/>
      <c r="I49" s="512"/>
      <c r="J49" s="136"/>
      <c r="K49" s="512"/>
      <c r="L49" s="512"/>
      <c r="V49" s="512"/>
      <c r="AE49" s="503"/>
    </row>
    <row r="50" spans="1:31" ht="13.8">
      <c r="B50" s="618" t="s">
        <v>210</v>
      </c>
      <c r="C50" s="882" t="str">
        <f>C35</f>
        <v>WESTERN MA -1203</v>
      </c>
      <c r="D50" s="882"/>
      <c r="E50" s="882"/>
      <c r="F50" s="621" t="s">
        <v>211</v>
      </c>
      <c r="G50" s="621" t="s">
        <v>212</v>
      </c>
      <c r="H50" s="621" t="s">
        <v>213</v>
      </c>
      <c r="I50" s="624"/>
      <c r="J50" s="639"/>
      <c r="K50" s="512"/>
      <c r="L50" s="512"/>
      <c r="V50" s="512"/>
      <c r="Y50" s="631"/>
      <c r="AE50" s="503"/>
    </row>
    <row r="51" spans="1:31" s="578" customFormat="1" ht="13.8">
      <c r="A51" s="503"/>
      <c r="B51" s="616" t="s">
        <v>214</v>
      </c>
      <c r="C51" s="627"/>
      <c r="D51" s="626">
        <v>60704</v>
      </c>
      <c r="E51" s="626"/>
      <c r="F51" s="630">
        <f t="shared" ref="F51:F57" si="3">SUM(C51:E51)</f>
        <v>60704</v>
      </c>
      <c r="G51" s="630"/>
      <c r="H51" s="630"/>
      <c r="I51" s="515"/>
      <c r="J51" s="639"/>
      <c r="K51" s="512"/>
      <c r="L51" s="512"/>
      <c r="M51" s="503"/>
      <c r="N51" s="503"/>
      <c r="O51" s="504"/>
      <c r="P51" s="505"/>
      <c r="Q51" s="505"/>
      <c r="R51" s="504"/>
      <c r="S51" s="505"/>
      <c r="T51" s="505"/>
      <c r="U51" s="506"/>
      <c r="V51" s="512"/>
      <c r="W51" s="506"/>
      <c r="X51" s="506"/>
      <c r="Y51" s="631"/>
      <c r="Z51" s="506"/>
      <c r="AA51" s="506"/>
      <c r="AB51" s="506"/>
      <c r="AD51" s="588"/>
    </row>
    <row r="52" spans="1:31" ht="13.8">
      <c r="B52" s="616" t="s">
        <v>215</v>
      </c>
      <c r="C52" s="627"/>
      <c r="D52" s="626">
        <v>1400</v>
      </c>
      <c r="E52" s="626"/>
      <c r="F52" s="630">
        <f>SUM(C52:E52)</f>
        <v>1400</v>
      </c>
      <c r="G52" s="621">
        <f>F52/(C14+C15)</f>
        <v>233.33333333333334</v>
      </c>
      <c r="H52" s="621">
        <f>F52/M14</f>
        <v>176.85699848408288</v>
      </c>
      <c r="I52" s="624"/>
      <c r="J52" s="136"/>
      <c r="K52" s="512"/>
      <c r="L52" s="512"/>
      <c r="V52" s="512"/>
    </row>
    <row r="53" spans="1:31" ht="13.8">
      <c r="B53" s="616" t="s">
        <v>216</v>
      </c>
      <c r="C53" s="627"/>
      <c r="D53" s="626">
        <v>2800</v>
      </c>
      <c r="E53" s="626"/>
      <c r="F53" s="626">
        <f t="shared" si="3"/>
        <v>2800</v>
      </c>
      <c r="G53" s="640" t="s">
        <v>38</v>
      </c>
      <c r="H53" s="640"/>
      <c r="I53" s="641"/>
      <c r="K53" s="512"/>
      <c r="L53" s="512"/>
      <c r="V53" s="512"/>
      <c r="Y53" s="631"/>
    </row>
    <row r="54" spans="1:31" ht="13.8">
      <c r="B54" s="616" t="s">
        <v>217</v>
      </c>
      <c r="C54" s="627"/>
      <c r="D54" s="626">
        <v>5200</v>
      </c>
      <c r="E54" s="626"/>
      <c r="F54" s="626">
        <f t="shared" si="3"/>
        <v>5200</v>
      </c>
      <c r="G54" s="618" t="s">
        <v>218</v>
      </c>
      <c r="H54" s="618"/>
      <c r="I54" s="619"/>
      <c r="K54" s="512"/>
      <c r="L54" s="512"/>
    </row>
    <row r="55" spans="1:31" ht="13.8">
      <c r="B55" s="616" t="s">
        <v>219</v>
      </c>
      <c r="C55" s="627"/>
      <c r="D55" s="626">
        <v>500</v>
      </c>
      <c r="E55" s="626"/>
      <c r="F55" s="626">
        <f t="shared" si="3"/>
        <v>500</v>
      </c>
      <c r="G55" s="625"/>
      <c r="H55" s="625"/>
      <c r="I55" s="642"/>
      <c r="K55" s="512"/>
      <c r="L55" s="512"/>
      <c r="M55" s="578"/>
    </row>
    <row r="56" spans="1:31" ht="13.8">
      <c r="B56" s="616" t="s">
        <v>220</v>
      </c>
      <c r="C56" s="627"/>
      <c r="D56" s="626">
        <v>2933.14</v>
      </c>
      <c r="E56" s="626"/>
      <c r="F56" s="626">
        <f t="shared" si="3"/>
        <v>2933.14</v>
      </c>
      <c r="G56" s="620"/>
      <c r="H56" s="620"/>
      <c r="I56" s="643"/>
      <c r="K56" s="512"/>
      <c r="L56" s="512"/>
    </row>
    <row r="57" spans="1:31" ht="13.8">
      <c r="B57" s="616" t="s">
        <v>221</v>
      </c>
      <c r="C57" s="627"/>
      <c r="D57" s="626">
        <v>1025</v>
      </c>
      <c r="E57" s="626"/>
      <c r="F57" s="626">
        <f t="shared" si="3"/>
        <v>1025</v>
      </c>
      <c r="G57" s="644">
        <f>SUM(F53:F57)</f>
        <v>12458.14</v>
      </c>
      <c r="H57" s="644">
        <f>G57/M14</f>
        <v>1573.7923193532088</v>
      </c>
      <c r="I57" s="645"/>
      <c r="K57" s="512"/>
      <c r="L57" s="512"/>
    </row>
    <row r="58" spans="1:31" ht="15.75" customHeight="1">
      <c r="B58" s="616" t="s">
        <v>222</v>
      </c>
      <c r="C58" s="627"/>
      <c r="D58" s="626">
        <v>8100</v>
      </c>
      <c r="E58" s="626"/>
      <c r="F58" s="630">
        <f>SUM(C58:E58)</f>
        <v>8100</v>
      </c>
      <c r="G58" s="630"/>
      <c r="H58" s="621">
        <f>F58/M14</f>
        <v>1023.2440626579081</v>
      </c>
      <c r="I58" s="638"/>
      <c r="J58" s="512"/>
      <c r="K58" s="512"/>
      <c r="L58" s="512"/>
    </row>
    <row r="59" spans="1:31" ht="13.8">
      <c r="B59" s="616" t="s">
        <v>98</v>
      </c>
      <c r="C59" s="636"/>
      <c r="D59" s="630">
        <f>SUM(D51:D58)</f>
        <v>82662.14</v>
      </c>
      <c r="E59" s="630"/>
      <c r="F59" s="630">
        <f>SUM(F51:F58)</f>
        <v>82662.14</v>
      </c>
      <c r="G59" s="630"/>
      <c r="H59" s="630"/>
      <c r="I59" s="638"/>
      <c r="J59" s="646"/>
      <c r="K59" s="512"/>
      <c r="L59" s="512"/>
    </row>
    <row r="60" spans="1:31" ht="13.8">
      <c r="B60" s="613"/>
      <c r="C60" s="627"/>
      <c r="D60" s="626"/>
      <c r="E60" s="626"/>
      <c r="F60" s="626"/>
      <c r="G60" s="626"/>
      <c r="H60" s="626"/>
      <c r="I60" s="246"/>
      <c r="J60" s="624"/>
      <c r="K60" s="512"/>
      <c r="L60" s="512"/>
    </row>
    <row r="61" spans="1:31" ht="13.8">
      <c r="B61" s="613" t="s">
        <v>223</v>
      </c>
      <c r="C61" s="636"/>
      <c r="D61" s="630">
        <f>D59+D47</f>
        <v>315783.40000000002</v>
      </c>
      <c r="E61" s="630"/>
      <c r="F61" s="626"/>
      <c r="G61" s="626"/>
      <c r="H61" s="626"/>
      <c r="I61" s="512"/>
      <c r="J61" s="624"/>
      <c r="K61" s="512"/>
      <c r="L61" s="512"/>
    </row>
    <row r="62" spans="1:31" ht="13.8">
      <c r="B62" s="613" t="s">
        <v>115</v>
      </c>
      <c r="C62" s="627"/>
      <c r="D62" s="626">
        <v>37894</v>
      </c>
      <c r="E62" s="626"/>
      <c r="F62" s="626"/>
      <c r="G62" s="626"/>
      <c r="H62" s="626"/>
      <c r="I62" s="512"/>
      <c r="J62" s="624"/>
      <c r="K62" s="512"/>
      <c r="L62" s="512"/>
    </row>
    <row r="63" spans="1:31" ht="13.8">
      <c r="B63" s="625" t="s">
        <v>224</v>
      </c>
      <c r="C63" s="627"/>
      <c r="D63" s="637">
        <f>D62/D61</f>
        <v>0.1199999746661794</v>
      </c>
      <c r="E63" s="626"/>
      <c r="F63" s="626"/>
      <c r="G63" s="626"/>
      <c r="H63" s="626"/>
      <c r="I63" s="512"/>
      <c r="J63" s="624"/>
      <c r="K63" s="512"/>
      <c r="L63" s="512"/>
    </row>
    <row r="64" spans="1:31" ht="13.8">
      <c r="B64" s="616" t="s">
        <v>225</v>
      </c>
      <c r="C64" s="636"/>
      <c r="D64" s="630">
        <f>D61+D62</f>
        <v>353677.4</v>
      </c>
      <c r="E64" s="630"/>
      <c r="F64" s="626"/>
      <c r="G64" s="626"/>
      <c r="H64" s="626"/>
      <c r="I64" s="512"/>
      <c r="J64" s="624"/>
      <c r="K64" s="512"/>
      <c r="L64" s="512"/>
    </row>
    <row r="65" spans="2:8">
      <c r="B65" s="612"/>
      <c r="C65" s="612"/>
      <c r="D65" s="612"/>
      <c r="E65" s="612"/>
      <c r="F65" s="612"/>
      <c r="G65" s="612"/>
      <c r="H65" s="612"/>
    </row>
    <row r="66" spans="2:8">
      <c r="B66" s="612"/>
      <c r="C66" s="612"/>
      <c r="D66" s="612"/>
      <c r="E66" s="612"/>
      <c r="F66" s="612"/>
      <c r="G66" s="612"/>
      <c r="H66" s="612"/>
    </row>
    <row r="67" spans="2:8">
      <c r="B67" s="612"/>
      <c r="C67" s="612"/>
      <c r="D67" s="612"/>
      <c r="E67" s="612"/>
      <c r="F67" s="612"/>
      <c r="G67" s="612"/>
      <c r="H67" s="612"/>
    </row>
    <row r="68" spans="2:8">
      <c r="B68" s="612"/>
      <c r="C68" s="612"/>
      <c r="D68" s="612"/>
      <c r="E68" s="612"/>
      <c r="F68" s="612"/>
      <c r="G68" s="612"/>
      <c r="H68" s="612"/>
    </row>
    <row r="69" spans="2:8">
      <c r="B69" s="612"/>
      <c r="C69" s="612"/>
      <c r="D69" s="612"/>
      <c r="E69" s="612"/>
      <c r="F69" s="612"/>
      <c r="G69" s="612"/>
      <c r="H69" s="612"/>
    </row>
    <row r="70" spans="2:8">
      <c r="B70" s="612"/>
      <c r="C70" s="612"/>
      <c r="D70" s="612"/>
      <c r="E70" s="612"/>
      <c r="F70" s="612"/>
      <c r="G70" s="612"/>
      <c r="H70" s="612"/>
    </row>
    <row r="71" spans="2:8">
      <c r="B71" s="612"/>
      <c r="C71" s="612"/>
      <c r="D71" s="612"/>
      <c r="E71" s="612"/>
      <c r="F71" s="612"/>
      <c r="G71" s="612"/>
      <c r="H71" s="612"/>
    </row>
    <row r="72" spans="2:8">
      <c r="B72" s="612"/>
      <c r="C72" s="612"/>
      <c r="D72" s="612"/>
      <c r="E72" s="612"/>
      <c r="F72" s="612"/>
      <c r="G72" s="612"/>
      <c r="H72" s="612"/>
    </row>
    <row r="73" spans="2:8">
      <c r="B73" s="612"/>
      <c r="C73" s="612"/>
      <c r="D73" s="612"/>
      <c r="E73" s="612"/>
      <c r="F73" s="612"/>
      <c r="G73" s="612"/>
      <c r="H73" s="612"/>
    </row>
    <row r="74" spans="2:8">
      <c r="B74" s="612"/>
      <c r="C74" s="612"/>
      <c r="D74" s="612"/>
      <c r="E74" s="612"/>
      <c r="F74" s="612"/>
      <c r="G74" s="612"/>
      <c r="H74" s="612"/>
    </row>
    <row r="75" spans="2:8">
      <c r="B75" s="612"/>
      <c r="C75" s="612"/>
      <c r="D75" s="612"/>
      <c r="E75" s="612"/>
      <c r="F75" s="612"/>
      <c r="G75" s="612"/>
      <c r="H75" s="612"/>
    </row>
    <row r="76" spans="2:8">
      <c r="B76" s="612"/>
      <c r="C76" s="612"/>
      <c r="D76" s="612"/>
      <c r="E76" s="612"/>
      <c r="F76" s="612"/>
      <c r="G76" s="612"/>
      <c r="H76" s="612"/>
    </row>
    <row r="77" spans="2:8">
      <c r="B77" s="612"/>
      <c r="C77" s="612"/>
      <c r="D77" s="612"/>
      <c r="E77" s="612"/>
      <c r="F77" s="612"/>
      <c r="G77" s="612"/>
      <c r="H77" s="612"/>
    </row>
  </sheetData>
  <mergeCells count="9">
    <mergeCell ref="C35:E35"/>
    <mergeCell ref="C50:E50"/>
    <mergeCell ref="B3:I3"/>
    <mergeCell ref="K3:N3"/>
    <mergeCell ref="B4:C4"/>
    <mergeCell ref="D4:I4"/>
    <mergeCell ref="D11:F11"/>
    <mergeCell ref="B18:C18"/>
    <mergeCell ref="D18:F18"/>
  </mergeCells>
  <pageMargins left="0.2" right="0.2" top="0.25" bottom="0.25" header="0.3" footer="0.3"/>
  <pageSetup scale="7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B37"/>
  <sheetViews>
    <sheetView topLeftCell="A10" zoomScale="91" zoomScaleNormal="91" workbookViewId="0">
      <selection activeCell="B8" sqref="B8:D8"/>
    </sheetView>
  </sheetViews>
  <sheetFormatPr defaultColWidth="9.109375" defaultRowHeight="14.4"/>
  <cols>
    <col min="1" max="1" width="4.88671875" style="444" customWidth="1"/>
    <col min="2" max="2" width="33.6640625" style="136" customWidth="1"/>
    <col min="3" max="3" width="10.44140625" style="136" customWidth="1"/>
    <col min="4" max="4" width="86.44140625" style="444" customWidth="1"/>
    <col min="5" max="5" width="3.88671875" style="444" customWidth="1"/>
    <col min="6" max="6" width="34" style="444" customWidth="1"/>
    <col min="7" max="7" width="10.6640625" style="444" customWidth="1"/>
    <col min="8" max="8" width="9.44140625" style="444" customWidth="1"/>
    <col min="9" max="9" width="10.88671875" style="444" customWidth="1"/>
    <col min="10" max="10" width="4" style="444" customWidth="1"/>
    <col min="11" max="16384" width="9.109375" style="444"/>
  </cols>
  <sheetData>
    <row r="1" spans="1:28" ht="18">
      <c r="A1" s="135"/>
      <c r="B1" s="135" t="s">
        <v>226</v>
      </c>
    </row>
    <row r="2" spans="1:28" ht="15" thickBot="1">
      <c r="B2" s="647"/>
    </row>
    <row r="3" spans="1:28" ht="15" thickBot="1">
      <c r="B3" s="883" t="str">
        <f>'Models A B C'!B4:M4</f>
        <v>MASTER DATA LOOKUP TABLE</v>
      </c>
      <c r="C3" s="884"/>
      <c r="D3" s="885"/>
      <c r="E3" s="686"/>
      <c r="F3" s="872" t="s">
        <v>227</v>
      </c>
      <c r="G3" s="873"/>
      <c r="H3" s="873"/>
      <c r="I3" s="874"/>
      <c r="J3" s="684"/>
      <c r="K3" s="686"/>
      <c r="L3" s="686"/>
      <c r="M3" s="686"/>
      <c r="N3" s="686"/>
    </row>
    <row r="4" spans="1:28">
      <c r="B4" s="897" t="s">
        <v>55</v>
      </c>
      <c r="C4" s="887"/>
      <c r="D4" s="691" t="s">
        <v>56</v>
      </c>
      <c r="E4" s="684"/>
      <c r="F4" s="692" t="s">
        <v>228</v>
      </c>
      <c r="G4" s="693">
        <f>[7]BlendedModels!N6</f>
        <v>6</v>
      </c>
      <c r="H4" s="696" t="s">
        <v>229</v>
      </c>
      <c r="I4" s="695">
        <f>G4*365</f>
        <v>2190</v>
      </c>
      <c r="J4" s="684"/>
      <c r="K4" s="684"/>
      <c r="L4" s="684"/>
      <c r="M4" s="684"/>
      <c r="O4" s="684"/>
      <c r="P4" s="684"/>
      <c r="Q4" s="684"/>
      <c r="R4" s="684"/>
      <c r="T4" s="701"/>
      <c r="U4" s="701"/>
      <c r="V4" s="701"/>
      <c r="W4" s="701"/>
      <c r="Y4" s="701"/>
      <c r="Z4" s="701"/>
      <c r="AA4" s="701"/>
      <c r="AB4" s="701"/>
    </row>
    <row r="5" spans="1:28" ht="15" customHeight="1">
      <c r="B5" s="648" t="s">
        <v>230</v>
      </c>
      <c r="C5" s="649">
        <f>'[7]AHCS Salary Breakout'!B5</f>
        <v>54265.845095051212</v>
      </c>
      <c r="D5" s="650" t="s">
        <v>401</v>
      </c>
      <c r="F5" s="175" t="s">
        <v>67</v>
      </c>
      <c r="G5" s="176" t="s">
        <v>68</v>
      </c>
      <c r="H5" s="176" t="s">
        <v>69</v>
      </c>
      <c r="I5" s="177" t="s">
        <v>70</v>
      </c>
    </row>
    <row r="6" spans="1:28">
      <c r="B6" s="651" t="s">
        <v>231</v>
      </c>
      <c r="C6" s="652">
        <f>'[7]AHCS Salary Breakout'!B11</f>
        <v>62728.637696237201</v>
      </c>
      <c r="D6" s="650" t="s">
        <v>402</v>
      </c>
      <c r="F6" s="187" t="str">
        <f t="shared" ref="F6:G8" si="0">B5</f>
        <v>Management</v>
      </c>
      <c r="G6" s="183">
        <f t="shared" si="0"/>
        <v>54265.845095051212</v>
      </c>
      <c r="H6" s="184">
        <f t="shared" ref="H6:H11" si="1">C12</f>
        <v>1</v>
      </c>
      <c r="I6" s="236">
        <f t="shared" ref="I6:I11" si="2">G6*H6</f>
        <v>54265.845095051212</v>
      </c>
    </row>
    <row r="7" spans="1:28" ht="15" customHeight="1">
      <c r="B7" s="654" t="s">
        <v>232</v>
      </c>
      <c r="C7" s="652">
        <f>'[7]AHCS Salary Breakout'!B28</f>
        <v>43134.568793597049</v>
      </c>
      <c r="D7" s="650" t="s">
        <v>403</v>
      </c>
      <c r="F7" s="187" t="str">
        <f t="shared" si="0"/>
        <v>Medical</v>
      </c>
      <c r="G7" s="183">
        <f t="shared" si="0"/>
        <v>62728.637696237201</v>
      </c>
      <c r="H7" s="184">
        <f t="shared" si="1"/>
        <v>1.1000000000000001</v>
      </c>
      <c r="I7" s="236">
        <f t="shared" si="2"/>
        <v>69001.501465860929</v>
      </c>
    </row>
    <row r="8" spans="1:28">
      <c r="B8" s="654" t="s">
        <v>96</v>
      </c>
      <c r="C8" s="652">
        <f>'[7]AHCS Salary Breakout'!B27</f>
        <v>28224.841144193815</v>
      </c>
      <c r="D8" s="650" t="s">
        <v>403</v>
      </c>
      <c r="F8" s="187" t="str">
        <f t="shared" si="0"/>
        <v>Clinician / Counselor</v>
      </c>
      <c r="G8" s="655">
        <f t="shared" si="0"/>
        <v>43134.568793597049</v>
      </c>
      <c r="H8" s="184">
        <f t="shared" si="1"/>
        <v>0.6</v>
      </c>
      <c r="I8" s="236">
        <f t="shared" si="2"/>
        <v>25880.741276158227</v>
      </c>
    </row>
    <row r="9" spans="1:28">
      <c r="B9" s="654" t="s">
        <v>79</v>
      </c>
      <c r="C9" s="652">
        <f>C8</f>
        <v>28224.841144193815</v>
      </c>
      <c r="D9" s="653" t="s">
        <v>233</v>
      </c>
      <c r="F9" s="187" t="str">
        <f>B8</f>
        <v>DC Blend (I + II)</v>
      </c>
      <c r="G9" s="183">
        <f>C8</f>
        <v>28224.841144193815</v>
      </c>
      <c r="H9" s="184">
        <f t="shared" si="1"/>
        <v>4.2</v>
      </c>
      <c r="I9" s="236">
        <f t="shared" si="2"/>
        <v>118544.33280561403</v>
      </c>
    </row>
    <row r="10" spans="1:28">
      <c r="B10" s="654" t="s">
        <v>82</v>
      </c>
      <c r="C10" s="652">
        <f>'[7]AHCS Salary Breakout'!B29</f>
        <v>27811.316309872502</v>
      </c>
      <c r="D10" s="650" t="s">
        <v>403</v>
      </c>
      <c r="F10" s="187" t="s">
        <v>79</v>
      </c>
      <c r="G10" s="183">
        <f>C9</f>
        <v>28224.841144193815</v>
      </c>
      <c r="H10" s="184">
        <f t="shared" si="1"/>
        <v>0.64680000000000004</v>
      </c>
      <c r="I10" s="236">
        <f t="shared" si="2"/>
        <v>18255.827252064562</v>
      </c>
    </row>
    <row r="11" spans="1:28">
      <c r="B11" s="656"/>
      <c r="C11" s="551" t="s">
        <v>88</v>
      </c>
      <c r="D11" s="657"/>
      <c r="F11" s="187" t="str">
        <f>B10</f>
        <v>Clerical Support</v>
      </c>
      <c r="G11" s="183">
        <f>C10</f>
        <v>27811.316309872502</v>
      </c>
      <c r="H11" s="184">
        <f t="shared" si="1"/>
        <v>0.15</v>
      </c>
      <c r="I11" s="236">
        <f t="shared" si="2"/>
        <v>4171.6974464808754</v>
      </c>
    </row>
    <row r="12" spans="1:28">
      <c r="B12" s="654" t="str">
        <f>B5</f>
        <v>Management</v>
      </c>
      <c r="C12" s="658">
        <f>[7]BlendedModels!D21</f>
        <v>1</v>
      </c>
      <c r="D12" s="653" t="s">
        <v>234</v>
      </c>
      <c r="F12" s="218" t="s">
        <v>92</v>
      </c>
      <c r="G12" s="219"/>
      <c r="H12" s="220">
        <f>SUM(H6:H11)</f>
        <v>7.6968000000000005</v>
      </c>
      <c r="I12" s="221">
        <f>SUM(I6:I11)</f>
        <v>290119.94534122979</v>
      </c>
    </row>
    <row r="13" spans="1:28" ht="15" customHeight="1">
      <c r="B13" s="651" t="str">
        <f>B6</f>
        <v>Medical</v>
      </c>
      <c r="C13" s="658">
        <f>SUM([7]BlendedModels!D23:D25)</f>
        <v>1.1000000000000001</v>
      </c>
      <c r="D13" s="653" t="s">
        <v>234</v>
      </c>
      <c r="F13" s="228"/>
      <c r="G13" s="235"/>
      <c r="H13" s="564"/>
      <c r="I13" s="230"/>
    </row>
    <row r="14" spans="1:28">
      <c r="B14" s="651" t="str">
        <f>B7</f>
        <v>Clinician / Counselor</v>
      </c>
      <c r="C14" s="658">
        <f>[7]BlendedModels!D22</f>
        <v>0.6</v>
      </c>
      <c r="D14" s="653" t="s">
        <v>235</v>
      </c>
      <c r="F14" s="234" t="s">
        <v>93</v>
      </c>
      <c r="H14" s="659">
        <f>C19</f>
        <v>0.22602863541922683</v>
      </c>
      <c r="I14" s="236">
        <f>H14*I12</f>
        <v>65575.415353378849</v>
      </c>
    </row>
    <row r="15" spans="1:28" ht="15" customHeight="1" thickBot="1">
      <c r="B15" s="654" t="s">
        <v>96</v>
      </c>
      <c r="C15" s="658">
        <f>[7]BlendedModels!D26</f>
        <v>4.2</v>
      </c>
      <c r="D15" s="653" t="s">
        <v>234</v>
      </c>
      <c r="F15" s="241" t="s">
        <v>94</v>
      </c>
      <c r="G15" s="660"/>
      <c r="H15" s="661"/>
      <c r="I15" s="243">
        <f>I12+I14</f>
        <v>355695.36069460865</v>
      </c>
    </row>
    <row r="16" spans="1:28" ht="15" thickTop="1">
      <c r="B16" s="654" t="s">
        <v>79</v>
      </c>
      <c r="C16" s="658">
        <f>C15*15.4%</f>
        <v>0.64680000000000004</v>
      </c>
      <c r="D16" s="653" t="s">
        <v>236</v>
      </c>
      <c r="F16" s="571"/>
      <c r="G16" s="662"/>
      <c r="H16" s="573"/>
      <c r="I16" s="574"/>
    </row>
    <row r="17" spans="2:9">
      <c r="B17" s="654" t="s">
        <v>82</v>
      </c>
      <c r="C17" s="658">
        <f>[7]BlendedModels!D30*0.6</f>
        <v>0.15</v>
      </c>
      <c r="D17" s="653" t="s">
        <v>238</v>
      </c>
      <c r="F17" s="584" t="s">
        <v>186</v>
      </c>
      <c r="H17" s="663" t="s">
        <v>237</v>
      </c>
      <c r="I17" s="574"/>
    </row>
    <row r="18" spans="2:9">
      <c r="B18" s="898" t="s">
        <v>99</v>
      </c>
      <c r="C18" s="899"/>
      <c r="D18" s="665"/>
      <c r="F18" s="234" t="str">
        <f>B20</f>
        <v>Occupancy (per bed day)</v>
      </c>
      <c r="H18" s="250">
        <f>C20</f>
        <v>17.190000000000001</v>
      </c>
      <c r="I18" s="664">
        <f>H18*I4</f>
        <v>37646.100000000006</v>
      </c>
    </row>
    <row r="19" spans="2:9" ht="15" customHeight="1">
      <c r="B19" s="666" t="s">
        <v>100</v>
      </c>
      <c r="C19" s="667">
        <f>'[7]FY16 Contracts'!C42</f>
        <v>0.22602863541922683</v>
      </c>
      <c r="D19" s="650" t="s">
        <v>101</v>
      </c>
      <c r="F19" s="234" t="str">
        <f>B21</f>
        <v>Meals (per bed day)</v>
      </c>
      <c r="H19" s="250">
        <f>C21</f>
        <v>8.16</v>
      </c>
      <c r="I19" s="664">
        <f>H19*I4</f>
        <v>17870.400000000001</v>
      </c>
    </row>
    <row r="20" spans="2:9">
      <c r="B20" s="668" t="s">
        <v>239</v>
      </c>
      <c r="C20" s="250">
        <v>17.190000000000001</v>
      </c>
      <c r="D20" s="669" t="s">
        <v>240</v>
      </c>
      <c r="F20" s="234" t="str">
        <f>B22</f>
        <v>Other Expenses (per  DC FTE)</v>
      </c>
      <c r="H20" s="179">
        <f>C22</f>
        <v>1668.9958313837251</v>
      </c>
      <c r="I20" s="664">
        <f>H20*H9</f>
        <v>7009.7824918116457</v>
      </c>
    </row>
    <row r="21" spans="2:9">
      <c r="B21" s="668" t="s">
        <v>108</v>
      </c>
      <c r="C21" s="250">
        <v>8.16</v>
      </c>
      <c r="D21" s="653" t="s">
        <v>191</v>
      </c>
      <c r="F21" s="234" t="str">
        <f>B23</f>
        <v>Direct Admin Expenses (per DC FTE)</v>
      </c>
      <c r="H21" s="179">
        <f>C23</f>
        <v>1121.0773320855844</v>
      </c>
      <c r="I21" s="664">
        <f>H21*H9</f>
        <v>4708.5247947594544</v>
      </c>
    </row>
    <row r="22" spans="2:9" ht="14.25" customHeight="1">
      <c r="B22" s="668" t="s">
        <v>241</v>
      </c>
      <c r="C22" s="179">
        <f>[7]BlendedModels!D37</f>
        <v>1668.9958313837251</v>
      </c>
      <c r="D22" s="653" t="s">
        <v>234</v>
      </c>
      <c r="F22" s="218" t="s">
        <v>194</v>
      </c>
      <c r="G22" s="670"/>
      <c r="H22" s="600"/>
      <c r="I22" s="601">
        <f>SUM(I18:I21)</f>
        <v>67234.8072865711</v>
      </c>
    </row>
    <row r="23" spans="2:9">
      <c r="B23" s="668" t="s">
        <v>242</v>
      </c>
      <c r="C23" s="179">
        <f>[7]BlendedModels!D38</f>
        <v>1121.0773320855844</v>
      </c>
      <c r="D23" s="653" t="s">
        <v>234</v>
      </c>
      <c r="F23" s="234"/>
      <c r="G23" s="235"/>
      <c r="H23" s="267"/>
      <c r="I23" s="268"/>
    </row>
    <row r="24" spans="2:9" ht="15" thickBot="1">
      <c r="B24" s="671" t="s">
        <v>115</v>
      </c>
      <c r="C24" s="659">
        <f>[7]BlendedModels!D39</f>
        <v>0.12</v>
      </c>
      <c r="D24" s="672" t="s">
        <v>116</v>
      </c>
      <c r="F24" s="276" t="s">
        <v>102</v>
      </c>
      <c r="G24" s="277"/>
      <c r="H24" s="277"/>
      <c r="I24" s="278">
        <f>I15+I22</f>
        <v>422930.16798117978</v>
      </c>
    </row>
    <row r="25" spans="2:9" ht="15.6" thickTop="1" thickBot="1">
      <c r="B25" s="671" t="s">
        <v>172</v>
      </c>
      <c r="C25" s="659">
        <f>'[7]Fall2016 CAF'!BJ39</f>
        <v>5.4305515997341604E-2</v>
      </c>
      <c r="D25" s="672" t="s">
        <v>195</v>
      </c>
      <c r="F25" s="234" t="s">
        <v>105</v>
      </c>
      <c r="G25" s="608">
        <f>C24</f>
        <v>0.12</v>
      </c>
      <c r="H25" s="235"/>
      <c r="I25" s="236">
        <f>G25*I24</f>
        <v>50751.62015774157</v>
      </c>
    </row>
    <row r="26" spans="2:9" ht="15" thickBot="1">
      <c r="B26" s="713" t="s">
        <v>173</v>
      </c>
      <c r="C26" s="717">
        <f>'Fall 2018'!BQ23</f>
        <v>2.3531493276716206E-2</v>
      </c>
      <c r="D26" s="714" t="s">
        <v>174</v>
      </c>
      <c r="F26" s="231"/>
      <c r="G26" s="604"/>
      <c r="H26" s="210"/>
      <c r="I26" s="226"/>
    </row>
    <row r="27" spans="2:9" ht="15" thickBot="1">
      <c r="B27" s="715" t="s">
        <v>175</v>
      </c>
      <c r="C27" s="718">
        <v>6.3E-3</v>
      </c>
      <c r="D27" s="716" t="s">
        <v>176</v>
      </c>
      <c r="F27" s="273" t="s">
        <v>110</v>
      </c>
      <c r="G27" s="606"/>
      <c r="H27" s="287"/>
      <c r="I27" s="288">
        <f>I24+I25</f>
        <v>473681.78813892137</v>
      </c>
    </row>
    <row r="28" spans="2:9">
      <c r="F28" s="231" t="s">
        <v>172</v>
      </c>
      <c r="G28" s="608">
        <f>C25</f>
        <v>5.4305515997341604E-2</v>
      </c>
      <c r="H28" s="210"/>
      <c r="I28" s="289">
        <f>I27*(1+G28)</f>
        <v>499405.32206234895</v>
      </c>
    </row>
    <row r="29" spans="2:9" ht="15" thickBot="1">
      <c r="F29" s="231" t="s">
        <v>173</v>
      </c>
      <c r="G29" s="719">
        <f>C26</f>
        <v>2.3531493276716206E-2</v>
      </c>
      <c r="H29" s="609"/>
      <c r="I29" s="610">
        <f>I28*(G29+1)</f>
        <v>511157.07504081534</v>
      </c>
    </row>
    <row r="30" spans="2:9" ht="14.25" customHeight="1" thickBot="1">
      <c r="F30" s="708" t="s">
        <v>175</v>
      </c>
      <c r="G30" s="709">
        <f>C27</f>
        <v>6.3E-3</v>
      </c>
      <c r="H30" s="710"/>
      <c r="I30" s="731">
        <f>I12*(G28+1)*(G29+1)*G30</f>
        <v>1972.3583600331074</v>
      </c>
    </row>
    <row r="31" spans="2:9" ht="15" thickBot="1">
      <c r="F31" s="729" t="s">
        <v>110</v>
      </c>
      <c r="G31" s="494"/>
      <c r="H31" s="494"/>
      <c r="I31" s="495">
        <f>I30+I29</f>
        <v>513129.43340084847</v>
      </c>
    </row>
    <row r="32" spans="2:9" ht="15" thickBot="1">
      <c r="F32" s="730" t="s">
        <v>253</v>
      </c>
      <c r="G32" s="494"/>
      <c r="H32" s="494"/>
      <c r="I32" s="732">
        <f>I31/I4</f>
        <v>234.30567735198559</v>
      </c>
    </row>
    <row r="37" ht="15" customHeight="1"/>
  </sheetData>
  <mergeCells count="4">
    <mergeCell ref="B3:D3"/>
    <mergeCell ref="F3:I3"/>
    <mergeCell ref="B4:C4"/>
    <mergeCell ref="B18:C18"/>
  </mergeCells>
  <pageMargins left="0.2" right="0.2" top="0.25" bottom="0.25" header="0.3" footer="0.3"/>
  <pageSetup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B41"/>
  <sheetViews>
    <sheetView tabSelected="1" zoomScale="90" zoomScaleNormal="90" workbookViewId="0">
      <selection activeCell="D29" sqref="D29"/>
    </sheetView>
  </sheetViews>
  <sheetFormatPr defaultColWidth="9.109375" defaultRowHeight="14.4"/>
  <cols>
    <col min="1" max="1" width="3.6640625" style="444" customWidth="1"/>
    <col min="2" max="2" width="42.6640625" style="136" customWidth="1"/>
    <col min="3" max="3" width="9.88671875" style="136" customWidth="1"/>
    <col min="4" max="4" width="73.33203125" style="444" customWidth="1"/>
    <col min="5" max="5" width="5.88671875" style="444" customWidth="1"/>
    <col min="6" max="6" width="30.109375" style="444" customWidth="1"/>
    <col min="7" max="7" width="11.5546875" style="444" customWidth="1"/>
    <col min="8" max="8" width="10.5546875" style="444" customWidth="1"/>
    <col min="9" max="9" width="11.33203125" style="444" customWidth="1"/>
    <col min="10" max="10" width="9.109375" style="444"/>
    <col min="11" max="11" width="11.88671875" style="137" customWidth="1"/>
    <col min="12" max="12" width="22.33203125" style="444" customWidth="1"/>
    <col min="13" max="14" width="9.109375" style="444"/>
    <col min="15" max="15" width="12.109375" style="444" customWidth="1"/>
    <col min="16" max="16384" width="9.109375" style="444"/>
  </cols>
  <sheetData>
    <row r="1" spans="1:28" ht="18">
      <c r="A1" s="135" t="s">
        <v>243</v>
      </c>
      <c r="B1" s="673"/>
    </row>
    <row r="2" spans="1:28" ht="15" thickBot="1">
      <c r="B2" s="674">
        <v>42739</v>
      </c>
      <c r="C2" s="675"/>
      <c r="D2" s="676"/>
    </row>
    <row r="3" spans="1:28" ht="15" thickBot="1">
      <c r="B3" s="883" t="str">
        <f>'Models A B C'!B4:M4</f>
        <v>MASTER DATA LOOKUP TABLE</v>
      </c>
      <c r="C3" s="884"/>
      <c r="D3" s="885"/>
      <c r="E3" s="686"/>
      <c r="F3" s="872" t="s">
        <v>244</v>
      </c>
      <c r="G3" s="873"/>
      <c r="H3" s="873"/>
      <c r="I3" s="874"/>
      <c r="J3" s="684"/>
      <c r="K3" s="687"/>
      <c r="L3" s="686"/>
      <c r="M3" s="686"/>
      <c r="N3" s="686"/>
    </row>
    <row r="4" spans="1:28">
      <c r="B4" s="897" t="s">
        <v>55</v>
      </c>
      <c r="C4" s="887"/>
      <c r="D4" s="691" t="s">
        <v>56</v>
      </c>
      <c r="E4" s="684"/>
      <c r="F4" s="692" t="s">
        <v>245</v>
      </c>
      <c r="G4" s="693">
        <f>[7]BlendedModels!S7</f>
        <v>10</v>
      </c>
      <c r="H4" s="694" t="s">
        <v>246</v>
      </c>
      <c r="I4" s="695">
        <f>G4*365/2</f>
        <v>1825</v>
      </c>
      <c r="J4" s="684"/>
      <c r="K4" s="685"/>
      <c r="L4" s="684"/>
      <c r="M4" s="684"/>
      <c r="O4" s="684"/>
      <c r="P4" s="684"/>
      <c r="Q4" s="684"/>
      <c r="R4" s="684"/>
      <c r="T4" s="701"/>
      <c r="U4" s="701"/>
      <c r="V4" s="701"/>
      <c r="W4" s="701"/>
      <c r="Y4" s="701"/>
      <c r="Z4" s="701"/>
      <c r="AA4" s="701"/>
      <c r="AB4" s="701"/>
    </row>
    <row r="5" spans="1:28">
      <c r="B5" s="648" t="s">
        <v>230</v>
      </c>
      <c r="C5" s="649">
        <f>'[7]AHCS Salary Breakout'!B5</f>
        <v>54265.845095051212</v>
      </c>
      <c r="D5" s="650" t="s">
        <v>401</v>
      </c>
      <c r="F5" s="175" t="s">
        <v>67</v>
      </c>
      <c r="G5" s="176" t="s">
        <v>68</v>
      </c>
      <c r="H5" s="176" t="s">
        <v>69</v>
      </c>
      <c r="I5" s="177" t="s">
        <v>70</v>
      </c>
    </row>
    <row r="6" spans="1:28">
      <c r="B6" s="651" t="s">
        <v>231</v>
      </c>
      <c r="C6" s="652">
        <f>'[7]AHCS Salary Breakout'!B11</f>
        <v>62728.637696237201</v>
      </c>
      <c r="D6" s="650" t="s">
        <v>401</v>
      </c>
      <c r="F6" s="187" t="s">
        <v>230</v>
      </c>
      <c r="G6" s="183">
        <f>C5</f>
        <v>54265.845095051212</v>
      </c>
      <c r="H6" s="184">
        <f>C11</f>
        <v>0.25</v>
      </c>
      <c r="I6" s="236">
        <f>G6*H6</f>
        <v>13566.461273762803</v>
      </c>
    </row>
    <row r="7" spans="1:28">
      <c r="B7" s="654" t="s">
        <v>232</v>
      </c>
      <c r="C7" s="652">
        <f>'[7]AHCS Salary Breakout'!B28</f>
        <v>43134.568793597049</v>
      </c>
      <c r="D7" s="650" t="s">
        <v>401</v>
      </c>
      <c r="F7" s="187" t="s">
        <v>231</v>
      </c>
      <c r="G7" s="183">
        <f>C6</f>
        <v>62728.637696237201</v>
      </c>
      <c r="H7" s="184">
        <f>C12</f>
        <v>0.5</v>
      </c>
      <c r="I7" s="236">
        <f t="shared" ref="I7:I10" si="0">G7*H7</f>
        <v>31364.318848118601</v>
      </c>
    </row>
    <row r="8" spans="1:28">
      <c r="B8" s="654" t="s">
        <v>96</v>
      </c>
      <c r="C8" s="652">
        <f>'[7]AHCS Salary Breakout'!B27</f>
        <v>28224.841144193815</v>
      </c>
      <c r="D8" s="650" t="s">
        <v>401</v>
      </c>
      <c r="F8" s="187" t="s">
        <v>232</v>
      </c>
      <c r="G8" s="655">
        <f>C7</f>
        <v>43134.568793597049</v>
      </c>
      <c r="H8" s="184">
        <f>C13</f>
        <v>0.5</v>
      </c>
      <c r="I8" s="236">
        <f t="shared" si="0"/>
        <v>21567.284396798525</v>
      </c>
    </row>
    <row r="9" spans="1:28">
      <c r="B9" s="677" t="s">
        <v>82</v>
      </c>
      <c r="C9" s="190">
        <f>'[7]AHCS Salary Breakout'!B29</f>
        <v>27811.316309872502</v>
      </c>
      <c r="D9" s="650" t="s">
        <v>401</v>
      </c>
      <c r="F9" s="187" t="str">
        <f>B8</f>
        <v>DC Blend (I + II)</v>
      </c>
      <c r="G9" s="183">
        <f>C8</f>
        <v>28224.841144193815</v>
      </c>
      <c r="H9" s="184">
        <f>C14</f>
        <v>1.4</v>
      </c>
      <c r="I9" s="236">
        <f t="shared" si="0"/>
        <v>39514.777601871341</v>
      </c>
      <c r="J9" s="137"/>
      <c r="K9" s="444"/>
    </row>
    <row r="10" spans="1:28">
      <c r="B10" s="678"/>
      <c r="C10" s="679" t="s">
        <v>88</v>
      </c>
      <c r="D10" s="680"/>
      <c r="F10" s="187" t="s">
        <v>82</v>
      </c>
      <c r="G10" s="183">
        <f>C9</f>
        <v>27811.316309872502</v>
      </c>
      <c r="H10" s="184">
        <f>C15</f>
        <v>0.25</v>
      </c>
      <c r="I10" s="236">
        <f t="shared" si="0"/>
        <v>6952.8290774681254</v>
      </c>
      <c r="J10" s="137"/>
      <c r="K10" s="444"/>
    </row>
    <row r="11" spans="1:28">
      <c r="B11" s="654" t="s">
        <v>230</v>
      </c>
      <c r="C11" s="658">
        <v>0.25</v>
      </c>
      <c r="D11" s="653" t="s">
        <v>91</v>
      </c>
      <c r="F11" s="218" t="s">
        <v>92</v>
      </c>
      <c r="G11" s="219"/>
      <c r="H11" s="220">
        <f>SUM(H6:H10)</f>
        <v>2.9</v>
      </c>
      <c r="I11" s="221">
        <f>SUM(I6:I10)</f>
        <v>112965.67119801939</v>
      </c>
      <c r="J11" s="137"/>
      <c r="K11" s="444"/>
    </row>
    <row r="12" spans="1:28">
      <c r="B12" s="651" t="s">
        <v>231</v>
      </c>
      <c r="C12" s="658">
        <f>[7]BlendedModels!D24</f>
        <v>0.5</v>
      </c>
      <c r="D12" s="653" t="s">
        <v>247</v>
      </c>
      <c r="F12" s="228"/>
      <c r="G12" s="235"/>
      <c r="H12" s="564"/>
      <c r="I12" s="230"/>
      <c r="J12" s="137"/>
      <c r="K12" s="444"/>
    </row>
    <row r="13" spans="1:28">
      <c r="B13" s="651" t="s">
        <v>232</v>
      </c>
      <c r="C13" s="658">
        <f>C12</f>
        <v>0.5</v>
      </c>
      <c r="D13" s="653" t="s">
        <v>247</v>
      </c>
      <c r="F13" s="234" t="s">
        <v>93</v>
      </c>
      <c r="H13" s="659">
        <v>0.22602863541922683</v>
      </c>
      <c r="I13" s="236">
        <v>61685.379609500043</v>
      </c>
      <c r="J13" s="137"/>
      <c r="K13" s="444"/>
    </row>
    <row r="14" spans="1:28" ht="15" thickBot="1">
      <c r="B14" s="654" t="str">
        <f>B8</f>
        <v>DC Blend (I + II)</v>
      </c>
      <c r="C14" s="658">
        <f>[7]BlendedModels!D28</f>
        <v>1.4</v>
      </c>
      <c r="D14" s="653" t="s">
        <v>234</v>
      </c>
      <c r="F14" s="241" t="s">
        <v>94</v>
      </c>
      <c r="G14" s="660"/>
      <c r="H14" s="661"/>
      <c r="I14" s="243">
        <f>I11+I13</f>
        <v>174651.05080751944</v>
      </c>
      <c r="J14" s="137"/>
      <c r="K14" s="444"/>
    </row>
    <row r="15" spans="1:28" ht="15" thickTop="1">
      <c r="B15" s="654" t="s">
        <v>82</v>
      </c>
      <c r="C15" s="658">
        <f>[7]BlendedModels!D30</f>
        <v>0.25</v>
      </c>
      <c r="D15" s="653" t="s">
        <v>234</v>
      </c>
      <c r="F15" s="571"/>
      <c r="G15" s="662"/>
      <c r="H15" s="573"/>
      <c r="I15" s="574"/>
      <c r="J15" s="137"/>
      <c r="K15" s="444"/>
    </row>
    <row r="16" spans="1:28">
      <c r="B16" s="898" t="s">
        <v>99</v>
      </c>
      <c r="C16" s="899"/>
      <c r="D16" s="665"/>
      <c r="F16" s="584" t="s">
        <v>186</v>
      </c>
      <c r="H16" s="663" t="s">
        <v>237</v>
      </c>
      <c r="I16" s="574"/>
    </row>
    <row r="17" spans="2:9">
      <c r="B17" s="666" t="s">
        <v>100</v>
      </c>
      <c r="C17" s="667">
        <v>0.22602863541922683</v>
      </c>
      <c r="D17" s="650" t="s">
        <v>101</v>
      </c>
      <c r="F17" s="681" t="str">
        <f>B18</f>
        <v>Occupancy (per Management plus Clerical FTE)</v>
      </c>
      <c r="H17" s="250">
        <f>C18</f>
        <v>16.5</v>
      </c>
      <c r="I17" s="682">
        <f>H17*100*(H6+H10)</f>
        <v>825</v>
      </c>
    </row>
    <row r="18" spans="2:9">
      <c r="B18" s="668" t="s">
        <v>249</v>
      </c>
      <c r="C18" s="250">
        <v>16.5</v>
      </c>
      <c r="D18" s="653" t="s">
        <v>250</v>
      </c>
      <c r="F18" s="681" t="s">
        <v>248</v>
      </c>
      <c r="H18" s="250">
        <f>C19</f>
        <v>26.53</v>
      </c>
      <c r="I18" s="682">
        <f>H18*365*0.5</f>
        <v>4841.7250000000004</v>
      </c>
    </row>
    <row r="19" spans="2:9">
      <c r="B19" s="668" t="s">
        <v>251</v>
      </c>
      <c r="C19" s="250">
        <v>26.53</v>
      </c>
      <c r="D19" s="653" t="s">
        <v>252</v>
      </c>
      <c r="F19" s="234" t="str">
        <f>B20</f>
        <v>Other Expenses (per FTE)</v>
      </c>
      <c r="H19" s="179">
        <f>C20</f>
        <v>571</v>
      </c>
      <c r="I19" s="682">
        <f>H19*H11</f>
        <v>1655.8999999999999</v>
      </c>
    </row>
    <row r="20" spans="2:9">
      <c r="B20" s="668" t="s">
        <v>111</v>
      </c>
      <c r="C20" s="179">
        <v>571</v>
      </c>
      <c r="D20" s="653" t="s">
        <v>250</v>
      </c>
      <c r="F20" s="218" t="s">
        <v>194</v>
      </c>
      <c r="G20" s="670"/>
      <c r="H20" s="600"/>
      <c r="I20" s="601">
        <f>SUM(I17:I19)</f>
        <v>7322.625</v>
      </c>
    </row>
    <row r="21" spans="2:9">
      <c r="B21" s="671" t="s">
        <v>115</v>
      </c>
      <c r="C21" s="659">
        <v>0.12</v>
      </c>
      <c r="D21" s="672" t="s">
        <v>116</v>
      </c>
      <c r="F21" s="234"/>
      <c r="G21" s="235"/>
      <c r="H21" s="267"/>
      <c r="I21" s="268"/>
    </row>
    <row r="22" spans="2:9" ht="15" thickBot="1">
      <c r="B22" s="671" t="s">
        <v>172</v>
      </c>
      <c r="C22" s="659">
        <v>5.4305515997341604E-2</v>
      </c>
      <c r="D22" s="672" t="s">
        <v>195</v>
      </c>
      <c r="F22" s="276" t="s">
        <v>102</v>
      </c>
      <c r="G22" s="277"/>
      <c r="H22" s="277"/>
      <c r="I22" s="278">
        <f>I14+I20</f>
        <v>181973.67580751944</v>
      </c>
    </row>
    <row r="23" spans="2:9" ht="15.6" thickTop="1" thickBot="1">
      <c r="B23" s="713" t="s">
        <v>173</v>
      </c>
      <c r="C23" s="717">
        <f>'Fall 2018'!BQ23</f>
        <v>2.3531493276716206E-2</v>
      </c>
      <c r="D23" s="736" t="s">
        <v>174</v>
      </c>
      <c r="F23" s="234" t="s">
        <v>105</v>
      </c>
      <c r="G23" s="608">
        <v>0.12</v>
      </c>
      <c r="H23" s="235"/>
      <c r="I23" s="236">
        <f>I22*G23</f>
        <v>21836.841096902332</v>
      </c>
    </row>
    <row r="24" spans="2:9" ht="15" thickBot="1">
      <c r="B24" s="715" t="s">
        <v>175</v>
      </c>
      <c r="C24" s="718">
        <v>6.3E-3</v>
      </c>
      <c r="D24" s="737" t="s">
        <v>176</v>
      </c>
      <c r="F24" s="231"/>
      <c r="G24" s="604"/>
      <c r="H24" s="210"/>
      <c r="I24" s="226"/>
    </row>
    <row r="25" spans="2:9" ht="15" thickBot="1">
      <c r="F25" s="273" t="s">
        <v>110</v>
      </c>
      <c r="G25" s="606"/>
      <c r="H25" s="287"/>
      <c r="I25" s="288">
        <f>I22+I23</f>
        <v>203810.51690442176</v>
      </c>
    </row>
    <row r="26" spans="2:9" ht="15" thickTop="1">
      <c r="F26" s="231" t="s">
        <v>172</v>
      </c>
      <c r="G26" s="608">
        <v>5.4305515997341604E-2</v>
      </c>
      <c r="H26" s="210"/>
      <c r="I26" s="289">
        <f>I25*(1+G26)</f>
        <v>214878.5521906013</v>
      </c>
    </row>
    <row r="27" spans="2:9" ht="15" thickBot="1">
      <c r="F27" s="231" t="s">
        <v>173</v>
      </c>
      <c r="G27" s="719">
        <f>C23</f>
        <v>2.3531493276716206E-2</v>
      </c>
      <c r="H27" s="609"/>
      <c r="I27" s="734">
        <f>I26*(G27+1)</f>
        <v>219934.96539678492</v>
      </c>
    </row>
    <row r="28" spans="2:9" ht="15" thickBot="1">
      <c r="F28" s="708" t="s">
        <v>175</v>
      </c>
      <c r="G28" s="733">
        <f>C24</f>
        <v>6.3E-3</v>
      </c>
      <c r="H28" s="727"/>
      <c r="I28" s="735">
        <f>I11*(G26+1)*(G27+1)*G28</f>
        <v>767.98851496440261</v>
      </c>
    </row>
    <row r="29" spans="2:9" ht="15" thickBot="1">
      <c r="F29" s="729" t="s">
        <v>110</v>
      </c>
      <c r="G29" s="727"/>
      <c r="H29" s="727"/>
      <c r="I29" s="728">
        <f>I28+I27</f>
        <v>220702.95391174933</v>
      </c>
    </row>
    <row r="30" spans="2:9" ht="15" thickBot="1">
      <c r="E30" s="683"/>
      <c r="F30" s="730" t="s">
        <v>253</v>
      </c>
      <c r="G30" s="727"/>
      <c r="H30" s="727"/>
      <c r="I30" s="732">
        <f>I29/I4</f>
        <v>120.93312543109552</v>
      </c>
    </row>
    <row r="31" spans="2:9">
      <c r="E31" s="683"/>
    </row>
    <row r="32" spans="2:9">
      <c r="E32" s="683"/>
    </row>
    <row r="33" spans="5:5">
      <c r="E33" s="683"/>
    </row>
    <row r="34" spans="5:5">
      <c r="E34" s="683"/>
    </row>
    <row r="35" spans="5:5">
      <c r="E35" s="683"/>
    </row>
    <row r="36" spans="5:5">
      <c r="E36" s="683"/>
    </row>
    <row r="37" spans="5:5">
      <c r="E37" s="683"/>
    </row>
    <row r="38" spans="5:5">
      <c r="E38" s="683"/>
    </row>
    <row r="39" spans="5:5">
      <c r="E39" s="683"/>
    </row>
    <row r="40" spans="5:5">
      <c r="E40" s="139"/>
    </row>
    <row r="41" spans="5:5">
      <c r="E41" s="139"/>
    </row>
  </sheetData>
  <mergeCells count="4">
    <mergeCell ref="B3:D3"/>
    <mergeCell ref="F3:I3"/>
    <mergeCell ref="B4:C4"/>
    <mergeCell ref="B16:C16"/>
  </mergeCells>
  <pageMargins left="0.2" right="0.2" top="0.25" bottom="0.25" header="0.3" footer="0.3"/>
  <pageSetup scale="6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tabColor theme="8" tint="-0.249977111117893"/>
    <pageSetUpPr fitToPage="1"/>
  </sheetPr>
  <dimension ref="A1:AB121"/>
  <sheetViews>
    <sheetView workbookViewId="0">
      <selection activeCell="E81" sqref="E81"/>
    </sheetView>
  </sheetViews>
  <sheetFormatPr defaultColWidth="9.109375" defaultRowHeight="14.4"/>
  <cols>
    <col min="1" max="1" width="15.5546875" style="2" customWidth="1"/>
    <col min="2" max="2" width="19.109375" style="2" customWidth="1"/>
    <col min="3" max="3" width="12.33203125" style="2" customWidth="1"/>
    <col min="4" max="4" width="16" style="3" customWidth="1"/>
    <col min="5" max="5" width="14.88671875" style="2" customWidth="1"/>
    <col min="6" max="6" width="15" style="3" customWidth="1"/>
    <col min="7" max="7" width="12.6640625" style="2" customWidth="1"/>
    <col min="8" max="8" width="12" style="2" customWidth="1"/>
    <col min="9" max="10" width="15.33203125" style="3" customWidth="1"/>
    <col min="11" max="11" width="15" style="3" customWidth="1"/>
    <col min="12" max="12" width="16.44140625" style="3" customWidth="1"/>
    <col min="13" max="13" width="17.109375" style="2" customWidth="1"/>
    <col min="14" max="15" width="15.33203125" style="2" customWidth="1"/>
    <col min="16" max="16" width="17.33203125" style="2" customWidth="1"/>
    <col min="17" max="17" width="13" style="2" customWidth="1"/>
    <col min="18" max="18" width="16.33203125" style="2" customWidth="1"/>
    <col min="19" max="19" width="4" style="2" customWidth="1"/>
    <col min="20" max="20" width="18.44140625" style="3" customWidth="1"/>
    <col min="21" max="21" width="12.6640625" style="2" customWidth="1"/>
    <col min="22" max="22" width="11.6640625" style="2" customWidth="1"/>
    <col min="23" max="23" width="9.109375" style="2"/>
    <col min="24" max="24" width="10" style="2" bestFit="1" customWidth="1"/>
    <col min="25" max="26" width="9.109375" style="2"/>
    <col min="27" max="27" width="16.109375" style="2" customWidth="1"/>
    <col min="28" max="16384" width="9.109375" style="2"/>
  </cols>
  <sheetData>
    <row r="1" spans="1:21" ht="21.75" customHeight="1" thickBot="1">
      <c r="A1" s="1" t="s">
        <v>0</v>
      </c>
      <c r="F1" s="4"/>
      <c r="G1" s="5"/>
      <c r="H1" s="5"/>
      <c r="I1" s="4"/>
      <c r="J1" s="4"/>
      <c r="K1" s="4"/>
      <c r="L1" s="4"/>
      <c r="M1" s="6">
        <f>[6]BlendedModels!D40</f>
        <v>5.4305515997341604E-2</v>
      </c>
      <c r="N1" s="5"/>
      <c r="O1" s="5"/>
    </row>
    <row r="2" spans="1:21" ht="15" thickBot="1">
      <c r="F2" s="4"/>
      <c r="G2" s="5"/>
      <c r="H2" s="5"/>
      <c r="I2" s="913" t="s">
        <v>143</v>
      </c>
      <c r="J2" s="914"/>
      <c r="K2" s="914"/>
      <c r="L2" s="915"/>
      <c r="M2" s="5"/>
      <c r="N2" s="5"/>
      <c r="O2" s="5"/>
      <c r="P2" s="5"/>
    </row>
    <row r="3" spans="1:21" s="12" customFormat="1" ht="42.75" customHeight="1" thickBot="1">
      <c r="A3" s="7" t="s">
        <v>1</v>
      </c>
      <c r="B3" s="8" t="s">
        <v>2</v>
      </c>
      <c r="C3" s="9" t="s">
        <v>3</v>
      </c>
      <c r="D3" s="10" t="s">
        <v>4</v>
      </c>
      <c r="E3" s="324" t="s">
        <v>5</v>
      </c>
      <c r="F3" s="383" t="s">
        <v>136</v>
      </c>
      <c r="G3" s="325" t="s">
        <v>7</v>
      </c>
      <c r="H3" s="9" t="s">
        <v>8</v>
      </c>
      <c r="I3" s="338" t="s">
        <v>137</v>
      </c>
      <c r="J3" s="338" t="s">
        <v>138</v>
      </c>
      <c r="K3" s="338" t="s">
        <v>139</v>
      </c>
      <c r="L3" s="449" t="s">
        <v>157</v>
      </c>
      <c r="M3" s="11" t="s">
        <v>9</v>
      </c>
      <c r="N3" s="460" t="s">
        <v>10</v>
      </c>
      <c r="O3" s="11" t="s">
        <v>159</v>
      </c>
      <c r="P3" s="837" t="s">
        <v>11</v>
      </c>
      <c r="Q3" s="838"/>
      <c r="R3" s="839"/>
      <c r="T3" s="320"/>
    </row>
    <row r="4" spans="1:21" s="5" customFormat="1">
      <c r="A4" s="13" t="s">
        <v>12</v>
      </c>
      <c r="B4" s="14" t="s">
        <v>13</v>
      </c>
      <c r="C4" s="4">
        <v>4220</v>
      </c>
      <c r="D4" s="326" t="s">
        <v>14</v>
      </c>
      <c r="E4" s="16">
        <v>500000</v>
      </c>
      <c r="F4" s="384">
        <f>[6]BlendedModels!P40</f>
        <v>636251.59056600067</v>
      </c>
      <c r="G4" s="840">
        <f>SUM(F4:F6)-SUM(E4:E6)</f>
        <v>99557.181132001337</v>
      </c>
      <c r="H4" s="900">
        <f>G4/SUM(E4:E6)</f>
        <v>8.4877889631748887E-2</v>
      </c>
      <c r="I4" s="339">
        <f>P8</f>
        <v>646921.43845645536</v>
      </c>
      <c r="J4" s="910">
        <f>SUM(I4:I6)-SUM(E4:E6)</f>
        <v>120896.87691291072</v>
      </c>
      <c r="K4" s="912">
        <f>J4/(SUM(E4:E6))</f>
        <v>0.1030711361928944</v>
      </c>
      <c r="L4" s="450">
        <f>I4*0.75</f>
        <v>485191.07884234155</v>
      </c>
      <c r="M4" s="18">
        <f t="shared" ref="M4:M27" si="0">E4*($M$1+1)</f>
        <v>527152.7579986708</v>
      </c>
      <c r="N4" s="461">
        <f>(M4/12)*2</f>
        <v>87858.792999778467</v>
      </c>
      <c r="O4" s="18">
        <f>M4*0.25</f>
        <v>131788.1894996677</v>
      </c>
      <c r="P4" s="20">
        <v>13</v>
      </c>
      <c r="Q4" s="20">
        <v>24</v>
      </c>
      <c r="R4" s="20">
        <v>34</v>
      </c>
      <c r="T4" s="4"/>
    </row>
    <row r="5" spans="1:21" s="5" customFormat="1">
      <c r="A5" s="21" t="s">
        <v>15</v>
      </c>
      <c r="B5" s="14" t="s">
        <v>13</v>
      </c>
      <c r="C5" s="4">
        <v>4220</v>
      </c>
      <c r="D5" s="844" t="s">
        <v>14</v>
      </c>
      <c r="E5" s="22">
        <v>302489</v>
      </c>
      <c r="F5" s="902">
        <f>[6]BlendedModels!P40</f>
        <v>636251.59056600067</v>
      </c>
      <c r="G5" s="840"/>
      <c r="H5" s="900"/>
      <c r="I5" s="340"/>
      <c r="J5" s="911"/>
      <c r="K5" s="912"/>
      <c r="L5" s="451"/>
      <c r="M5" s="18">
        <f t="shared" si="0"/>
        <v>318915.82122851984</v>
      </c>
      <c r="N5" s="461">
        <f t="shared" ref="N5:N27" si="1">(M5/12)*2</f>
        <v>53152.636871419971</v>
      </c>
      <c r="O5" s="18">
        <f t="shared" ref="O5:O27" si="2">M5*0.25</f>
        <v>79728.95530712996</v>
      </c>
      <c r="P5" s="20"/>
      <c r="Q5" s="20"/>
      <c r="R5" s="20"/>
      <c r="T5" s="4"/>
    </row>
    <row r="6" spans="1:21" s="5" customFormat="1">
      <c r="A6" s="13" t="s">
        <v>16</v>
      </c>
      <c r="B6" s="24" t="s">
        <v>13</v>
      </c>
      <c r="C6" s="25">
        <f>C4</f>
        <v>4220</v>
      </c>
      <c r="D6" s="845"/>
      <c r="E6" s="26">
        <v>370457</v>
      </c>
      <c r="F6" s="903"/>
      <c r="G6" s="841"/>
      <c r="H6" s="901"/>
      <c r="I6" s="341">
        <f>P8</f>
        <v>646921.43845645536</v>
      </c>
      <c r="J6" s="906"/>
      <c r="K6" s="909"/>
      <c r="L6" s="452">
        <f>I6*0.75</f>
        <v>485191.07884234155</v>
      </c>
      <c r="M6" s="18">
        <f t="shared" si="0"/>
        <v>390574.85853982717</v>
      </c>
      <c r="N6" s="461">
        <f t="shared" si="1"/>
        <v>65095.809756637864</v>
      </c>
      <c r="O6" s="18">
        <f t="shared" si="2"/>
        <v>97643.714634956792</v>
      </c>
      <c r="P6" s="27">
        <f>[6]BlendedModels!P40</f>
        <v>636251.59056600067</v>
      </c>
      <c r="Q6" s="27">
        <f>[6]BlendedModels!U40</f>
        <v>871365.72928131081</v>
      </c>
      <c r="R6" s="27">
        <f>[6]BlendedModels!Z40</f>
        <v>1745641.777306139</v>
      </c>
      <c r="S6" s="88" t="s">
        <v>156</v>
      </c>
      <c r="T6" s="4"/>
    </row>
    <row r="7" spans="1:21" s="5" customFormat="1">
      <c r="A7" s="13" t="s">
        <v>17</v>
      </c>
      <c r="B7" s="28" t="s">
        <v>18</v>
      </c>
      <c r="C7" s="29">
        <v>1071</v>
      </c>
      <c r="D7" s="326" t="s">
        <v>14</v>
      </c>
      <c r="E7" s="30">
        <v>660380.21</v>
      </c>
      <c r="F7" s="385">
        <f>[6]BlendedModels!P40</f>
        <v>636251.59056600067</v>
      </c>
      <c r="G7" s="32">
        <f>F7-E7</f>
        <v>-24128.619433999294</v>
      </c>
      <c r="H7" s="386">
        <f>G7/E7</f>
        <v>-3.6537465945563841E-2</v>
      </c>
      <c r="I7" s="342">
        <f>P8</f>
        <v>646921.43845645536</v>
      </c>
      <c r="J7" s="398">
        <f>I7-E7</f>
        <v>-13458.771543544601</v>
      </c>
      <c r="K7" s="343">
        <f>J7/E7</f>
        <v>-2.0380337477927453E-2</v>
      </c>
      <c r="L7" s="453">
        <f>I7*0.75</f>
        <v>485191.07884234155</v>
      </c>
      <c r="M7" s="18">
        <f t="shared" si="0"/>
        <v>696242.49805848277</v>
      </c>
      <c r="N7" s="461">
        <f t="shared" si="1"/>
        <v>116040.41634308046</v>
      </c>
      <c r="O7" s="18">
        <f t="shared" si="2"/>
        <v>174060.62451462069</v>
      </c>
      <c r="P7" s="434">
        <f>P36+P37</f>
        <v>10669.847890454665</v>
      </c>
      <c r="Q7" s="434">
        <f>Q36+Q37</f>
        <v>26674.619726136443</v>
      </c>
      <c r="R7" s="434">
        <f>R36+R37</f>
        <v>85358.783123636618</v>
      </c>
      <c r="S7" s="88" t="s">
        <v>150</v>
      </c>
      <c r="T7" s="4"/>
    </row>
    <row r="8" spans="1:21" s="5" customFormat="1" ht="15" thickBot="1">
      <c r="A8" s="13" t="s">
        <v>17</v>
      </c>
      <c r="B8" s="28" t="s">
        <v>18</v>
      </c>
      <c r="C8" s="29">
        <v>1072</v>
      </c>
      <c r="D8" s="48" t="s">
        <v>19</v>
      </c>
      <c r="E8" s="30">
        <v>779707.8</v>
      </c>
      <c r="F8" s="385">
        <f>$Q$6</f>
        <v>871365.72928131081</v>
      </c>
      <c r="G8" s="32">
        <f>F8-E8</f>
        <v>91657.92928131076</v>
      </c>
      <c r="H8" s="386">
        <f>G8/E8</f>
        <v>0.11755420335837445</v>
      </c>
      <c r="I8" s="342">
        <f>Q8</f>
        <v>898040.34900744725</v>
      </c>
      <c r="J8" s="398">
        <f>I8-E8</f>
        <v>118332.5490074472</v>
      </c>
      <c r="K8" s="343">
        <f t="shared" ref="K8:K9" si="3">J8/E8</f>
        <v>0.15176524976080424</v>
      </c>
      <c r="L8" s="453">
        <f>I8*0.75</f>
        <v>673530.26175558544</v>
      </c>
      <c r="M8" s="18">
        <f t="shared" si="0"/>
        <v>822050.23440615204</v>
      </c>
      <c r="N8" s="461">
        <f t="shared" si="1"/>
        <v>137008.37240102535</v>
      </c>
      <c r="O8" s="18">
        <f t="shared" si="2"/>
        <v>205512.55860153801</v>
      </c>
      <c r="P8" s="134">
        <f>P6+P7</f>
        <v>646921.43845645536</v>
      </c>
      <c r="Q8" s="134">
        <f t="shared" ref="Q8:R8" si="4">Q6+Q7</f>
        <v>898040.34900744725</v>
      </c>
      <c r="R8" s="134">
        <f t="shared" si="4"/>
        <v>1831000.5604297756</v>
      </c>
      <c r="S8" s="88" t="s">
        <v>144</v>
      </c>
      <c r="T8" s="4"/>
    </row>
    <row r="9" spans="1:21" s="5" customFormat="1" ht="15.6" thickTop="1" thickBot="1">
      <c r="A9" s="13" t="s">
        <v>17</v>
      </c>
      <c r="B9" s="28" t="s">
        <v>18</v>
      </c>
      <c r="C9" s="29">
        <v>1268</v>
      </c>
      <c r="D9" s="326" t="s">
        <v>14</v>
      </c>
      <c r="E9" s="30">
        <v>449307.65</v>
      </c>
      <c r="F9" s="385">
        <f>$P$6</f>
        <v>636251.59056600067</v>
      </c>
      <c r="G9" s="32">
        <f>F9-E9</f>
        <v>186943.94056600065</v>
      </c>
      <c r="H9" s="386">
        <f>G9/E9</f>
        <v>0.41607112758040204</v>
      </c>
      <c r="I9" s="342">
        <f>P8</f>
        <v>646921.43845645536</v>
      </c>
      <c r="J9" s="398">
        <f>I9-E9</f>
        <v>197613.78845645534</v>
      </c>
      <c r="K9" s="343">
        <f t="shared" si="3"/>
        <v>0.4398184372254853</v>
      </c>
      <c r="L9" s="453">
        <f>I9*0.75</f>
        <v>485191.07884234155</v>
      </c>
      <c r="M9" s="18">
        <f t="shared" si="0"/>
        <v>473707.53377480299</v>
      </c>
      <c r="N9" s="461">
        <f t="shared" si="1"/>
        <v>78951.255629133826</v>
      </c>
      <c r="O9" s="18">
        <f t="shared" si="2"/>
        <v>118426.88344370075</v>
      </c>
      <c r="P9" s="27"/>
      <c r="Q9" s="27"/>
      <c r="R9" s="27"/>
      <c r="S9" s="88"/>
      <c r="T9" s="4"/>
    </row>
    <row r="10" spans="1:21" s="5" customFormat="1" ht="15" thickBot="1">
      <c r="A10" s="862" t="s">
        <v>17</v>
      </c>
      <c r="B10" s="35" t="s">
        <v>20</v>
      </c>
      <c r="C10" s="36">
        <v>1067</v>
      </c>
      <c r="D10" s="863" t="s">
        <v>19</v>
      </c>
      <c r="E10" s="853">
        <v>627155.88</v>
      </c>
      <c r="F10" s="907">
        <f>[6]BlendedModels!U40</f>
        <v>871365.72928131081</v>
      </c>
      <c r="G10" s="855">
        <f>F10+F11-E10</f>
        <v>244209.8492813108</v>
      </c>
      <c r="H10" s="904">
        <f>G10/E10</f>
        <v>0.38939258495242174</v>
      </c>
      <c r="I10" s="344"/>
      <c r="J10" s="905">
        <f>I11-E10</f>
        <v>270884.46900744725</v>
      </c>
      <c r="K10" s="908">
        <f>J10/E10</f>
        <v>0.43192526395104075</v>
      </c>
      <c r="L10" s="454"/>
      <c r="M10" s="18">
        <f t="shared" si="0"/>
        <v>661213.90367416688</v>
      </c>
      <c r="N10" s="461">
        <f t="shared" si="1"/>
        <v>110202.31727902782</v>
      </c>
      <c r="O10" s="18">
        <f t="shared" si="2"/>
        <v>165303.47591854172</v>
      </c>
      <c r="P10" s="924" t="s">
        <v>148</v>
      </c>
      <c r="Q10" s="925"/>
      <c r="R10" s="926"/>
    </row>
    <row r="11" spans="1:21" s="5" customFormat="1">
      <c r="A11" s="860"/>
      <c r="B11" s="24" t="s">
        <v>20</v>
      </c>
      <c r="C11" s="25">
        <v>1067</v>
      </c>
      <c r="D11" s="864"/>
      <c r="E11" s="854"/>
      <c r="F11" s="903"/>
      <c r="G11" s="841"/>
      <c r="H11" s="901"/>
      <c r="I11" s="341">
        <f>Q8</f>
        <v>898040.34900744725</v>
      </c>
      <c r="J11" s="906"/>
      <c r="K11" s="909"/>
      <c r="L11" s="452">
        <f t="shared" ref="L11:L27" si="5">I11*0.75</f>
        <v>673530.26175558544</v>
      </c>
      <c r="M11" s="18">
        <f t="shared" si="0"/>
        <v>0</v>
      </c>
      <c r="N11" s="461">
        <f t="shared" si="1"/>
        <v>0</v>
      </c>
      <c r="O11" s="18">
        <f t="shared" si="2"/>
        <v>0</v>
      </c>
      <c r="P11" s="364" t="s">
        <v>124</v>
      </c>
      <c r="Q11" s="424">
        <v>16</v>
      </c>
      <c r="R11" s="425">
        <f>Q11*P7</f>
        <v>170717.56624727463</v>
      </c>
    </row>
    <row r="12" spans="1:21" s="5" customFormat="1">
      <c r="A12" s="21" t="s">
        <v>15</v>
      </c>
      <c r="B12" s="28" t="s">
        <v>21</v>
      </c>
      <c r="C12" s="29">
        <v>2108</v>
      </c>
      <c r="D12" s="326" t="s">
        <v>14</v>
      </c>
      <c r="E12" s="30">
        <v>241080.81</v>
      </c>
      <c r="F12" s="387">
        <f>$P$6</f>
        <v>636251.59056600067</v>
      </c>
      <c r="G12" s="32">
        <f t="shared" ref="G12:G18" si="6">F12-E12</f>
        <v>395170.78056600067</v>
      </c>
      <c r="H12" s="386">
        <f t="shared" ref="H12:H19" si="7">G12/E12</f>
        <v>1.6391631526623818</v>
      </c>
      <c r="I12" s="345">
        <f>P8</f>
        <v>646921.43845645536</v>
      </c>
      <c r="J12" s="398">
        <f t="shared" ref="J12:J18" si="8">I12-E12</f>
        <v>405840.62845645536</v>
      </c>
      <c r="K12" s="343">
        <f t="shared" ref="K12:K18" si="9">J12/E12</f>
        <v>1.6834215400904591</v>
      </c>
      <c r="L12" s="453">
        <f t="shared" si="5"/>
        <v>485191.07884234155</v>
      </c>
      <c r="M12" s="18">
        <f t="shared" si="0"/>
        <v>254172.82778410707</v>
      </c>
      <c r="N12" s="461">
        <f t="shared" si="1"/>
        <v>42362.137964017842</v>
      </c>
      <c r="O12" s="18">
        <f t="shared" si="2"/>
        <v>63543.206946026767</v>
      </c>
      <c r="P12" s="364" t="s">
        <v>125</v>
      </c>
      <c r="Q12" s="424">
        <v>5</v>
      </c>
      <c r="R12" s="425">
        <f>Q12*Q7</f>
        <v>133373.09863068222</v>
      </c>
    </row>
    <row r="13" spans="1:21" s="5" customFormat="1">
      <c r="A13" s="13" t="s">
        <v>17</v>
      </c>
      <c r="B13" s="28" t="s">
        <v>21</v>
      </c>
      <c r="C13" s="29">
        <v>2107</v>
      </c>
      <c r="D13" s="48" t="s">
        <v>19</v>
      </c>
      <c r="E13" s="30">
        <v>789400</v>
      </c>
      <c r="F13" s="385">
        <f>[6]BlendedModels!U40</f>
        <v>871365.72928131081</v>
      </c>
      <c r="G13" s="32">
        <f t="shared" si="6"/>
        <v>81965.729281310807</v>
      </c>
      <c r="H13" s="386">
        <f t="shared" si="7"/>
        <v>0.1038329481648224</v>
      </c>
      <c r="I13" s="342">
        <f>Q8</f>
        <v>898040.34900744725</v>
      </c>
      <c r="J13" s="398">
        <f t="shared" si="8"/>
        <v>108640.34900744725</v>
      </c>
      <c r="K13" s="343">
        <f t="shared" si="9"/>
        <v>0.13762395364510674</v>
      </c>
      <c r="L13" s="453">
        <f t="shared" si="5"/>
        <v>673530.26175558544</v>
      </c>
      <c r="M13" s="18">
        <f t="shared" si="0"/>
        <v>832268.77432830143</v>
      </c>
      <c r="N13" s="461">
        <f t="shared" si="1"/>
        <v>138711.46238805025</v>
      </c>
      <c r="O13" s="18">
        <f t="shared" si="2"/>
        <v>208067.19358207536</v>
      </c>
      <c r="P13" s="367" t="s">
        <v>126</v>
      </c>
      <c r="Q13" s="426">
        <v>1</v>
      </c>
      <c r="R13" s="427">
        <f>Q13*R7</f>
        <v>85358.783123636618</v>
      </c>
    </row>
    <row r="14" spans="1:21" s="5" customFormat="1" ht="15" thickBot="1">
      <c r="A14" s="13" t="s">
        <v>17</v>
      </c>
      <c r="B14" s="28" t="s">
        <v>22</v>
      </c>
      <c r="C14" s="29">
        <v>1070</v>
      </c>
      <c r="D14" s="326" t="s">
        <v>14</v>
      </c>
      <c r="E14" s="30">
        <v>419227.53</v>
      </c>
      <c r="F14" s="385">
        <f>$P$6</f>
        <v>636251.59056600067</v>
      </c>
      <c r="G14" s="32">
        <f t="shared" si="6"/>
        <v>217024.06056600064</v>
      </c>
      <c r="H14" s="386">
        <f t="shared" si="7"/>
        <v>0.51767607095364332</v>
      </c>
      <c r="I14" s="342">
        <f>P8</f>
        <v>646921.43845645536</v>
      </c>
      <c r="J14" s="398">
        <f t="shared" si="8"/>
        <v>227693.90845645533</v>
      </c>
      <c r="K14" s="343">
        <f t="shared" si="9"/>
        <v>0.54312728092178331</v>
      </c>
      <c r="L14" s="453">
        <f t="shared" si="5"/>
        <v>485191.07884234155</v>
      </c>
      <c r="M14" s="18">
        <f t="shared" si="0"/>
        <v>441993.89733694104</v>
      </c>
      <c r="N14" s="461">
        <f t="shared" si="1"/>
        <v>73665.649556156844</v>
      </c>
      <c r="O14" s="18">
        <f t="shared" si="2"/>
        <v>110498.47433423526</v>
      </c>
      <c r="P14" s="428"/>
      <c r="Q14" s="429"/>
      <c r="R14" s="439">
        <f>SUM(R11:R13)</f>
        <v>389449.44800159347</v>
      </c>
      <c r="T14" s="38"/>
    </row>
    <row r="15" spans="1:21" s="5" customFormat="1" ht="15" thickBot="1">
      <c r="A15" s="13" t="s">
        <v>17</v>
      </c>
      <c r="B15" s="28" t="s">
        <v>22</v>
      </c>
      <c r="C15" s="29">
        <v>1073</v>
      </c>
      <c r="D15" s="326" t="s">
        <v>14</v>
      </c>
      <c r="E15" s="30">
        <v>421486.97</v>
      </c>
      <c r="F15" s="385">
        <f>$P$6</f>
        <v>636251.59056600067</v>
      </c>
      <c r="G15" s="32">
        <f t="shared" si="6"/>
        <v>214764.6205660007</v>
      </c>
      <c r="H15" s="386">
        <f t="shared" si="7"/>
        <v>0.50954035557967714</v>
      </c>
      <c r="I15" s="342">
        <f>P8</f>
        <v>646921.43845645536</v>
      </c>
      <c r="J15" s="398">
        <f t="shared" si="8"/>
        <v>225434.46845645539</v>
      </c>
      <c r="K15" s="343">
        <f t="shared" si="9"/>
        <v>0.53485513076823088</v>
      </c>
      <c r="L15" s="453">
        <f t="shared" si="5"/>
        <v>485191.07884234155</v>
      </c>
      <c r="M15" s="18">
        <f t="shared" si="0"/>
        <v>444376.03739200602</v>
      </c>
      <c r="N15" s="461">
        <f t="shared" si="1"/>
        <v>74062.672898667675</v>
      </c>
      <c r="O15" s="18">
        <f t="shared" si="2"/>
        <v>111094.00934800151</v>
      </c>
      <c r="S15" s="430"/>
      <c r="T15" s="431"/>
      <c r="U15" s="432"/>
    </row>
    <row r="16" spans="1:21" s="5" customFormat="1" ht="15" thickBot="1">
      <c r="A16" s="41" t="s">
        <v>17</v>
      </c>
      <c r="B16" s="35" t="s">
        <v>23</v>
      </c>
      <c r="C16" s="36">
        <v>4219</v>
      </c>
      <c r="D16" s="326" t="s">
        <v>14</v>
      </c>
      <c r="E16" s="42">
        <v>670204.78</v>
      </c>
      <c r="F16" s="388">
        <f>$P$6</f>
        <v>636251.59056600067</v>
      </c>
      <c r="G16" s="44">
        <f t="shared" si="6"/>
        <v>-33953.18943399936</v>
      </c>
      <c r="H16" s="389">
        <f t="shared" si="7"/>
        <v>-5.0660918046569824E-2</v>
      </c>
      <c r="I16" s="346">
        <f>P8</f>
        <v>646921.43845645536</v>
      </c>
      <c r="J16" s="398">
        <f t="shared" si="8"/>
        <v>-23283.341543544666</v>
      </c>
      <c r="K16" s="343">
        <f t="shared" si="9"/>
        <v>-3.4740637844368503E-2</v>
      </c>
      <c r="L16" s="453">
        <f t="shared" si="5"/>
        <v>485191.07884234155</v>
      </c>
      <c r="M16" s="18">
        <f t="shared" si="0"/>
        <v>706600.5964017848</v>
      </c>
      <c r="N16" s="461">
        <f t="shared" si="1"/>
        <v>117766.76606696413</v>
      </c>
      <c r="O16" s="18">
        <f t="shared" si="2"/>
        <v>176650.1491004462</v>
      </c>
      <c r="P16" s="921" t="s">
        <v>155</v>
      </c>
      <c r="Q16" s="922"/>
      <c r="R16" s="923"/>
      <c r="T16" s="919" t="s">
        <v>154</v>
      </c>
      <c r="U16" s="920"/>
    </row>
    <row r="17" spans="1:28" s="5" customFormat="1">
      <c r="A17" s="46" t="s">
        <v>15</v>
      </c>
      <c r="B17" s="47" t="s">
        <v>24</v>
      </c>
      <c r="C17" s="29">
        <v>3688</v>
      </c>
      <c r="D17" s="48" t="s">
        <v>14</v>
      </c>
      <c r="E17" s="30">
        <v>619258.29</v>
      </c>
      <c r="F17" s="385">
        <f>[6]BlendedModels!P40</f>
        <v>636251.59056600067</v>
      </c>
      <c r="G17" s="32">
        <f t="shared" si="6"/>
        <v>16993.300566000631</v>
      </c>
      <c r="H17" s="386">
        <f t="shared" si="7"/>
        <v>2.7441377597061528E-2</v>
      </c>
      <c r="I17" s="342">
        <f>P8</f>
        <v>646921.43845645536</v>
      </c>
      <c r="J17" s="398">
        <f t="shared" si="8"/>
        <v>27663.148456455325</v>
      </c>
      <c r="K17" s="343">
        <f t="shared" si="9"/>
        <v>4.4671422091830733E-2</v>
      </c>
      <c r="L17" s="453">
        <f t="shared" si="5"/>
        <v>485191.07884234155</v>
      </c>
      <c r="M17" s="18">
        <f t="shared" si="0"/>
        <v>652887.43097408139</v>
      </c>
      <c r="N17" s="461">
        <f t="shared" si="1"/>
        <v>108814.57182901357</v>
      </c>
      <c r="O17" s="18">
        <f t="shared" si="2"/>
        <v>163221.85774352035</v>
      </c>
      <c r="P17" s="418" t="s">
        <v>145</v>
      </c>
      <c r="Q17" s="419" t="s">
        <v>146</v>
      </c>
      <c r="R17" s="420" t="s">
        <v>147</v>
      </c>
      <c r="T17" s="355" t="s">
        <v>131</v>
      </c>
      <c r="U17" s="356"/>
      <c r="V17" s="38"/>
    </row>
    <row r="18" spans="1:28" s="5" customFormat="1">
      <c r="A18" s="49" t="s">
        <v>15</v>
      </c>
      <c r="B18" s="50" t="s">
        <v>24</v>
      </c>
      <c r="C18" s="25">
        <v>3689</v>
      </c>
      <c r="D18" s="327" t="s">
        <v>14</v>
      </c>
      <c r="E18" s="52">
        <v>550781.84</v>
      </c>
      <c r="F18" s="390">
        <f>[6]BlendedModels!P40</f>
        <v>636251.59056600067</v>
      </c>
      <c r="G18" s="54">
        <f t="shared" si="6"/>
        <v>85469.750566000701</v>
      </c>
      <c r="H18" s="391">
        <f t="shared" si="7"/>
        <v>0.15517895536643095</v>
      </c>
      <c r="I18" s="347">
        <f>P8</f>
        <v>646921.43845645536</v>
      </c>
      <c r="J18" s="398">
        <f t="shared" si="8"/>
        <v>96139.598456455395</v>
      </c>
      <c r="K18" s="343">
        <f t="shared" si="9"/>
        <v>0.17455114071381767</v>
      </c>
      <c r="L18" s="453">
        <f t="shared" si="5"/>
        <v>485191.07884234155</v>
      </c>
      <c r="M18" s="18">
        <f t="shared" si="0"/>
        <v>580692.33202316519</v>
      </c>
      <c r="N18" s="461">
        <f t="shared" si="1"/>
        <v>96782.055337194193</v>
      </c>
      <c r="O18" s="18">
        <f t="shared" si="2"/>
        <v>145173.0830057913</v>
      </c>
      <c r="P18" s="421" t="s">
        <v>85</v>
      </c>
      <c r="Q18" s="422">
        <f>'Blended-MobileRelief'!P44</f>
        <v>9520.0978904546646</v>
      </c>
      <c r="R18" s="423">
        <f>Q18*Q11</f>
        <v>152321.56624727463</v>
      </c>
      <c r="T18" s="357" t="s">
        <v>132</v>
      </c>
      <c r="U18" s="358" t="s">
        <v>129</v>
      </c>
    </row>
    <row r="19" spans="1:28" s="5" customFormat="1">
      <c r="A19" s="859" t="s">
        <v>17</v>
      </c>
      <c r="B19" s="14" t="s">
        <v>24</v>
      </c>
      <c r="C19" s="4">
        <v>3691</v>
      </c>
      <c r="D19" s="328" t="s">
        <v>25</v>
      </c>
      <c r="E19" s="861">
        <v>2144495.19</v>
      </c>
      <c r="F19" s="392">
        <f>[6]BlendedModels!Z40</f>
        <v>1745641.777306139</v>
      </c>
      <c r="G19" s="840">
        <f>F19+F20-E19</f>
        <v>237398.17787213949</v>
      </c>
      <c r="H19" s="900">
        <f t="shared" si="7"/>
        <v>0.11070119391227895</v>
      </c>
      <c r="I19" s="340">
        <f>R8</f>
        <v>1831000.5604297756</v>
      </c>
      <c r="J19" s="905">
        <f>SUM(I19:I20)-E19</f>
        <v>333426.80888623092</v>
      </c>
      <c r="K19" s="908">
        <f>J19/E19</f>
        <v>0.15548032489932093</v>
      </c>
      <c r="L19" s="453">
        <f t="shared" si="5"/>
        <v>1373250.4203223316</v>
      </c>
      <c r="M19" s="18">
        <f t="shared" si="0"/>
        <v>2260953.1078467672</v>
      </c>
      <c r="N19" s="461">
        <f t="shared" si="1"/>
        <v>376825.5179744612</v>
      </c>
      <c r="O19" s="18">
        <f t="shared" si="2"/>
        <v>565238.27696169179</v>
      </c>
      <c r="P19" s="421" t="s">
        <v>86</v>
      </c>
      <c r="Q19" s="422">
        <f>'Blended-MobileRelief'!U44</f>
        <v>23800.244726136443</v>
      </c>
      <c r="R19" s="423">
        <f>Q19*Q12</f>
        <v>119001.22363068222</v>
      </c>
      <c r="T19" s="359">
        <v>4599</v>
      </c>
      <c r="U19" s="360">
        <f>Q11*T19</f>
        <v>73584</v>
      </c>
      <c r="V19" s="38"/>
    </row>
    <row r="20" spans="1:28" s="5" customFormat="1" ht="15" thickBot="1">
      <c r="A20" s="860"/>
      <c r="B20" s="24" t="s">
        <v>24</v>
      </c>
      <c r="C20" s="25">
        <v>3691</v>
      </c>
      <c r="D20" s="327" t="s">
        <v>14</v>
      </c>
      <c r="E20" s="854"/>
      <c r="F20" s="393">
        <f>[6]BlendedModels!P40</f>
        <v>636251.59056600067</v>
      </c>
      <c r="G20" s="841"/>
      <c r="H20" s="901"/>
      <c r="I20" s="341">
        <f>P8</f>
        <v>646921.43845645536</v>
      </c>
      <c r="J20" s="906"/>
      <c r="K20" s="909"/>
      <c r="L20" s="453">
        <f t="shared" si="5"/>
        <v>485191.07884234155</v>
      </c>
      <c r="M20" s="18">
        <f t="shared" si="0"/>
        <v>0</v>
      </c>
      <c r="N20" s="461">
        <f t="shared" si="1"/>
        <v>0</v>
      </c>
      <c r="O20" s="18">
        <f t="shared" si="2"/>
        <v>0</v>
      </c>
      <c r="P20" s="421" t="s">
        <v>87</v>
      </c>
      <c r="Q20" s="422">
        <f>'Blended-MobileRelief'!Z44</f>
        <v>76160.783123636618</v>
      </c>
      <c r="R20" s="423">
        <f>Q20*Q13</f>
        <v>76160.783123636618</v>
      </c>
      <c r="T20" s="361">
        <v>11497.5</v>
      </c>
      <c r="U20" s="360">
        <f>T20*Q12</f>
        <v>57487.5</v>
      </c>
      <c r="W20" s="40"/>
      <c r="AB20" s="40"/>
    </row>
    <row r="21" spans="1:28" s="5" customFormat="1" ht="15" thickBot="1">
      <c r="A21" s="21" t="s">
        <v>15</v>
      </c>
      <c r="B21" s="35" t="s">
        <v>26</v>
      </c>
      <c r="C21" s="36">
        <v>5411</v>
      </c>
      <c r="D21" s="48" t="s">
        <v>19</v>
      </c>
      <c r="E21" s="853">
        <v>1687543.64</v>
      </c>
      <c r="F21" s="388">
        <f>[6]BlendedModels!U40</f>
        <v>871365.72928131081</v>
      </c>
      <c r="G21" s="855">
        <f>SUM(F21:F22)-E21</f>
        <v>55187.818562621716</v>
      </c>
      <c r="H21" s="904">
        <f>G21/E21</f>
        <v>3.2703046756540011E-2</v>
      </c>
      <c r="I21" s="346">
        <f>Q8</f>
        <v>898040.34900744725</v>
      </c>
      <c r="J21" s="905">
        <f>SUM(I21:I22)-E21</f>
        <v>108537.0580148946</v>
      </c>
      <c r="K21" s="908">
        <f>J21/E21</f>
        <v>6.4316593326673679E-2</v>
      </c>
      <c r="L21" s="453">
        <f t="shared" si="5"/>
        <v>673530.26175558544</v>
      </c>
      <c r="M21" s="18">
        <f t="shared" si="0"/>
        <v>1779186.568138232</v>
      </c>
      <c r="N21" s="461">
        <f t="shared" si="1"/>
        <v>296531.09468970535</v>
      </c>
      <c r="O21" s="18">
        <f t="shared" si="2"/>
        <v>444796.642034558</v>
      </c>
      <c r="P21" s="413"/>
      <c r="Q21" s="417" t="s">
        <v>151</v>
      </c>
      <c r="R21" s="440">
        <f>SUM(R18:R20)</f>
        <v>347483.57300159347</v>
      </c>
      <c r="T21" s="362">
        <v>36792</v>
      </c>
      <c r="U21" s="363">
        <f>Q13*T21</f>
        <v>36792</v>
      </c>
    </row>
    <row r="22" spans="1:28" s="5" customFormat="1" ht="18" customHeight="1">
      <c r="A22" s="21" t="s">
        <v>15</v>
      </c>
      <c r="B22" s="24" t="s">
        <v>26</v>
      </c>
      <c r="C22" s="25">
        <v>5411</v>
      </c>
      <c r="D22" s="48" t="s">
        <v>19</v>
      </c>
      <c r="E22" s="854"/>
      <c r="F22" s="390">
        <f>[6]BlendedModels!U40</f>
        <v>871365.72928131081</v>
      </c>
      <c r="G22" s="841"/>
      <c r="H22" s="901"/>
      <c r="I22" s="347">
        <f>Q8</f>
        <v>898040.34900744725</v>
      </c>
      <c r="J22" s="906"/>
      <c r="K22" s="909"/>
      <c r="L22" s="453">
        <f t="shared" si="5"/>
        <v>673530.26175558544</v>
      </c>
      <c r="M22" s="18">
        <f t="shared" si="0"/>
        <v>0</v>
      </c>
      <c r="N22" s="461">
        <f t="shared" si="1"/>
        <v>0</v>
      </c>
      <c r="O22" s="18">
        <f t="shared" si="2"/>
        <v>0</v>
      </c>
      <c r="T22" s="364"/>
      <c r="U22" s="365">
        <f>SUM(U19:U21)</f>
        <v>167863.5</v>
      </c>
    </row>
    <row r="23" spans="1:28" s="5" customFormat="1">
      <c r="A23" s="13" t="s">
        <v>17</v>
      </c>
      <c r="B23" s="28" t="s">
        <v>27</v>
      </c>
      <c r="C23" s="29">
        <v>4221</v>
      </c>
      <c r="D23" s="48" t="s">
        <v>14</v>
      </c>
      <c r="E23" s="30">
        <v>518306.18</v>
      </c>
      <c r="F23" s="385">
        <f>$P$6</f>
        <v>636251.59056600067</v>
      </c>
      <c r="G23" s="32">
        <f>F23-E23</f>
        <v>117945.41056600068</v>
      </c>
      <c r="H23" s="386">
        <f>G23/E23</f>
        <v>0.22755933677271739</v>
      </c>
      <c r="I23" s="342">
        <f>P8</f>
        <v>646921.43845645536</v>
      </c>
      <c r="J23" s="398">
        <f>I23-E23</f>
        <v>128615.25845645537</v>
      </c>
      <c r="K23" s="343">
        <f>J23/E23</f>
        <v>0.24814533073183764</v>
      </c>
      <c r="L23" s="453">
        <f t="shared" si="5"/>
        <v>485191.07884234155</v>
      </c>
      <c r="M23" s="18">
        <f t="shared" si="0"/>
        <v>546453.06454951095</v>
      </c>
      <c r="N23" s="461">
        <f t="shared" si="1"/>
        <v>91075.510758251825</v>
      </c>
      <c r="O23" s="18">
        <f t="shared" si="2"/>
        <v>136613.26613737774</v>
      </c>
      <c r="T23" s="364"/>
      <c r="U23" s="366"/>
    </row>
    <row r="24" spans="1:28" s="5" customFormat="1">
      <c r="A24" s="13" t="s">
        <v>17</v>
      </c>
      <c r="B24" s="35" t="s">
        <v>28</v>
      </c>
      <c r="C24" s="36">
        <v>2109</v>
      </c>
      <c r="D24" s="48" t="s">
        <v>14</v>
      </c>
      <c r="E24" s="853">
        <v>1047760.6</v>
      </c>
      <c r="F24" s="388">
        <f>[6]BlendedModels!P40</f>
        <v>636251.59056600067</v>
      </c>
      <c r="G24" s="855">
        <f>F24+F25-E24</f>
        <v>224742.58113200136</v>
      </c>
      <c r="H24" s="904">
        <f>G24/E24</f>
        <v>0.21449802667899648</v>
      </c>
      <c r="I24" s="346">
        <f>P8</f>
        <v>646921.43845645536</v>
      </c>
      <c r="J24" s="905">
        <f>SUM(I24:I25)-E24</f>
        <v>246082.27691291075</v>
      </c>
      <c r="K24" s="908">
        <f>J24/E24</f>
        <v>0.23486498434175779</v>
      </c>
      <c r="L24" s="453">
        <f t="shared" si="5"/>
        <v>485191.07884234155</v>
      </c>
      <c r="M24" s="18">
        <f t="shared" si="0"/>
        <v>1104659.7800246843</v>
      </c>
      <c r="N24" s="461">
        <f t="shared" si="1"/>
        <v>184109.96333744738</v>
      </c>
      <c r="O24" s="18">
        <f t="shared" si="2"/>
        <v>276164.94500617107</v>
      </c>
      <c r="T24" s="357" t="s">
        <v>133</v>
      </c>
      <c r="U24" s="366"/>
      <c r="V24" s="442"/>
    </row>
    <row r="25" spans="1:28" s="5" customFormat="1">
      <c r="A25" s="13" t="s">
        <v>17</v>
      </c>
      <c r="B25" s="24" t="s">
        <v>28</v>
      </c>
      <c r="C25" s="25">
        <v>2109</v>
      </c>
      <c r="D25" s="48" t="s">
        <v>14</v>
      </c>
      <c r="E25" s="854"/>
      <c r="F25" s="390">
        <f>$P$6</f>
        <v>636251.59056600067</v>
      </c>
      <c r="G25" s="841"/>
      <c r="H25" s="901"/>
      <c r="I25" s="347">
        <f>P8</f>
        <v>646921.43845645536</v>
      </c>
      <c r="J25" s="906"/>
      <c r="K25" s="909"/>
      <c r="L25" s="453">
        <f t="shared" si="5"/>
        <v>485191.07884234155</v>
      </c>
      <c r="M25" s="18">
        <f t="shared" si="0"/>
        <v>0</v>
      </c>
      <c r="N25" s="461">
        <f t="shared" si="1"/>
        <v>0</v>
      </c>
      <c r="O25" s="18">
        <f t="shared" si="2"/>
        <v>0</v>
      </c>
      <c r="T25" s="357" t="s">
        <v>132</v>
      </c>
      <c r="U25" s="366"/>
      <c r="V25" s="442"/>
    </row>
    <row r="26" spans="1:28" s="5" customFormat="1">
      <c r="A26" s="13" t="s">
        <v>17</v>
      </c>
      <c r="B26" s="35" t="s">
        <v>29</v>
      </c>
      <c r="C26" s="36">
        <v>4222</v>
      </c>
      <c r="D26" s="326" t="s">
        <v>14</v>
      </c>
      <c r="E26" s="42">
        <v>496555.22000000003</v>
      </c>
      <c r="F26" s="388">
        <f>$P$6</f>
        <v>636251.59056600067</v>
      </c>
      <c r="G26" s="44">
        <f>F26-E26</f>
        <v>139696.37056600064</v>
      </c>
      <c r="H26" s="389">
        <f>G26/E26</f>
        <v>0.28133098785267152</v>
      </c>
      <c r="I26" s="346">
        <f>P8</f>
        <v>646921.43845645536</v>
      </c>
      <c r="J26" s="398">
        <f t="shared" ref="J26:J27" si="10">I26-E26</f>
        <v>150366.21845645533</v>
      </c>
      <c r="K26" s="343">
        <f t="shared" ref="K26:K27" si="11">J26/E26</f>
        <v>0.30281872468575666</v>
      </c>
      <c r="L26" s="453">
        <f t="shared" si="5"/>
        <v>485191.07884234155</v>
      </c>
      <c r="M26" s="18">
        <f t="shared" si="0"/>
        <v>523520.90744327352</v>
      </c>
      <c r="N26" s="461">
        <f t="shared" si="1"/>
        <v>87253.484573878915</v>
      </c>
      <c r="O26" s="18">
        <f t="shared" si="2"/>
        <v>130880.22686081838</v>
      </c>
      <c r="T26" s="359">
        <f>T19*(1+25%)</f>
        <v>5748.75</v>
      </c>
      <c r="U26" s="360">
        <f>Q11*T26</f>
        <v>91980</v>
      </c>
      <c r="V26" s="17"/>
    </row>
    <row r="27" spans="1:28" s="5" customFormat="1" ht="15" thickBot="1">
      <c r="A27" s="13" t="s">
        <v>17</v>
      </c>
      <c r="B27" s="14" t="s">
        <v>30</v>
      </c>
      <c r="C27" s="4" t="s">
        <v>31</v>
      </c>
      <c r="D27" s="326" t="s">
        <v>14</v>
      </c>
      <c r="E27" s="77">
        <v>468837</v>
      </c>
      <c r="F27" s="435">
        <f>[6]BlendedModels!P40</f>
        <v>636251.59056600067</v>
      </c>
      <c r="G27" s="99">
        <f>F27-E27</f>
        <v>167414.59056600067</v>
      </c>
      <c r="H27" s="436">
        <f>(F27-E27)/E27</f>
        <v>0.35708485159234588</v>
      </c>
      <c r="I27" s="339">
        <f>P8</f>
        <v>646921.43845645536</v>
      </c>
      <c r="J27" s="398">
        <f t="shared" si="10"/>
        <v>178084.43845645536</v>
      </c>
      <c r="K27" s="343">
        <f t="shared" si="11"/>
        <v>0.37984296985190025</v>
      </c>
      <c r="L27" s="453">
        <f t="shared" si="5"/>
        <v>485191.07884234155</v>
      </c>
      <c r="M27" s="18">
        <f t="shared" si="0"/>
        <v>494297.43520364561</v>
      </c>
      <c r="N27" s="461">
        <f t="shared" si="1"/>
        <v>82382.905867274269</v>
      </c>
      <c r="O27" s="18">
        <f t="shared" si="2"/>
        <v>123574.3588009114</v>
      </c>
      <c r="T27" s="361">
        <f t="shared" ref="T27:T28" si="12">T20*(1+25%)</f>
        <v>14371.875</v>
      </c>
      <c r="U27" s="360">
        <f>T27*Q12</f>
        <v>71859.375</v>
      </c>
      <c r="V27" s="17"/>
    </row>
    <row r="28" spans="1:28" s="5" customFormat="1" ht="15" thickBot="1">
      <c r="B28" s="67" t="s">
        <v>32</v>
      </c>
      <c r="C28" s="68"/>
      <c r="D28" s="69"/>
      <c r="E28" s="70">
        <f>SUM(E4:E27)</f>
        <v>13764435.59</v>
      </c>
      <c r="F28" s="394">
        <f>SUM(F4:F27)</f>
        <v>16282495.8727687</v>
      </c>
      <c r="G28" s="70">
        <f>SUM(G4:G27)</f>
        <v>2518060.282768704</v>
      </c>
      <c r="H28" s="72">
        <f>G28/E28</f>
        <v>0.18293959576505264</v>
      </c>
      <c r="I28" s="348">
        <f>SUM(I4:I27)</f>
        <v>16671945.320770295</v>
      </c>
      <c r="J28" s="399">
        <f>J4+J7+J8+J9+J10+J12+J13+J14+J15+J16+J17+J18+J19+J21+J23+J24+J26+J27</f>
        <v>2907509.7307702983</v>
      </c>
      <c r="K28" s="350">
        <f>J28/E28</f>
        <v>0.21123348732748862</v>
      </c>
      <c r="L28" s="455">
        <f>SUM(L4:L27)</f>
        <v>12503958.990577728</v>
      </c>
      <c r="M28" s="73"/>
      <c r="N28" s="462">
        <f>SUM(N4:N27)</f>
        <v>2418653.3945211871</v>
      </c>
      <c r="O28" s="74">
        <f>SUM(O4:O27)</f>
        <v>3627980.0917817811</v>
      </c>
      <c r="T28" s="362">
        <f t="shared" si="12"/>
        <v>45990</v>
      </c>
      <c r="U28" s="363">
        <f>Q13*T28</f>
        <v>45990</v>
      </c>
      <c r="V28" s="17"/>
    </row>
    <row r="29" spans="1:28" s="5" customFormat="1" ht="15" thickBot="1">
      <c r="C29" s="75"/>
      <c r="D29" s="4"/>
      <c r="E29" s="76"/>
      <c r="F29" s="409"/>
      <c r="G29" s="410"/>
      <c r="H29" s="403"/>
      <c r="I29" s="402"/>
      <c r="J29" s="401"/>
      <c r="K29" s="403"/>
      <c r="L29" s="456"/>
      <c r="M29" s="75"/>
      <c r="N29" s="463"/>
      <c r="O29" s="75"/>
      <c r="T29" s="364"/>
      <c r="U29" s="365">
        <f>SUM(U26:U28)</f>
        <v>209829.375</v>
      </c>
    </row>
    <row r="30" spans="1:28" s="5" customFormat="1" ht="15" thickBot="1">
      <c r="B30" s="78"/>
      <c r="C30" s="79"/>
      <c r="D30" s="80"/>
      <c r="E30" s="81"/>
      <c r="F30" s="404"/>
      <c r="G30" s="83"/>
      <c r="H30" s="411"/>
      <c r="I30" s="404"/>
      <c r="J30" s="82"/>
      <c r="K30" s="405"/>
      <c r="L30" s="457"/>
      <c r="N30" s="464"/>
      <c r="T30" s="413" t="s">
        <v>152</v>
      </c>
      <c r="U30" s="441">
        <f>U29-U22</f>
        <v>41965.875</v>
      </c>
    </row>
    <row r="31" spans="1:28" s="5" customFormat="1" ht="15" thickBot="1">
      <c r="B31" s="67" t="s">
        <v>33</v>
      </c>
      <c r="C31" s="84">
        <v>1203</v>
      </c>
      <c r="D31" s="84" t="s">
        <v>34</v>
      </c>
      <c r="E31" s="70">
        <f>'[6]Peer Model'!D59</f>
        <v>353677.4</v>
      </c>
      <c r="F31" s="394">
        <f>'[6]Peer Model Updated'!N34</f>
        <v>443925.58597145992</v>
      </c>
      <c r="G31" s="85">
        <f>F31-E31</f>
        <v>90248.185971459898</v>
      </c>
      <c r="H31" s="72">
        <f>G31/E31</f>
        <v>0.25517091556163862</v>
      </c>
      <c r="I31" s="437">
        <f>F31</f>
        <v>443925.58597145992</v>
      </c>
      <c r="J31" s="349">
        <f>G31</f>
        <v>90248.185971459898</v>
      </c>
      <c r="K31" s="438">
        <f>H31</f>
        <v>0.25517091556163862</v>
      </c>
      <c r="L31" s="455">
        <f>I31*0.75</f>
        <v>332944.18947859493</v>
      </c>
      <c r="M31" s="86">
        <f>E31*(M1+1)</f>
        <v>372884.03370359819</v>
      </c>
      <c r="N31" s="465">
        <f>(M31/12)*2</f>
        <v>62147.338950599697</v>
      </c>
      <c r="O31" s="86">
        <f>M31*0.25</f>
        <v>93221.008425899548</v>
      </c>
      <c r="T31" s="357" t="s">
        <v>38</v>
      </c>
      <c r="U31" s="360"/>
    </row>
    <row r="32" spans="1:28" s="5" customFormat="1" ht="15" thickBot="1">
      <c r="C32" s="75"/>
      <c r="D32" s="4"/>
      <c r="E32" s="76"/>
      <c r="F32" s="406"/>
      <c r="G32" s="77"/>
      <c r="H32" s="412"/>
      <c r="I32" s="406"/>
      <c r="J32" s="27"/>
      <c r="K32" s="407"/>
      <c r="L32" s="457"/>
      <c r="M32" s="75"/>
      <c r="N32" s="75"/>
      <c r="O32" s="75"/>
      <c r="T32" s="357" t="s">
        <v>134</v>
      </c>
      <c r="U32" s="366"/>
    </row>
    <row r="33" spans="2:22" s="5" customFormat="1" ht="15" thickBot="1">
      <c r="C33" s="75"/>
      <c r="D33" s="4"/>
      <c r="E33" s="76"/>
      <c r="F33" s="406"/>
      <c r="G33" s="77"/>
      <c r="H33" s="354"/>
      <c r="I33" s="916" t="s">
        <v>158</v>
      </c>
      <c r="J33" s="917"/>
      <c r="K33" s="917"/>
      <c r="L33" s="918"/>
      <c r="M33" s="88"/>
      <c r="N33" s="478" t="s">
        <v>171</v>
      </c>
      <c r="O33" s="479">
        <f>O28+O31</f>
        <v>3721201.1002076808</v>
      </c>
      <c r="P33" s="470" t="s">
        <v>166</v>
      </c>
      <c r="T33" s="370" t="s">
        <v>132</v>
      </c>
      <c r="U33" s="368">
        <v>199120</v>
      </c>
    </row>
    <row r="34" spans="2:22" s="5" customFormat="1" ht="47.25" customHeight="1" thickBot="1">
      <c r="D34" s="4"/>
      <c r="E34" s="323" t="s">
        <v>35</v>
      </c>
      <c r="F34" s="395" t="s">
        <v>140</v>
      </c>
      <c r="G34" s="396" t="s">
        <v>141</v>
      </c>
      <c r="H34" s="396" t="s">
        <v>142</v>
      </c>
      <c r="I34" s="351" t="s">
        <v>39</v>
      </c>
      <c r="J34" s="351" t="s">
        <v>46</v>
      </c>
      <c r="K34" s="351" t="s">
        <v>47</v>
      </c>
      <c r="L34" s="458" t="s">
        <v>162</v>
      </c>
      <c r="M34" s="20"/>
      <c r="N34" s="20"/>
      <c r="O34" s="20"/>
      <c r="T34" s="369" t="s">
        <v>7</v>
      </c>
      <c r="U34" s="365">
        <f>U29-U33</f>
        <v>10709.375</v>
      </c>
    </row>
    <row r="35" spans="2:22" ht="21.6" thickBot="1">
      <c r="B35" s="5"/>
      <c r="C35" s="5"/>
      <c r="D35" s="92" t="s">
        <v>39</v>
      </c>
      <c r="E35" s="125">
        <f>E28+E31</f>
        <v>14118112.99</v>
      </c>
      <c r="F35" s="125">
        <f>F28+F31</f>
        <v>16726421.45874016</v>
      </c>
      <c r="G35" s="397">
        <f>G28+G31</f>
        <v>2608308.4687401638</v>
      </c>
      <c r="H35" s="94">
        <f>G35/E35</f>
        <v>0.1847490858436715</v>
      </c>
      <c r="I35" s="352">
        <f>I28+I31</f>
        <v>17115870.906741757</v>
      </c>
      <c r="J35" s="352">
        <f>J28+J31</f>
        <v>2997757.9167417581</v>
      </c>
      <c r="K35" s="353">
        <f>J35/E35</f>
        <v>0.21233417800701126</v>
      </c>
      <c r="L35" s="459">
        <f>L28+L31</f>
        <v>12836903.180056322</v>
      </c>
      <c r="M35" s="75"/>
      <c r="N35" s="75"/>
      <c r="O35" s="75" t="s">
        <v>153</v>
      </c>
      <c r="P35" s="20" t="s">
        <v>85</v>
      </c>
      <c r="Q35" s="20" t="s">
        <v>86</v>
      </c>
      <c r="R35" s="20" t="s">
        <v>87</v>
      </c>
      <c r="S35" s="5"/>
      <c r="T35" s="371" t="s">
        <v>130</v>
      </c>
      <c r="U35" s="372">
        <f>U34/U33</f>
        <v>5.3783522498995581E-2</v>
      </c>
      <c r="V35" s="5"/>
    </row>
    <row r="36" spans="2:22" ht="15.6" thickTop="1" thickBot="1">
      <c r="B36" s="5"/>
      <c r="C36" s="5"/>
      <c r="D36" s="4"/>
      <c r="E36" s="408"/>
      <c r="F36" s="466" t="s">
        <v>163</v>
      </c>
      <c r="G36" s="129"/>
      <c r="H36" s="98"/>
      <c r="I36" s="469" t="s">
        <v>164</v>
      </c>
      <c r="J36" s="468"/>
      <c r="K36" s="468"/>
      <c r="L36" s="469" t="s">
        <v>165</v>
      </c>
      <c r="M36" s="5"/>
      <c r="N36" s="5"/>
      <c r="O36" s="5" t="s">
        <v>132</v>
      </c>
      <c r="P36" s="17">
        <f>T26-T19</f>
        <v>1149.75</v>
      </c>
      <c r="Q36" s="17">
        <f>T27-T20</f>
        <v>2874.375</v>
      </c>
      <c r="R36" s="17">
        <f>T28-T21</f>
        <v>9198</v>
      </c>
      <c r="S36" s="5"/>
      <c r="T36" s="2"/>
      <c r="U36" s="3"/>
    </row>
    <row r="37" spans="2:22" ht="15" thickBot="1">
      <c r="B37" s="5"/>
      <c r="C37" s="5"/>
      <c r="D37" s="4"/>
      <c r="E37" s="38"/>
      <c r="F37" s="17"/>
      <c r="G37" s="99"/>
      <c r="H37" s="5"/>
      <c r="I37" s="126"/>
      <c r="J37" s="130"/>
      <c r="K37" s="131"/>
      <c r="L37" s="17"/>
      <c r="M37" s="5"/>
      <c r="N37" s="5"/>
      <c r="O37" s="78" t="s">
        <v>79</v>
      </c>
      <c r="P37" s="130">
        <v>9520.0978904546646</v>
      </c>
      <c r="Q37" s="130">
        <v>23800.244726136443</v>
      </c>
      <c r="R37" s="130">
        <v>76160.783123636618</v>
      </c>
    </row>
    <row r="38" spans="2:22" ht="15" thickBot="1">
      <c r="E38" s="38"/>
      <c r="F38" s="17"/>
      <c r="G38" s="99"/>
      <c r="H38" s="5"/>
      <c r="I38" s="17"/>
      <c r="J38" s="17"/>
      <c r="K38" s="17"/>
      <c r="L38" s="17"/>
      <c r="M38" s="5"/>
      <c r="N38" s="5"/>
      <c r="O38" s="443" t="s">
        <v>39</v>
      </c>
      <c r="P38" s="400">
        <f>SUM(P36:P37)</f>
        <v>10669.847890454665</v>
      </c>
      <c r="Q38" s="400">
        <f t="shared" ref="Q38:R38" si="13">SUM(Q36:Q37)</f>
        <v>26674.619726136443</v>
      </c>
      <c r="R38" s="400">
        <f t="shared" si="13"/>
        <v>85358.783123636618</v>
      </c>
    </row>
    <row r="39" spans="2:22" ht="15" thickTop="1">
      <c r="M39" s="5"/>
      <c r="N39" s="5"/>
      <c r="O39" s="5"/>
      <c r="P39" s="5"/>
      <c r="Q39" s="5"/>
      <c r="R39" s="5"/>
    </row>
    <row r="40" spans="2:22" hidden="1">
      <c r="M40" s="5"/>
      <c r="N40" s="5"/>
      <c r="O40" s="5"/>
      <c r="P40" s="5"/>
      <c r="Q40" s="5"/>
      <c r="R40" s="5"/>
    </row>
    <row r="41" spans="2:22" ht="15.75" hidden="1" customHeight="1" thickBot="1">
      <c r="M41" s="5"/>
      <c r="N41" s="5"/>
      <c r="O41" s="5"/>
      <c r="P41" s="5"/>
      <c r="Q41" s="5"/>
      <c r="R41" s="5"/>
    </row>
    <row r="42" spans="2:22" ht="30.75" hidden="1" customHeight="1" thickBot="1">
      <c r="M42" s="5"/>
      <c r="N42" s="5"/>
      <c r="O42" s="5"/>
      <c r="P42" s="5"/>
      <c r="Q42" s="5"/>
      <c r="R42" s="5"/>
    </row>
    <row r="43" spans="2:22" hidden="1">
      <c r="M43" s="5"/>
      <c r="N43" s="5"/>
      <c r="O43" s="5"/>
      <c r="P43" s="5"/>
      <c r="Q43" s="5"/>
      <c r="R43" s="5"/>
    </row>
    <row r="44" spans="2:22" ht="15.75" hidden="1" customHeight="1" thickBot="1">
      <c r="M44" s="5"/>
      <c r="N44" s="5"/>
      <c r="O44" s="5"/>
      <c r="P44" s="5"/>
      <c r="Q44" s="5"/>
      <c r="R44" s="5"/>
    </row>
    <row r="45" spans="2:22" ht="15.75" hidden="1" customHeight="1" thickBot="1">
      <c r="P45" s="5"/>
      <c r="Q45" s="5"/>
      <c r="R45" s="5"/>
    </row>
    <row r="46" spans="2:22" hidden="1">
      <c r="P46" s="5"/>
      <c r="Q46" s="5"/>
      <c r="R46" s="5"/>
    </row>
    <row r="47" spans="2:22" hidden="1">
      <c r="P47" s="5"/>
      <c r="Q47" s="5"/>
      <c r="R47" s="5"/>
    </row>
    <row r="48" spans="2:22" ht="15.75" hidden="1" customHeight="1" thickBot="1">
      <c r="P48" s="5"/>
      <c r="Q48" s="5"/>
      <c r="R48" s="5"/>
    </row>
    <row r="49" spans="16:18" ht="15.75" hidden="1" customHeight="1" thickBot="1">
      <c r="P49" s="5"/>
      <c r="Q49" s="5"/>
      <c r="R49" s="5"/>
    </row>
    <row r="50" spans="16:18" ht="15" hidden="1" customHeight="1">
      <c r="P50" s="5"/>
      <c r="Q50" s="5"/>
      <c r="R50" s="5"/>
    </row>
    <row r="51" spans="16:18" ht="15.75" hidden="1" customHeight="1" thickBot="1">
      <c r="P51" s="5"/>
      <c r="Q51" s="5"/>
      <c r="R51" s="5"/>
    </row>
    <row r="52" spans="16:18" ht="15.75" hidden="1" customHeight="1" thickBot="1">
      <c r="P52" s="5"/>
      <c r="Q52" s="5"/>
      <c r="R52" s="5"/>
    </row>
    <row r="53" spans="16:18" ht="15" hidden="1" customHeight="1">
      <c r="P53" s="5"/>
      <c r="Q53" s="5"/>
      <c r="R53" s="5"/>
    </row>
    <row r="54" spans="16:18" ht="15.75" hidden="1" customHeight="1" thickBot="1">
      <c r="P54" s="5"/>
      <c r="Q54" s="5"/>
      <c r="R54" s="5"/>
    </row>
    <row r="55" spans="16:18" ht="15.75" hidden="1" customHeight="1" thickBot="1">
      <c r="P55" s="5"/>
      <c r="Q55" s="5"/>
      <c r="R55" s="5"/>
    </row>
    <row r="56" spans="16:18" ht="15" hidden="1" customHeight="1">
      <c r="P56" s="5"/>
      <c r="Q56" s="5"/>
      <c r="R56" s="5"/>
    </row>
    <row r="57" spans="16:18" ht="15" hidden="1" customHeight="1">
      <c r="P57" s="5"/>
      <c r="Q57" s="5"/>
      <c r="R57" s="5"/>
    </row>
    <row r="58" spans="16:18" ht="15.75" hidden="1" customHeight="1" thickBot="1">
      <c r="P58" s="5"/>
      <c r="Q58" s="5"/>
      <c r="R58" s="5"/>
    </row>
    <row r="59" spans="16:18" ht="15.75" hidden="1" customHeight="1" thickBot="1">
      <c r="P59" s="5"/>
      <c r="Q59" s="5"/>
      <c r="R59" s="5"/>
    </row>
    <row r="60" spans="16:18" ht="15.75" hidden="1" customHeight="1" thickBot="1">
      <c r="P60" s="5"/>
      <c r="Q60" s="5"/>
      <c r="R60" s="5"/>
    </row>
    <row r="61" spans="16:18" ht="15.75" hidden="1" customHeight="1" thickBot="1">
      <c r="P61" s="5"/>
      <c r="Q61" s="5"/>
      <c r="R61" s="5"/>
    </row>
    <row r="62" spans="16:18" ht="15.75" hidden="1" customHeight="1" thickBot="1">
      <c r="P62" s="5"/>
      <c r="Q62" s="5"/>
      <c r="R62" s="5"/>
    </row>
    <row r="63" spans="16:18" ht="15.75" hidden="1" customHeight="1" thickBot="1">
      <c r="P63" s="5"/>
      <c r="Q63" s="5"/>
      <c r="R63" s="5"/>
    </row>
    <row r="64" spans="16:18" ht="15.75" hidden="1" customHeight="1" thickBot="1">
      <c r="P64" s="5"/>
      <c r="Q64" s="5"/>
      <c r="R64" s="5"/>
    </row>
    <row r="65" spans="16:18" ht="15.75" hidden="1" customHeight="1" thickBot="1">
      <c r="P65" s="5"/>
      <c r="Q65" s="5"/>
      <c r="R65" s="5"/>
    </row>
    <row r="66" spans="16:18" hidden="1">
      <c r="P66" s="5"/>
      <c r="Q66" s="5"/>
      <c r="R66" s="5"/>
    </row>
    <row r="67" spans="16:18" hidden="1">
      <c r="P67" s="5"/>
      <c r="Q67" s="5"/>
      <c r="R67" s="5"/>
    </row>
    <row r="68" spans="16:18" hidden="1">
      <c r="P68" s="5"/>
      <c r="Q68" s="5"/>
      <c r="R68" s="5"/>
    </row>
    <row r="69" spans="16:18" hidden="1">
      <c r="P69" s="5"/>
      <c r="Q69" s="5"/>
      <c r="R69" s="5"/>
    </row>
    <row r="70" spans="16:18" hidden="1">
      <c r="P70" s="5"/>
      <c r="Q70" s="5"/>
      <c r="R70" s="5"/>
    </row>
    <row r="71" spans="16:18" ht="15.75" hidden="1" customHeight="1" thickBot="1">
      <c r="P71" s="5"/>
      <c r="Q71" s="5"/>
      <c r="R71" s="5"/>
    </row>
    <row r="72" spans="16:18" ht="15.75" hidden="1" customHeight="1" thickBot="1">
      <c r="P72" s="5"/>
      <c r="Q72" s="5"/>
      <c r="R72" s="5"/>
    </row>
    <row r="73" spans="16:18" ht="16.5" hidden="1" customHeight="1" thickTop="1" thickBot="1">
      <c r="P73" s="5"/>
      <c r="Q73" s="5"/>
      <c r="R73" s="5"/>
    </row>
    <row r="74" spans="16:18" hidden="1">
      <c r="P74" s="5"/>
      <c r="Q74" s="5"/>
      <c r="R74" s="5"/>
    </row>
    <row r="75" spans="16:18">
      <c r="P75" s="5"/>
      <c r="Q75" s="5"/>
      <c r="R75" s="5"/>
    </row>
    <row r="76" spans="16:18">
      <c r="P76" s="5"/>
      <c r="Q76" s="5"/>
      <c r="R76" s="5"/>
    </row>
    <row r="77" spans="16:18">
      <c r="P77" s="88" t="s">
        <v>7</v>
      </c>
      <c r="Q77" s="5"/>
      <c r="R77" s="5"/>
    </row>
    <row r="78" spans="16:18">
      <c r="P78" s="91" t="s">
        <v>36</v>
      </c>
      <c r="Q78" s="88" t="s">
        <v>37</v>
      </c>
      <c r="R78" s="20" t="s">
        <v>38</v>
      </c>
    </row>
    <row r="79" spans="16:18">
      <c r="P79" s="95">
        <f>SUM(G35/12)*10</f>
        <v>2173590.3906168034</v>
      </c>
      <c r="Q79" s="96">
        <f>SUM(G35/12)*2</f>
        <v>434718.07812336064</v>
      </c>
      <c r="R79" s="96">
        <f>P79+Q79</f>
        <v>2608308.4687401643</v>
      </c>
    </row>
    <row r="81" spans="1:20">
      <c r="B81" s="474"/>
      <c r="C81" s="473" t="s">
        <v>168</v>
      </c>
      <c r="D81" s="472">
        <f>F35</f>
        <v>16726421.45874016</v>
      </c>
      <c r="E81" s="467" t="s">
        <v>163</v>
      </c>
      <c r="Q81" s="100" t="s">
        <v>40</v>
      </c>
    </row>
    <row r="82" spans="1:20">
      <c r="C82" s="448" t="s">
        <v>169</v>
      </c>
      <c r="D82" s="96">
        <f>I35</f>
        <v>17115870.906741757</v>
      </c>
      <c r="E82" s="467" t="s">
        <v>164</v>
      </c>
      <c r="Q82" s="95">
        <f>Q79/18</f>
        <v>24151.004340186701</v>
      </c>
    </row>
    <row r="83" spans="1:20">
      <c r="C83" s="448" t="s">
        <v>170</v>
      </c>
      <c r="D83" s="96">
        <f>D82*0.75</f>
        <v>12836903.180056319</v>
      </c>
      <c r="E83" s="467" t="s">
        <v>165</v>
      </c>
      <c r="F83" s="2"/>
      <c r="G83" s="3"/>
      <c r="H83" s="3"/>
      <c r="K83" s="2"/>
      <c r="L83" s="2"/>
      <c r="R83" s="3"/>
      <c r="T83" s="2"/>
    </row>
    <row r="84" spans="1:20" ht="15" thickBot="1">
      <c r="B84" s="474"/>
      <c r="C84" s="473" t="s">
        <v>160</v>
      </c>
      <c r="D84" s="472">
        <f>O33</f>
        <v>3721201.1002076808</v>
      </c>
      <c r="E84" s="467" t="s">
        <v>166</v>
      </c>
    </row>
    <row r="85" spans="1:20" ht="15" thickBot="1">
      <c r="B85" s="475"/>
      <c r="C85" s="476" t="s">
        <v>161</v>
      </c>
      <c r="D85" s="477">
        <f>D83+D84</f>
        <v>16558104.280263999</v>
      </c>
    </row>
    <row r="86" spans="1:20">
      <c r="A86" s="100"/>
      <c r="B86" s="100"/>
      <c r="C86" s="321" t="s">
        <v>167</v>
      </c>
      <c r="D86" s="471">
        <f>D85-D81</f>
        <v>-168317.17847616039</v>
      </c>
    </row>
    <row r="120" spans="17:17">
      <c r="Q120" s="100" t="s">
        <v>41</v>
      </c>
    </row>
    <row r="121" spans="17:17">
      <c r="Q121" s="95">
        <f>Q79/24</f>
        <v>18113.253255140025</v>
      </c>
    </row>
  </sheetData>
  <mergeCells count="36">
    <mergeCell ref="T16:U16"/>
    <mergeCell ref="P16:R16"/>
    <mergeCell ref="P10:R10"/>
    <mergeCell ref="K19:K20"/>
    <mergeCell ref="K10:K11"/>
    <mergeCell ref="P3:R3"/>
    <mergeCell ref="J4:J6"/>
    <mergeCell ref="K4:K6"/>
    <mergeCell ref="I2:L2"/>
    <mergeCell ref="I33:L33"/>
    <mergeCell ref="E21:E22"/>
    <mergeCell ref="J21:J22"/>
    <mergeCell ref="K21:K22"/>
    <mergeCell ref="G21:G22"/>
    <mergeCell ref="H21:H22"/>
    <mergeCell ref="E24:E25"/>
    <mergeCell ref="J24:J25"/>
    <mergeCell ref="K24:K25"/>
    <mergeCell ref="G24:G25"/>
    <mergeCell ref="H24:H25"/>
    <mergeCell ref="A10:A11"/>
    <mergeCell ref="D10:D11"/>
    <mergeCell ref="E10:E11"/>
    <mergeCell ref="F10:F11"/>
    <mergeCell ref="J10:J11"/>
    <mergeCell ref="A19:A20"/>
    <mergeCell ref="E19:E20"/>
    <mergeCell ref="J19:J20"/>
    <mergeCell ref="G19:G20"/>
    <mergeCell ref="H19:H20"/>
    <mergeCell ref="G4:G6"/>
    <mergeCell ref="H4:H6"/>
    <mergeCell ref="D5:D6"/>
    <mergeCell ref="F5:F6"/>
    <mergeCell ref="G10:G11"/>
    <mergeCell ref="H10:H11"/>
  </mergeCells>
  <pageMargins left="0.2" right="0.2" top="0.25" bottom="0.25" header="0.3" footer="0.3"/>
  <pageSetup paperSize="5" scale="81" orientation="landscape" r:id="rId1"/>
  <ignoredErrors>
    <ignoredError sqref="H27:H28 U20 U27" formula="1"/>
  </ignoredError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B1:I22"/>
  <sheetViews>
    <sheetView workbookViewId="0">
      <selection activeCell="M18" sqref="M18"/>
    </sheetView>
  </sheetViews>
  <sheetFormatPr defaultColWidth="9.109375" defaultRowHeight="14.4"/>
  <cols>
    <col min="1" max="1" width="9.109375" style="444"/>
    <col min="2" max="2" width="39.109375" style="444" customWidth="1"/>
    <col min="3" max="3" width="12.6640625" style="444" bestFit="1" customWidth="1"/>
    <col min="4" max="4" width="25.33203125" style="444" customWidth="1"/>
    <col min="5" max="5" width="9.109375" style="444"/>
    <col min="6" max="6" width="9.109375" style="444" customWidth="1"/>
    <col min="7" max="7" width="14" style="444" customWidth="1"/>
    <col min="8" max="8" width="9.109375" style="444"/>
    <col min="9" max="9" width="26.33203125" style="444" customWidth="1"/>
    <col min="10" max="16384" width="9.109375" style="444"/>
  </cols>
  <sheetData>
    <row r="1" spans="2:9" ht="15" thickBot="1"/>
    <row r="2" spans="2:9" ht="16.2" thickBot="1">
      <c r="B2" s="927" t="s">
        <v>55</v>
      </c>
      <c r="C2" s="928"/>
      <c r="D2" s="758" t="s">
        <v>276</v>
      </c>
      <c r="E2" s="758" t="s">
        <v>275</v>
      </c>
      <c r="F2" s="758" t="s">
        <v>274</v>
      </c>
      <c r="G2" s="757"/>
      <c r="H2" s="757"/>
      <c r="I2" s="756"/>
    </row>
    <row r="3" spans="2:9" ht="16.2" thickBot="1">
      <c r="B3" s="755" t="s">
        <v>277</v>
      </c>
      <c r="C3" s="759">
        <f>'Models A B C'!D6*('Models A B C'!D40+1)</f>
        <v>79693.804100002162</v>
      </c>
      <c r="D3" s="754"/>
      <c r="E3" s="753"/>
      <c r="F3" s="753"/>
      <c r="G3" s="753"/>
      <c r="H3" s="753"/>
      <c r="I3" s="752"/>
    </row>
    <row r="4" spans="2:9" ht="16.2" thickBot="1">
      <c r="B4" s="751" t="s">
        <v>278</v>
      </c>
      <c r="C4" s="759">
        <f>'Models A B C'!D7*('Models A B C'!D41+1)</f>
        <v>55542.801464060729</v>
      </c>
      <c r="D4" s="750"/>
      <c r="E4" s="742"/>
      <c r="F4" s="742"/>
      <c r="G4" s="742"/>
      <c r="H4" s="742"/>
      <c r="I4" s="741"/>
    </row>
    <row r="5" spans="2:9" ht="16.2" thickBot="1">
      <c r="B5" s="751" t="s">
        <v>71</v>
      </c>
      <c r="C5" s="759">
        <f>'Models A B C'!D8*('Models A B C'!D42+1)</f>
        <v>54110.799604681692</v>
      </c>
      <c r="D5" s="750"/>
      <c r="E5" s="742"/>
      <c r="F5" s="742"/>
      <c r="G5" s="742"/>
      <c r="H5" s="742"/>
      <c r="I5" s="741"/>
    </row>
    <row r="6" spans="2:9" ht="16.2" thickBot="1">
      <c r="B6" s="751" t="s">
        <v>73</v>
      </c>
      <c r="C6" s="759">
        <f>'Models A B C'!D9*('Models A B C'!D43+1)</f>
        <v>90483.887203019724</v>
      </c>
      <c r="D6" s="750"/>
      <c r="E6" s="742"/>
      <c r="F6" s="742"/>
      <c r="G6" s="742"/>
      <c r="H6" s="742"/>
      <c r="I6" s="741"/>
    </row>
    <row r="7" spans="2:9" ht="16.2" thickBot="1">
      <c r="B7" s="743" t="s">
        <v>65</v>
      </c>
      <c r="C7" s="759">
        <f>'Models A B C'!D10*('Models A B C'!D44+1)</f>
        <v>62728.637696237201</v>
      </c>
      <c r="D7" s="750"/>
      <c r="E7" s="742"/>
      <c r="F7" s="742"/>
      <c r="G7" s="742"/>
      <c r="H7" s="742"/>
      <c r="I7" s="741"/>
    </row>
    <row r="8" spans="2:9" ht="16.2" thickBot="1">
      <c r="B8" s="743" t="s">
        <v>75</v>
      </c>
      <c r="C8" s="759">
        <f>'Models A B C'!D11*('Models A B C'!D45+1)</f>
        <v>48356.933422073991</v>
      </c>
      <c r="D8" s="750"/>
      <c r="E8" s="742"/>
      <c r="F8" s="742"/>
      <c r="G8" s="742"/>
      <c r="H8" s="742"/>
      <c r="I8" s="741"/>
    </row>
    <row r="9" spans="2:9" ht="16.2" thickBot="1">
      <c r="B9" s="743" t="s">
        <v>280</v>
      </c>
      <c r="C9" s="759">
        <f>'Models A B C'!D12*('Models A B C'!D46+1)</f>
        <v>28224.841144193815</v>
      </c>
      <c r="D9" s="750"/>
      <c r="E9" s="742"/>
      <c r="F9" s="742"/>
      <c r="G9" s="742"/>
      <c r="H9" s="742"/>
      <c r="I9" s="741"/>
    </row>
    <row r="10" spans="2:9" ht="16.2" thickBot="1">
      <c r="B10" s="743" t="s">
        <v>279</v>
      </c>
      <c r="C10" s="759">
        <f>'Models A B C'!D13*('Models A B C'!D47+1)</f>
        <v>28224.841144193815</v>
      </c>
      <c r="D10" s="750"/>
      <c r="E10" s="742"/>
      <c r="F10" s="742"/>
      <c r="G10" s="742"/>
      <c r="H10" s="742"/>
      <c r="I10" s="741"/>
    </row>
    <row r="11" spans="2:9" ht="16.2" thickBot="1">
      <c r="B11" s="743" t="s">
        <v>79</v>
      </c>
      <c r="C11" s="759">
        <f>'Models A B C'!D14*('Models A B C'!D48+1)</f>
        <v>28224.841144193815</v>
      </c>
      <c r="D11" s="750"/>
      <c r="E11" s="742"/>
      <c r="F11" s="742"/>
      <c r="G11" s="742"/>
      <c r="H11" s="742"/>
      <c r="I11" s="741"/>
    </row>
    <row r="12" spans="2:9" ht="16.2" thickBot="1">
      <c r="B12" s="771" t="s">
        <v>273</v>
      </c>
      <c r="C12" s="772">
        <f>'Models A B C'!D15*('Models A B C'!D49+1)</f>
        <v>28224.841144193815</v>
      </c>
      <c r="D12" s="773"/>
      <c r="E12" s="774"/>
      <c r="F12" s="774"/>
      <c r="G12" s="774"/>
      <c r="H12" s="774"/>
      <c r="I12" s="775"/>
    </row>
    <row r="13" spans="2:9" ht="15" thickBot="1">
      <c r="B13" s="780"/>
      <c r="C13" s="781"/>
      <c r="D13" s="781"/>
      <c r="E13" s="781"/>
      <c r="F13" s="781"/>
      <c r="G13" s="781"/>
      <c r="H13" s="781"/>
      <c r="I13" s="782"/>
    </row>
    <row r="14" spans="2:9" ht="15.6">
      <c r="B14" s="776" t="s">
        <v>272</v>
      </c>
      <c r="C14" s="777">
        <v>6.3E-3</v>
      </c>
      <c r="D14" s="778"/>
      <c r="E14" s="778"/>
      <c r="F14" s="778"/>
      <c r="G14" s="778"/>
      <c r="H14" s="778"/>
      <c r="I14" s="779"/>
    </row>
    <row r="15" spans="2:9" ht="15.6">
      <c r="B15" s="743" t="s">
        <v>115</v>
      </c>
      <c r="C15" s="746">
        <f>'Models A B C'!D39</f>
        <v>0.12</v>
      </c>
      <c r="D15" s="745"/>
      <c r="E15" s="742"/>
      <c r="F15" s="742"/>
      <c r="G15" s="742"/>
      <c r="H15" s="742"/>
      <c r="I15" s="741"/>
    </row>
    <row r="16" spans="2:9" ht="15.6">
      <c r="B16" s="743" t="s">
        <v>100</v>
      </c>
      <c r="C16" s="746">
        <f>'Models A B C'!D33</f>
        <v>0.22602863541922683</v>
      </c>
      <c r="D16" s="745"/>
      <c r="E16" s="742"/>
      <c r="F16" s="742"/>
      <c r="G16" s="742"/>
      <c r="H16" s="742"/>
      <c r="I16" s="741"/>
    </row>
    <row r="17" spans="2:9" ht="15.6">
      <c r="B17" s="743" t="s">
        <v>285</v>
      </c>
      <c r="C17" s="760">
        <f>'Models A B C'!D35*('Models A B C'!D40+1)</f>
        <v>4329.2420250640835</v>
      </c>
      <c r="D17" s="744"/>
      <c r="E17" s="742"/>
      <c r="F17" s="749"/>
      <c r="G17" s="748"/>
      <c r="H17" s="748"/>
      <c r="I17" s="747"/>
    </row>
    <row r="18" spans="2:9" ht="15.6">
      <c r="B18" s="743" t="s">
        <v>281</v>
      </c>
      <c r="C18" s="764">
        <f>'Models A B C'!D34*('Models A B C'!D40+1)</f>
        <v>53982.023877337888</v>
      </c>
      <c r="D18" s="744"/>
      <c r="E18" s="742"/>
      <c r="F18" s="742"/>
      <c r="G18" s="742"/>
      <c r="H18" s="742"/>
      <c r="I18" s="741"/>
    </row>
    <row r="19" spans="2:9" ht="15.6">
      <c r="B19" s="743" t="s">
        <v>284</v>
      </c>
      <c r="C19" s="764">
        <f>'Models A B C'!D35*('Models A B C'!D41+1)</f>
        <v>4202.8761942675155</v>
      </c>
      <c r="D19" s="744"/>
      <c r="E19" s="742"/>
      <c r="F19" s="742"/>
      <c r="G19" s="742"/>
      <c r="H19" s="742"/>
      <c r="I19" s="741"/>
    </row>
    <row r="20" spans="2:9" ht="15.6">
      <c r="B20" s="743" t="s">
        <v>282</v>
      </c>
      <c r="C20" s="765">
        <f>'Models A B C'!D36*('Models A B C'!D40+1)</f>
        <v>8.6031330105383077</v>
      </c>
      <c r="D20" s="742"/>
      <c r="E20" s="742"/>
      <c r="F20" s="742"/>
      <c r="G20" s="742"/>
      <c r="H20" s="742"/>
      <c r="I20" s="741"/>
    </row>
    <row r="21" spans="2:9" ht="16.2" thickBot="1">
      <c r="B21" s="761" t="s">
        <v>283</v>
      </c>
      <c r="C21" s="767">
        <f>'Models A B C'!D37*('Models A B C'!D43+1)</f>
        <v>1668.9958313837251</v>
      </c>
      <c r="D21" s="762"/>
      <c r="E21" s="762"/>
      <c r="F21" s="762"/>
      <c r="G21" s="762"/>
      <c r="H21" s="762"/>
      <c r="I21" s="763"/>
    </row>
    <row r="22" spans="2:9" ht="15" thickBot="1">
      <c r="B22" s="768"/>
      <c r="C22" s="769"/>
      <c r="D22" s="769"/>
      <c r="E22" s="769"/>
      <c r="F22" s="769"/>
      <c r="G22" s="769"/>
      <c r="H22" s="769"/>
      <c r="I22" s="770"/>
    </row>
  </sheetData>
  <mergeCells count="1">
    <mergeCell ref="B2:C2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Blended-MobileRelief</vt:lpstr>
      <vt:lpstr>FI Mobile Relief</vt:lpstr>
      <vt:lpstr>Fall 2018</vt:lpstr>
      <vt:lpstr>Models A B C</vt:lpstr>
      <vt:lpstr>Peer Model </vt:lpstr>
      <vt:lpstr>Site Only Model</vt:lpstr>
      <vt:lpstr>Mobile Only Model</vt:lpstr>
      <vt:lpstr> PPH Adjustments</vt:lpstr>
      <vt:lpstr>EXPENSE COMPARE</vt:lpstr>
      <vt:lpstr>ActivityCodeReport</vt:lpstr>
      <vt:lpstr>' PPH Adjustments'!Print_Area</vt:lpstr>
      <vt:lpstr>'Blended-MobileRelief'!Print_Area</vt:lpstr>
      <vt:lpstr>'Fall 2018'!Print_Area</vt:lpstr>
      <vt:lpstr>'FI Mobile Relief'!Print_Area</vt:lpstr>
      <vt:lpstr>'Mobile Only Model'!Print_Area</vt:lpstr>
      <vt:lpstr>'Models A B C'!Print_Area</vt:lpstr>
      <vt:lpstr>'Peer Model '!Print_Area</vt:lpstr>
      <vt:lpstr>'Site Only Model'!Print_Area</vt:lpstr>
      <vt:lpstr>'Fall 2018'!Print_Titles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DMH Respite - Mobile per Diem Model</dc:title>
  <dc:creator>EHS</dc:creator>
  <cp:lastModifiedBy>AutoBVT</cp:lastModifiedBy>
  <cp:lastPrinted>2019-02-11T16:14:11Z</cp:lastPrinted>
  <dcterms:created xsi:type="dcterms:W3CDTF">2017-04-19T12:24:10Z</dcterms:created>
  <dcterms:modified xsi:type="dcterms:W3CDTF">2019-02-25T16:18:01Z</dcterms:modified>
</cp:coreProperties>
</file>