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240" windowWidth="23250" windowHeight="12465" tabRatio="850" firstSheet="1" activeTab="7"/>
  </bookViews>
  <sheets>
    <sheet name="Master Lookup" sheetId="1" r:id="rId1"/>
    <sheet name="1. 2nd OFFENDER- 3401 " sheetId="5" r:id="rId2"/>
    <sheet name="2.  RESI REHAB 3386 Clinical" sheetId="21" r:id="rId3"/>
    <sheet name="2. Per DiemAdd on" sheetId="22" r:id="rId4"/>
    <sheet name="2a.  P&amp;P Enhancements 3386 " sheetId="7" r:id="rId5"/>
    <sheet name="3. JAIL DIVERSION - 4958 " sheetId="9" r:id="rId6"/>
    <sheet name="4. FAMILY SOBER LIVING - 4919" sheetId="11" r:id="rId7"/>
    <sheet name="5. FAMILY RESI - 3380 " sheetId="13" r:id="rId8"/>
    <sheet name="CAF Fall 2018" sheetId="1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Average" localSheetId="1">[1]ALLCleanData!#REF!</definedName>
    <definedName name="Average" localSheetId="2">#REF!</definedName>
    <definedName name="Average" localSheetId="3">#REF!</definedName>
    <definedName name="Average" localSheetId="5">[2]ALLCleanData!#REF!</definedName>
    <definedName name="Average">#REF!</definedName>
    <definedName name="CAF_NEW" localSheetId="6">[3]RawDataCalcs!$L$70:$DB$70</definedName>
    <definedName name="CAF_NEW" localSheetId="7">[3]RawDataCalcs!$L$70:$DB$70</definedName>
    <definedName name="CAF_NEW">[4]RawDataCalcs!$L$70:$DB$70</definedName>
    <definedName name="Cap" localSheetId="1">'[5]RawDataCalcs3386&amp;3401'!$L$68:$DB$68</definedName>
    <definedName name="Cap" localSheetId="2">[6]RawDataCalcs!$L$59:$DB$59</definedName>
    <definedName name="Cap" localSheetId="3">[6]RawDataCalcs!$L$59:$DB$59</definedName>
    <definedName name="Cap" localSheetId="4">[6]RawDataCalcs!$L$59:$DB$59</definedName>
    <definedName name="Cap" localSheetId="5">[7]RawDataCalcs!$L$9:$DB$9</definedName>
    <definedName name="Cap" localSheetId="6">[8]ALLRawDataCalcs!$L$17:$DB$17</definedName>
    <definedName name="Cap" localSheetId="7">[9]ALLRawDataCalcs!$L$17:$DB$17</definedName>
    <definedName name="Cap" localSheetId="0">[10]RawDataCalcs!$L$70:$DB$70</definedName>
    <definedName name="Cap">'[11]RawDataCalcs3386&amp;3401'!$L$66:$DB$66</definedName>
    <definedName name="Data" localSheetId="2">#REF!</definedName>
    <definedName name="Data" localSheetId="3">#REF!</definedName>
    <definedName name="Data" localSheetId="6">#REF!</definedName>
    <definedName name="Data" localSheetId="7">#REF!</definedName>
    <definedName name="Data">#REF!</definedName>
    <definedName name="Floor" localSheetId="1">'[5]RawDataCalcs3386&amp;3401'!$L$67:$DB$67</definedName>
    <definedName name="Floor" localSheetId="2">[6]RawDataCalcs!$L$58:$DB$58</definedName>
    <definedName name="Floor" localSheetId="3">[6]RawDataCalcs!$L$58:$DB$58</definedName>
    <definedName name="Floor" localSheetId="4">[6]RawDataCalcs!$L$58:$DB$58</definedName>
    <definedName name="Floor" localSheetId="5">[7]RawDataCalcs!$L$8:$DB$8</definedName>
    <definedName name="Floor" localSheetId="6">[8]ALLRawDataCalcs!$L$16:$DB$16</definedName>
    <definedName name="Floor" localSheetId="7">[9]ALLRawDataCalcs!$L$16:$DB$16</definedName>
    <definedName name="Floor" localSheetId="0">[10]RawDataCalcs!$L$69:$DB$69</definedName>
    <definedName name="Floor">'[11]RawDataCalcs3386&amp;3401'!$L$65:$DB$65</definedName>
    <definedName name="Funds" localSheetId="1">'[12]RawDataCalcs3386&amp;3401'!$L$68:$DB$68</definedName>
    <definedName name="Funds" localSheetId="5">'[12]RawDataCalcs3386&amp;3401'!$L$68:$DB$68</definedName>
    <definedName name="Funds">'[13]RawDataCalcs3386&amp;3401'!$L$68:$DB$68</definedName>
    <definedName name="gk" localSheetId="1">#REF!</definedName>
    <definedName name="gk" localSheetId="2">#REF!</definedName>
    <definedName name="gk" localSheetId="3">#REF!</definedName>
    <definedName name="gk" localSheetId="4">#REF!</definedName>
    <definedName name="gk" localSheetId="5">#REF!</definedName>
    <definedName name="gk" localSheetId="6">#REF!</definedName>
    <definedName name="gk" localSheetId="7">#REF!</definedName>
    <definedName name="gk" localSheetId="0">#REF!</definedName>
    <definedName name="gk">#REF!</definedName>
    <definedName name="JailDAverage" localSheetId="2">#REF!</definedName>
    <definedName name="JailDAverage" localSheetId="3">#REF!</definedName>
    <definedName name="JailDAverage" localSheetId="6">#REF!</definedName>
    <definedName name="JailDAverage" localSheetId="7">#REF!</definedName>
    <definedName name="JailDAverage">#REF!</definedName>
    <definedName name="JailDCap">[14]ALLRawDataCalcs!$L$80:$DB$80</definedName>
    <definedName name="JailDFloor">[14]ALLRawDataCalcs!$L$79:$DB$79</definedName>
    <definedName name="JailDgk" localSheetId="2">#REF!</definedName>
    <definedName name="JailDgk" localSheetId="3">#REF!</definedName>
    <definedName name="JailDgk" localSheetId="6">#REF!</definedName>
    <definedName name="JailDgk" localSheetId="7">#REF!</definedName>
    <definedName name="JailDgk">#REF!</definedName>
    <definedName name="JailDMax" localSheetId="2">#REF!</definedName>
    <definedName name="JailDMax" localSheetId="3">#REF!</definedName>
    <definedName name="JailDMax" localSheetId="6">#REF!</definedName>
    <definedName name="JailDMax" localSheetId="7">#REF!</definedName>
    <definedName name="JailDMax">#REF!</definedName>
    <definedName name="JailDMedian" localSheetId="2">#REF!</definedName>
    <definedName name="JailDMedian" localSheetId="3">#REF!</definedName>
    <definedName name="JailDMedian" localSheetId="6">#REF!</definedName>
    <definedName name="JailDMedian" localSheetId="7">#REF!</definedName>
    <definedName name="JailDMedian">#REF!</definedName>
    <definedName name="Max" localSheetId="1">[1]ALLCleanData!#REF!</definedName>
    <definedName name="Max" localSheetId="2">#REF!</definedName>
    <definedName name="Max" localSheetId="3">#REF!</definedName>
    <definedName name="Max" localSheetId="5">[2]ALLCleanData!#REF!</definedName>
    <definedName name="Max">#REF!</definedName>
    <definedName name="Median" localSheetId="1">[1]ALLCleanData!#REF!</definedName>
    <definedName name="Median" localSheetId="2">#REF!</definedName>
    <definedName name="Median" localSheetId="3">#REF!</definedName>
    <definedName name="Median" localSheetId="5">[2]ALLCleanData!#REF!</definedName>
    <definedName name="Median">#REF!</definedName>
    <definedName name="Min" localSheetId="1">[1]ALLCleanData!#REF!</definedName>
    <definedName name="Min" localSheetId="2">#REF!</definedName>
    <definedName name="Min" localSheetId="3">#REF!</definedName>
    <definedName name="Min" localSheetId="5">[2]ALLCleanData!#REF!</definedName>
    <definedName name="Min">#REF!</definedName>
    <definedName name="new" localSheetId="1">#REF!</definedName>
    <definedName name="new" localSheetId="2">#REF!</definedName>
    <definedName name="new" localSheetId="3">#REF!</definedName>
    <definedName name="new" localSheetId="4">#REF!</definedName>
    <definedName name="new" localSheetId="5">#REF!</definedName>
    <definedName name="new" localSheetId="6">#REF!</definedName>
    <definedName name="new" localSheetId="7">#REF!</definedName>
    <definedName name="new">#REF!</definedName>
    <definedName name="_xlnm.Print_Area" localSheetId="1">'1. 2nd OFFENDER- 3401 '!$B$1:$H$42</definedName>
    <definedName name="_xlnm.Print_Area" localSheetId="6">'4. FAMILY SOBER LIVING - 4919'!$A$1:$G$39</definedName>
    <definedName name="_xlnm.Print_Area" localSheetId="7">'5. FAMILY RESI - 3380 '!$B$1:$O$46,'5. FAMILY RESI - 3380 '!$Q$1:$AD$46</definedName>
    <definedName name="_xlnm.Print_Titles" localSheetId="8">'CAF Fall 2018'!$A:$A</definedName>
    <definedName name="Program_File" localSheetId="2">#REF!</definedName>
    <definedName name="Program_File" localSheetId="3">#REF!</definedName>
    <definedName name="Program_File">#REF!</definedName>
    <definedName name="ProvFTE">'[15]FTE Data'!$A$3:$AW$56</definedName>
    <definedName name="PurchasedBy">'[15]FTE Data'!$C$263:$AZ$657</definedName>
    <definedName name="resmay2007" localSheetId="1">#REF!</definedName>
    <definedName name="resmay2007" localSheetId="2">#REF!</definedName>
    <definedName name="resmay2007" localSheetId="3">#REF!</definedName>
    <definedName name="resmay2007" localSheetId="4">#REF!</definedName>
    <definedName name="resmay2007" localSheetId="5">#REF!</definedName>
    <definedName name="resmay2007" localSheetId="6">#REF!</definedName>
    <definedName name="resmay2007" localSheetId="7">#REF!</definedName>
    <definedName name="resmay2007">#REF!</definedName>
    <definedName name="Site_list">[15]Lists!$A$2:$A$53</definedName>
    <definedName name="Source" localSheetId="1">#REF!</definedName>
    <definedName name="Source" localSheetId="2">#REF!</definedName>
    <definedName name="Source" localSheetId="3">#REF!</definedName>
    <definedName name="Source" localSheetId="4">#REF!</definedName>
    <definedName name="Source" localSheetId="5">#REF!</definedName>
    <definedName name="Source" localSheetId="6">#REF!</definedName>
    <definedName name="Source" localSheetId="7">#REF!</definedName>
    <definedName name="Source">#REF!</definedName>
    <definedName name="Source_2" localSheetId="1">#REF!</definedName>
    <definedName name="Source_2" localSheetId="2">#REF!</definedName>
    <definedName name="Source_2" localSheetId="3">#REF!</definedName>
    <definedName name="Source_2" localSheetId="4">#REF!</definedName>
    <definedName name="Source_2" localSheetId="5">#REF!</definedName>
    <definedName name="Source_2" localSheetId="6">#REF!</definedName>
    <definedName name="Source_2" localSheetId="7">#REF!</definedName>
    <definedName name="Source_2" localSheetId="0">#REF!</definedName>
    <definedName name="Source_2">#REF!</definedName>
    <definedName name="SourcePathAndFileName" localSheetId="2">#REF!</definedName>
    <definedName name="SourcePathAndFileName" localSheetId="3">#REF!</definedName>
    <definedName name="SourcePathAndFileName">#REF!</definedName>
    <definedName name="Total_UFR" localSheetId="2">#REF!</definedName>
    <definedName name="Total_UFR" localSheetId="3">#REF!</definedName>
    <definedName name="Total_UFR">#REF!</definedName>
    <definedName name="Z_0E99B8F5_2809_4D97_8227_3422E522E04C_.wvu.Cols" localSheetId="1" hidden="1">'1. 2nd OFFENDER- 3401 '!#REF!</definedName>
    <definedName name="Z_0E99B8F5_2809_4D97_8227_3422E522E04C_.wvu.Cols" localSheetId="7" hidden="1">'5. FAMILY RESI - 3380 '!#REF!</definedName>
    <definedName name="Z_0E99B8F5_2809_4D97_8227_3422E522E04C_.wvu.PrintArea" localSheetId="1" hidden="1">'1. 2nd OFFENDER- 3401 '!$B$1:$H$42</definedName>
    <definedName name="Z_0E99B8F5_2809_4D97_8227_3422E522E04C_.wvu.PrintArea" localSheetId="6" hidden="1">'4. FAMILY SOBER LIVING - 4919'!$B$1:$I$30</definedName>
    <definedName name="Z_0E99B8F5_2809_4D97_8227_3422E522E04C_.wvu.PrintArea" localSheetId="7" hidden="1">'5. FAMILY RESI - 3380 '!$B$1:$O$46,'5. FAMILY RESI - 3380 '!$Q$1:$AD$46</definedName>
    <definedName name="Z_B5837528_F556_4927_BE56_326C83C78B54_.wvu.Cols" localSheetId="1" hidden="1">'1. 2nd OFFENDER- 3401 '!#REF!</definedName>
    <definedName name="Z_B5837528_F556_4927_BE56_326C83C78B54_.wvu.Cols" localSheetId="7" hidden="1">'5. FAMILY RESI - 3380 '!#REF!</definedName>
    <definedName name="Z_B5837528_F556_4927_BE56_326C83C78B54_.wvu.PrintArea" localSheetId="1" hidden="1">'1. 2nd OFFENDER- 3401 '!$B$1:$H$42</definedName>
    <definedName name="Z_B5837528_F556_4927_BE56_326C83C78B54_.wvu.PrintArea" localSheetId="6" hidden="1">'4. FAMILY SOBER LIVING - 4919'!$B$1:$I$30</definedName>
    <definedName name="Z_B5837528_F556_4927_BE56_326C83C78B54_.wvu.PrintArea" localSheetId="7" hidden="1">'5. FAMILY RESI - 3380 '!$B$1:$O$46,'5. FAMILY RESI - 3380 '!$Q$1:$AD$46</definedName>
  </definedNames>
  <calcPr calcId="145621"/>
  <customWorkbookViews>
    <customWorkbookView name="Rohmann, Mayeli (EHS) - Personal View" guid="{B5837528-F556-4927-BE56-326C83C78B54}" mergeInterval="0" personalView="1" maximized="1" windowWidth="1596" windowHeight="675" activeSheetId="2"/>
    <customWorkbookView name="  - Personal View" guid="{0E99B8F5-2809-4D97-8227-3422E522E04C}" mergeInterval="0" personalView="1" maximized="1" windowWidth="1596" windowHeight="635" activeSheetId="3"/>
  </customWorkbookViews>
  <fileRecoveryPr autoRecover="0"/>
</workbook>
</file>

<file path=xl/calcChain.xml><?xml version="1.0" encoding="utf-8"?>
<calcChain xmlns="http://schemas.openxmlformats.org/spreadsheetml/2006/main">
  <c r="G12" i="22" l="1"/>
  <c r="H12" i="22"/>
  <c r="J12" i="22"/>
  <c r="AB24" i="13" l="1"/>
  <c r="W24" i="13"/>
  <c r="R24" i="13"/>
  <c r="M24" i="13"/>
  <c r="H24" i="13"/>
  <c r="C24" i="13"/>
  <c r="E8" i="22"/>
  <c r="C24" i="11" l="1"/>
  <c r="C27" i="9"/>
  <c r="H23" i="9" s="1"/>
  <c r="B25" i="7" l="1"/>
  <c r="G22" i="7" l="1"/>
  <c r="C25" i="7"/>
  <c r="C18" i="7"/>
  <c r="D11" i="7"/>
  <c r="C12" i="7"/>
  <c r="C11" i="7"/>
  <c r="C10" i="7"/>
  <c r="C9" i="7"/>
  <c r="C8" i="7"/>
  <c r="C7" i="7"/>
  <c r="C9" i="22" l="1"/>
  <c r="E9" i="22" s="1"/>
  <c r="E10" i="22" s="1"/>
  <c r="C11" i="22"/>
  <c r="B25" i="21"/>
  <c r="E20" i="21"/>
  <c r="D8" i="21"/>
  <c r="D7" i="21"/>
  <c r="C25" i="21"/>
  <c r="D9" i="21"/>
  <c r="C24" i="21" l="1"/>
  <c r="C22" i="21"/>
  <c r="E22" i="21" s="1"/>
  <c r="C19" i="21"/>
  <c r="E19" i="21" s="1"/>
  <c r="C14" i="21"/>
  <c r="C12" i="21"/>
  <c r="C11" i="21"/>
  <c r="C10" i="21"/>
  <c r="C9" i="21"/>
  <c r="C8" i="21"/>
  <c r="B7" i="21"/>
  <c r="C7" i="21"/>
  <c r="D10" i="21"/>
  <c r="E17" i="13" l="1"/>
  <c r="H17" i="22"/>
  <c r="M14" i="22"/>
  <c r="H11" i="22"/>
  <c r="M10" i="22" s="1"/>
  <c r="M9" i="22"/>
  <c r="O9" i="22" s="1"/>
  <c r="H9" i="22"/>
  <c r="M8" i="22"/>
  <c r="O8" i="22" s="1"/>
  <c r="H8" i="22"/>
  <c r="J8" i="22" s="1"/>
  <c r="J9" i="22" l="1"/>
  <c r="M7" i="22"/>
  <c r="O7" i="22" s="1"/>
  <c r="O10" i="22" l="1"/>
  <c r="O11" i="22" s="1"/>
  <c r="O12" i="22" s="1"/>
  <c r="J10" i="22"/>
  <c r="J11" i="22" l="1"/>
  <c r="J13" i="22" s="1"/>
  <c r="O13" i="22"/>
  <c r="O14" i="22" s="1"/>
  <c r="N16" i="22" s="1"/>
  <c r="E7" i="21"/>
  <c r="J15" i="22" l="1"/>
  <c r="J14" i="22"/>
  <c r="E8" i="21"/>
  <c r="E11" i="21"/>
  <c r="E9" i="21"/>
  <c r="E10" i="21"/>
  <c r="J16" i="22" l="1"/>
  <c r="J18" i="22"/>
  <c r="E11" i="22" l="1"/>
  <c r="E13" i="22" s="1"/>
  <c r="E14" i="22" l="1"/>
  <c r="E15" i="22"/>
  <c r="E2" i="11" l="1"/>
  <c r="E2" i="13"/>
  <c r="C23" i="13"/>
  <c r="H23" i="13" s="1"/>
  <c r="M23" i="13" s="1"/>
  <c r="R23" i="13" s="1"/>
  <c r="W23" i="13" s="1"/>
  <c r="AB23" i="13" s="1"/>
  <c r="B23" i="13"/>
  <c r="G23" i="13" s="1"/>
  <c r="L23" i="13" s="1"/>
  <c r="Q23" i="13" s="1"/>
  <c r="V23" i="13" s="1"/>
  <c r="AA23" i="13" s="1"/>
  <c r="C23" i="11"/>
  <c r="B23" i="11"/>
  <c r="C26" i="9"/>
  <c r="H22" i="9" s="1"/>
  <c r="B26" i="9"/>
  <c r="G22" i="9" s="1"/>
  <c r="C26" i="5"/>
  <c r="B26" i="5"/>
  <c r="H22" i="7"/>
  <c r="BH21" i="19" l="1"/>
  <c r="BH17" i="19"/>
  <c r="BO21" i="19"/>
  <c r="BN21" i="19"/>
  <c r="BM21" i="19"/>
  <c r="BL21" i="19"/>
  <c r="BK21" i="19"/>
  <c r="BJ21" i="19"/>
  <c r="BI21" i="19"/>
  <c r="BQ21" i="19"/>
  <c r="BO20" i="19"/>
  <c r="BN20" i="19"/>
  <c r="BM20" i="19"/>
  <c r="BL20" i="19"/>
  <c r="BK20" i="19"/>
  <c r="BJ20" i="19"/>
  <c r="BI20" i="19"/>
  <c r="BH20" i="19"/>
  <c r="BQ17" i="19"/>
  <c r="I9" i="7"/>
  <c r="BQ23" i="19" l="1"/>
  <c r="C65" i="1" s="1"/>
  <c r="C22" i="5"/>
  <c r="C24" i="5"/>
  <c r="C28" i="13" l="1"/>
  <c r="C30" i="7"/>
  <c r="H27" i="7"/>
  <c r="H35" i="7" s="1"/>
  <c r="C16" i="22"/>
  <c r="E16" i="22" s="1"/>
  <c r="E29" i="13" s="1"/>
  <c r="J29" i="13" s="1"/>
  <c r="O29" i="13" s="1"/>
  <c r="T29" i="13" s="1"/>
  <c r="Y29" i="13" s="1"/>
  <c r="AD29" i="13" s="1"/>
  <c r="C29" i="21"/>
  <c r="C60" i="1"/>
  <c r="H12" i="9"/>
  <c r="H12" i="7"/>
  <c r="C14" i="7"/>
  <c r="C16" i="5"/>
  <c r="C31" i="5" l="1"/>
  <c r="C28" i="11"/>
  <c r="C31" i="9"/>
  <c r="I26" i="9" s="1"/>
  <c r="C21" i="11"/>
  <c r="C20" i="11"/>
  <c r="C19" i="11"/>
  <c r="C18" i="11"/>
  <c r="C17" i="11"/>
  <c r="C27" i="5"/>
  <c r="C24" i="7"/>
  <c r="H23" i="7" s="1"/>
  <c r="C14" i="5"/>
  <c r="B6" i="13"/>
  <c r="G6" i="13" s="1"/>
  <c r="L6" i="13" s="1"/>
  <c r="Q6" i="13" s="1"/>
  <c r="V6" i="13" s="1"/>
  <c r="AA6" i="13" s="1"/>
  <c r="B7" i="11"/>
  <c r="B8" i="9"/>
  <c r="G8" i="9" s="1"/>
  <c r="B7" i="7"/>
  <c r="G7" i="7" s="1"/>
  <c r="B7" i="5"/>
  <c r="C7" i="11" l="1"/>
  <c r="C8" i="11"/>
  <c r="C9" i="11"/>
  <c r="C10" i="11"/>
  <c r="C11" i="11"/>
  <c r="C12" i="11"/>
  <c r="C14" i="11"/>
  <c r="AB6" i="13" l="1"/>
  <c r="AB7" i="13"/>
  <c r="AB8" i="13"/>
  <c r="AB9" i="13"/>
  <c r="AB10" i="13"/>
  <c r="AB11" i="13"/>
  <c r="AB12" i="13"/>
  <c r="AB13" i="13"/>
  <c r="C15" i="13"/>
  <c r="W6" i="13"/>
  <c r="W7" i="13"/>
  <c r="W8" i="13"/>
  <c r="W9" i="13"/>
  <c r="W10" i="13"/>
  <c r="W11" i="13"/>
  <c r="W12" i="13"/>
  <c r="W13" i="13"/>
  <c r="E21" i="11"/>
  <c r="E20" i="11"/>
  <c r="E19" i="11"/>
  <c r="E18" i="11"/>
  <c r="E17" i="11"/>
  <c r="C14" i="9"/>
  <c r="C13" i="9"/>
  <c r="C12" i="9"/>
  <c r="C24" i="9" s="1"/>
  <c r="E24" i="9" s="1"/>
  <c r="C22" i="9" s="1"/>
  <c r="E22" i="9" s="1"/>
  <c r="C20" i="9"/>
  <c r="E20" i="9" s="1"/>
  <c r="C21" i="9" s="1"/>
  <c r="E21" i="9" s="1"/>
  <c r="D8" i="9"/>
  <c r="D9" i="9"/>
  <c r="D10" i="9"/>
  <c r="D11" i="9"/>
  <c r="D12" i="9"/>
  <c r="E12" i="9" s="1"/>
  <c r="D13" i="9"/>
  <c r="D14" i="9"/>
  <c r="H10" i="7"/>
  <c r="H9" i="7"/>
  <c r="J9" i="7" s="1"/>
  <c r="H8" i="7"/>
  <c r="H20" i="7" s="1"/>
  <c r="J20" i="7" s="1"/>
  <c r="C22" i="7" s="1"/>
  <c r="E22" i="7" s="1"/>
  <c r="H15" i="7" s="1"/>
  <c r="J15" i="7" s="1"/>
  <c r="C20" i="7"/>
  <c r="E20" i="7" s="1"/>
  <c r="H17" i="7" s="1"/>
  <c r="J17" i="7" s="1"/>
  <c r="C19" i="7"/>
  <c r="E19" i="7" s="1"/>
  <c r="C12" i="5"/>
  <c r="C13" i="5"/>
  <c r="R13" i="13"/>
  <c r="M13" i="13"/>
  <c r="H13" i="13"/>
  <c r="D14" i="5"/>
  <c r="D13" i="5"/>
  <c r="D12" i="5"/>
  <c r="D11" i="5"/>
  <c r="D10" i="5"/>
  <c r="D9" i="5"/>
  <c r="D8" i="5"/>
  <c r="D7" i="5"/>
  <c r="I12" i="9"/>
  <c r="I11" i="9"/>
  <c r="I10" i="9"/>
  <c r="J18" i="9" s="1"/>
  <c r="I9" i="9"/>
  <c r="I8" i="9"/>
  <c r="C7" i="5"/>
  <c r="C8" i="5"/>
  <c r="C9" i="5"/>
  <c r="C10" i="5"/>
  <c r="C11" i="5"/>
  <c r="C5" i="1"/>
  <c r="C6" i="1"/>
  <c r="C7" i="1"/>
  <c r="C8" i="1"/>
  <c r="C21" i="5"/>
  <c r="E21" i="5" s="1"/>
  <c r="I7" i="7"/>
  <c r="D46" i="7"/>
  <c r="D7" i="7"/>
  <c r="D8" i="7"/>
  <c r="C11" i="9"/>
  <c r="C10" i="9"/>
  <c r="C8" i="9"/>
  <c r="C9" i="9"/>
  <c r="E9" i="9" s="1"/>
  <c r="D10" i="13"/>
  <c r="D13" i="13"/>
  <c r="D8" i="13"/>
  <c r="D7" i="13"/>
  <c r="D6" i="13"/>
  <c r="D12" i="13"/>
  <c r="D11" i="13"/>
  <c r="D9" i="13"/>
  <c r="C6" i="13"/>
  <c r="E6" i="13" s="1"/>
  <c r="C7" i="13"/>
  <c r="E7" i="13" s="1"/>
  <c r="C8" i="13"/>
  <c r="C9" i="13"/>
  <c r="C10" i="13"/>
  <c r="E10" i="13" s="1"/>
  <c r="C11" i="13"/>
  <c r="C12" i="13"/>
  <c r="E18" i="13"/>
  <c r="E19" i="13"/>
  <c r="E20" i="13"/>
  <c r="E21" i="13"/>
  <c r="H21" i="13"/>
  <c r="M21" i="13" s="1"/>
  <c r="H20" i="13"/>
  <c r="M20" i="13" s="1"/>
  <c r="R20" i="13" s="1"/>
  <c r="T20" i="13" s="1"/>
  <c r="H19" i="13"/>
  <c r="M19" i="13" s="1"/>
  <c r="H18" i="13"/>
  <c r="M18" i="13" s="1"/>
  <c r="H17" i="13"/>
  <c r="M17" i="13" s="1"/>
  <c r="I10" i="13"/>
  <c r="N10" i="13" s="1"/>
  <c r="D7" i="11"/>
  <c r="D8" i="11"/>
  <c r="D9" i="11"/>
  <c r="E9" i="11" s="1"/>
  <c r="D10" i="11"/>
  <c r="D11" i="11"/>
  <c r="C16" i="9"/>
  <c r="H15" i="9"/>
  <c r="H39" i="9"/>
  <c r="H40" i="9"/>
  <c r="H41" i="9"/>
  <c r="H42" i="9"/>
  <c r="H43" i="9"/>
  <c r="H44" i="9"/>
  <c r="H45" i="9"/>
  <c r="H17" i="5"/>
  <c r="H28" i="5" s="1"/>
  <c r="H29" i="5" s="1"/>
  <c r="E22" i="5"/>
  <c r="E24" i="5"/>
  <c r="R6" i="13"/>
  <c r="R7" i="13"/>
  <c r="R8" i="13"/>
  <c r="R9" i="13"/>
  <c r="R10" i="13"/>
  <c r="R11" i="13"/>
  <c r="R12" i="13"/>
  <c r="R15" i="13"/>
  <c r="H6" i="13"/>
  <c r="H7" i="13"/>
  <c r="H8" i="13"/>
  <c r="H9" i="13"/>
  <c r="H10" i="13"/>
  <c r="H11" i="13"/>
  <c r="H12" i="13"/>
  <c r="H15" i="13"/>
  <c r="J21" i="13"/>
  <c r="AD17" i="13"/>
  <c r="AD18" i="13"/>
  <c r="AD19" i="13"/>
  <c r="AD20" i="13"/>
  <c r="AD21" i="13"/>
  <c r="Y17" i="13"/>
  <c r="Y18" i="13"/>
  <c r="Y19" i="13"/>
  <c r="Y20" i="13"/>
  <c r="Y21" i="13"/>
  <c r="M6" i="13"/>
  <c r="M7" i="13"/>
  <c r="M8" i="13"/>
  <c r="M9" i="13"/>
  <c r="M10" i="13"/>
  <c r="M11" i="13"/>
  <c r="M12" i="13"/>
  <c r="M15" i="13"/>
  <c r="AB15" i="13"/>
  <c r="W15" i="13"/>
  <c r="AD2" i="13"/>
  <c r="Y2" i="13"/>
  <c r="T2" i="13"/>
  <c r="O2" i="13"/>
  <c r="J2" i="13"/>
  <c r="I28" i="5"/>
  <c r="I27" i="5"/>
  <c r="I26" i="5"/>
  <c r="I25" i="5"/>
  <c r="H34" i="9"/>
  <c r="I32" i="9"/>
  <c r="J17" i="13"/>
  <c r="E13" i="5"/>
  <c r="E10" i="11"/>
  <c r="E8" i="11"/>
  <c r="E14" i="5"/>
  <c r="W20" i="13" l="1"/>
  <c r="AB20" i="13" s="1"/>
  <c r="J18" i="13"/>
  <c r="H14" i="13"/>
  <c r="M14" i="13"/>
  <c r="E9" i="13"/>
  <c r="E11" i="11"/>
  <c r="E7" i="11"/>
  <c r="I13" i="9"/>
  <c r="E14" i="9"/>
  <c r="D9" i="7"/>
  <c r="D10" i="7"/>
  <c r="E11" i="9"/>
  <c r="E13" i="9"/>
  <c r="E12" i="5"/>
  <c r="D15" i="5"/>
  <c r="I8" i="7"/>
  <c r="E8" i="5"/>
  <c r="I34" i="9"/>
  <c r="E10" i="5"/>
  <c r="O20" i="13"/>
  <c r="J20" i="13"/>
  <c r="E12" i="13"/>
  <c r="R14" i="13"/>
  <c r="D15" i="9"/>
  <c r="R17" i="13"/>
  <c r="O17" i="13"/>
  <c r="R18" i="13"/>
  <c r="O18" i="13"/>
  <c r="H28" i="13"/>
  <c r="M28" i="13" s="1"/>
  <c r="E7" i="7"/>
  <c r="C9" i="1"/>
  <c r="C10" i="1" s="1"/>
  <c r="C13" i="13" s="1"/>
  <c r="J10" i="13"/>
  <c r="E11" i="13"/>
  <c r="C20" i="5"/>
  <c r="E20" i="5" s="1"/>
  <c r="E8" i="13"/>
  <c r="C19" i="5"/>
  <c r="E19" i="5" s="1"/>
  <c r="I9" i="13"/>
  <c r="N9" i="13" s="1"/>
  <c r="I12" i="13"/>
  <c r="N12" i="13" s="1"/>
  <c r="I7" i="13"/>
  <c r="N7" i="13" s="1"/>
  <c r="I13" i="13"/>
  <c r="N13" i="13" s="1"/>
  <c r="H9" i="9"/>
  <c r="J9" i="9" s="1"/>
  <c r="E10" i="9"/>
  <c r="H7" i="7"/>
  <c r="J7" i="7" s="1"/>
  <c r="E11" i="5"/>
  <c r="E9" i="5"/>
  <c r="I11" i="13"/>
  <c r="I6" i="13"/>
  <c r="N6" i="13" s="1"/>
  <c r="I8" i="13"/>
  <c r="J8" i="13" s="1"/>
  <c r="E8" i="9"/>
  <c r="H10" i="9"/>
  <c r="J10" i="9" s="1"/>
  <c r="R21" i="13"/>
  <c r="W21" i="13" s="1"/>
  <c r="AB21" i="13" s="1"/>
  <c r="O21" i="13"/>
  <c r="H46" i="9"/>
  <c r="H47" i="9" s="1"/>
  <c r="J5" i="9" s="1"/>
  <c r="E8" i="7"/>
  <c r="C17" i="7"/>
  <c r="E17" i="7" s="1"/>
  <c r="E7" i="5"/>
  <c r="C19" i="9"/>
  <c r="E19" i="9" s="1"/>
  <c r="H18" i="7"/>
  <c r="J18" i="7" s="1"/>
  <c r="J12" i="9"/>
  <c r="E11" i="7"/>
  <c r="E10" i="7"/>
  <c r="R19" i="13"/>
  <c r="O19" i="13"/>
  <c r="S10" i="13"/>
  <c r="O10" i="13"/>
  <c r="J19" i="13"/>
  <c r="C14" i="13" l="1"/>
  <c r="E13" i="13"/>
  <c r="AB14" i="13"/>
  <c r="D12" i="11"/>
  <c r="D12" i="21"/>
  <c r="J7" i="13"/>
  <c r="W14" i="13"/>
  <c r="E15" i="9"/>
  <c r="E26" i="9" s="1"/>
  <c r="E14" i="13"/>
  <c r="E16" i="9"/>
  <c r="D12" i="7"/>
  <c r="D13" i="7" s="1"/>
  <c r="E9" i="7"/>
  <c r="R28" i="13"/>
  <c r="W28" i="13" s="1"/>
  <c r="AB28" i="13" s="1"/>
  <c r="M39" i="13"/>
  <c r="J8" i="7"/>
  <c r="I10" i="7"/>
  <c r="J10" i="7" s="1"/>
  <c r="E12" i="7"/>
  <c r="I11" i="7"/>
  <c r="T21" i="13"/>
  <c r="J13" i="13"/>
  <c r="J9" i="13"/>
  <c r="T18" i="13"/>
  <c r="W18" i="13"/>
  <c r="AB18" i="13" s="1"/>
  <c r="W17" i="13"/>
  <c r="AB17" i="13" s="1"/>
  <c r="T17" i="13"/>
  <c r="J12" i="13"/>
  <c r="N8" i="13"/>
  <c r="E15" i="5"/>
  <c r="J13" i="9"/>
  <c r="J6" i="13"/>
  <c r="S6" i="13"/>
  <c r="T6" i="13" s="1"/>
  <c r="O6" i="13"/>
  <c r="N11" i="13"/>
  <c r="J11" i="13"/>
  <c r="E17" i="9"/>
  <c r="E25" i="9" s="1"/>
  <c r="S12" i="13"/>
  <c r="O12" i="13"/>
  <c r="W19" i="13"/>
  <c r="AB19" i="13" s="1"/>
  <c r="T19" i="13"/>
  <c r="O13" i="13"/>
  <c r="S13" i="13"/>
  <c r="O7" i="13"/>
  <c r="S7" i="13"/>
  <c r="S9" i="13"/>
  <c r="O9" i="13"/>
  <c r="X10" i="13"/>
  <c r="T10" i="13"/>
  <c r="E12" i="11" l="1"/>
  <c r="E13" i="11" s="1"/>
  <c r="D13" i="11"/>
  <c r="E12" i="21"/>
  <c r="E13" i="21" s="1"/>
  <c r="D13" i="21"/>
  <c r="E17" i="21" s="1"/>
  <c r="E15" i="13"/>
  <c r="E16" i="13" s="1"/>
  <c r="E22" i="13" s="1"/>
  <c r="E23" i="13"/>
  <c r="J15" i="9"/>
  <c r="J16" i="9" s="1"/>
  <c r="J21" i="9" s="1"/>
  <c r="J22" i="9"/>
  <c r="E16" i="5"/>
  <c r="E17" i="5" s="1"/>
  <c r="E25" i="5" s="1"/>
  <c r="E26" i="5"/>
  <c r="E13" i="7"/>
  <c r="J11" i="7"/>
  <c r="X6" i="13"/>
  <c r="Y6" i="13" s="1"/>
  <c r="J14" i="13"/>
  <c r="H16" i="7"/>
  <c r="J16" i="7" s="1"/>
  <c r="E18" i="7"/>
  <c r="S8" i="13"/>
  <c r="O8" i="13"/>
  <c r="S11" i="13"/>
  <c r="O11" i="13"/>
  <c r="E27" i="9"/>
  <c r="E28" i="9" s="1"/>
  <c r="T12" i="13"/>
  <c r="X12" i="13"/>
  <c r="AC10" i="13"/>
  <c r="AD10" i="13" s="1"/>
  <c r="Y10" i="13"/>
  <c r="X9" i="13"/>
  <c r="T9" i="13"/>
  <c r="X7" i="13"/>
  <c r="T7" i="13"/>
  <c r="X13" i="13"/>
  <c r="T13" i="13"/>
  <c r="E14" i="21" l="1"/>
  <c r="E15" i="21" s="1"/>
  <c r="E23" i="21" s="1"/>
  <c r="E25" i="21"/>
  <c r="E14" i="11"/>
  <c r="E15" i="11" s="1"/>
  <c r="E22" i="11" s="1"/>
  <c r="E23" i="11"/>
  <c r="AC6" i="13"/>
  <c r="AD6" i="13" s="1"/>
  <c r="J15" i="13"/>
  <c r="J16" i="13" s="1"/>
  <c r="J22" i="13" s="1"/>
  <c r="J23" i="13"/>
  <c r="E24" i="13"/>
  <c r="E25" i="13" s="1"/>
  <c r="E26" i="13" s="1"/>
  <c r="J12" i="7"/>
  <c r="J13" i="7" s="1"/>
  <c r="J21" i="7" s="1"/>
  <c r="J23" i="7" s="1"/>
  <c r="J22" i="7"/>
  <c r="E27" i="5"/>
  <c r="E28" i="5" s="1"/>
  <c r="J23" i="9"/>
  <c r="O14" i="13"/>
  <c r="E14" i="7"/>
  <c r="E15" i="7" s="1"/>
  <c r="E25" i="7"/>
  <c r="E23" i="7"/>
  <c r="X8" i="13"/>
  <c r="T8" i="13"/>
  <c r="X11" i="13"/>
  <c r="T11" i="13"/>
  <c r="E30" i="9"/>
  <c r="E31" i="9" s="1"/>
  <c r="E29" i="9"/>
  <c r="AC12" i="13"/>
  <c r="AD12" i="13" s="1"/>
  <c r="Y12" i="13"/>
  <c r="AC7" i="13"/>
  <c r="AD7" i="13" s="1"/>
  <c r="Y7" i="13"/>
  <c r="AC13" i="13"/>
  <c r="AD13" i="13" s="1"/>
  <c r="Y13" i="13"/>
  <c r="AC9" i="13"/>
  <c r="AD9" i="13" s="1"/>
  <c r="Y9" i="13"/>
  <c r="E24" i="11" l="1"/>
  <c r="E25" i="11" s="1"/>
  <c r="E26" i="11" s="1"/>
  <c r="E27" i="11" s="1"/>
  <c r="E28" i="11" s="1"/>
  <c r="E24" i="21"/>
  <c r="E26" i="21" s="1"/>
  <c r="T14" i="13"/>
  <c r="T23" i="13" s="1"/>
  <c r="E27" i="13"/>
  <c r="E28" i="13" s="1"/>
  <c r="E30" i="13" s="1"/>
  <c r="J24" i="7"/>
  <c r="J26" i="7" s="1"/>
  <c r="J27" i="7" s="1"/>
  <c r="O15" i="13"/>
  <c r="O16" i="13" s="1"/>
  <c r="O22" i="13" s="1"/>
  <c r="O23" i="13"/>
  <c r="J24" i="13"/>
  <c r="J25" i="13" s="1"/>
  <c r="J26" i="13" s="1"/>
  <c r="J27" i="13" s="1"/>
  <c r="J28" i="13" s="1"/>
  <c r="J30" i="13" s="1"/>
  <c r="E29" i="5"/>
  <c r="E30" i="5"/>
  <c r="E31" i="5" s="1"/>
  <c r="J24" i="9"/>
  <c r="J25" i="9" s="1"/>
  <c r="J26" i="9" s="1"/>
  <c r="E24" i="7"/>
  <c r="E26" i="7" s="1"/>
  <c r="AC8" i="13"/>
  <c r="AD8" i="13" s="1"/>
  <c r="Y8" i="13"/>
  <c r="Y11" i="13"/>
  <c r="AC11" i="13"/>
  <c r="AD11" i="13" s="1"/>
  <c r="E27" i="21" l="1"/>
  <c r="E28" i="21"/>
  <c r="E29" i="21" s="1"/>
  <c r="J33" i="7"/>
  <c r="J35" i="7" s="1"/>
  <c r="T15" i="13"/>
  <c r="T16" i="13" s="1"/>
  <c r="T22" i="13" s="1"/>
  <c r="T24" i="13" s="1"/>
  <c r="T25" i="13" s="1"/>
  <c r="J25" i="7"/>
  <c r="J32" i="7" s="1"/>
  <c r="O24" i="13"/>
  <c r="O25" i="13" s="1"/>
  <c r="O38" i="13"/>
  <c r="O39" i="13" s="1"/>
  <c r="E28" i="7"/>
  <c r="E27" i="7"/>
  <c r="Y14" i="13"/>
  <c r="AD14" i="13"/>
  <c r="E29" i="7" l="1"/>
  <c r="E32" i="7" s="1"/>
  <c r="E31" i="7"/>
  <c r="AD15" i="13"/>
  <c r="AD16" i="13" s="1"/>
  <c r="AD22" i="13" s="1"/>
  <c r="AD23" i="13"/>
  <c r="Y15" i="13"/>
  <c r="Y16" i="13" s="1"/>
  <c r="Y22" i="13" s="1"/>
  <c r="Y23" i="13"/>
  <c r="T26" i="13"/>
  <c r="T27" i="13" s="1"/>
  <c r="T28" i="13" s="1"/>
  <c r="T30" i="13" s="1"/>
  <c r="O26" i="13"/>
  <c r="O27" i="13" s="1"/>
  <c r="O28" i="13" s="1"/>
  <c r="O30" i="13" s="1"/>
  <c r="Y24" i="13" l="1"/>
  <c r="Y25" i="13" s="1"/>
  <c r="AD24" i="13"/>
  <c r="AD25" i="13" s="1"/>
  <c r="AD26" i="13" l="1"/>
  <c r="AD27" i="13" s="1"/>
  <c r="AD28" i="13" s="1"/>
  <c r="AD30" i="13" s="1"/>
  <c r="Y26" i="13"/>
  <c r="Y27" i="13" s="1"/>
  <c r="Y28" i="13" s="1"/>
  <c r="Y30" i="13" s="1"/>
</calcChain>
</file>

<file path=xl/comments1.xml><?xml version="1.0" encoding="utf-8"?>
<comments xmlns="http://schemas.openxmlformats.org/spreadsheetml/2006/main">
  <authors>
    <author>CVillacorta</author>
  </authors>
  <commentList>
    <comment ref="E4" authorId="0">
      <text>
        <r>
          <rPr>
            <b/>
            <sz val="8"/>
            <color indexed="81"/>
            <rFont val="Tahoma"/>
            <family val="2"/>
          </rPr>
          <t>CVillacorta:</t>
        </r>
        <r>
          <rPr>
            <sz val="8"/>
            <color indexed="81"/>
            <rFont val="Tahoma"/>
            <family val="2"/>
          </rPr>
          <t xml:space="preserve">
2 programs: one with 7 family unit capacity and one with 8 family unit capacity.</t>
        </r>
      </text>
    </comment>
  </commentList>
</comments>
</file>

<file path=xl/sharedStrings.xml><?xml version="1.0" encoding="utf-8"?>
<sst xmlns="http://schemas.openxmlformats.org/spreadsheetml/2006/main" count="741" uniqueCount="325">
  <si>
    <t>Jail Diversion:  1st and 2nd Phase Models</t>
  </si>
  <si>
    <t xml:space="preserve">Jail Diversion - 1st Phase </t>
  </si>
  <si>
    <t xml:space="preserve">Jail Diversion - Phase 2 </t>
  </si>
  <si>
    <t>Clinically Intensive 90 Days</t>
  </si>
  <si>
    <t>Case Management Phase</t>
  </si>
  <si>
    <t xml:space="preserve">Number of  Beds Model </t>
  </si>
  <si>
    <t>Yearly Hrs Per Person</t>
  </si>
  <si>
    <t xml:space="preserve">Days Per Year </t>
  </si>
  <si>
    <t>Salary Per FTE</t>
  </si>
  <si>
    <t>FTE</t>
  </si>
  <si>
    <t>Expense</t>
  </si>
  <si>
    <t>none</t>
  </si>
  <si>
    <t>Clinical Coordinator</t>
  </si>
  <si>
    <t>Recovery Specialist Supervisor</t>
  </si>
  <si>
    <t>Support Staffing</t>
  </si>
  <si>
    <t>Counselor</t>
  </si>
  <si>
    <t xml:space="preserve">Direct Care Relief </t>
  </si>
  <si>
    <t xml:space="preserve">Recovery Specialist </t>
  </si>
  <si>
    <t>Total Program Staff</t>
  </si>
  <si>
    <t>Factor</t>
  </si>
  <si>
    <t>Taxes &amp; Fringe</t>
  </si>
  <si>
    <t>Total Staffing Costs</t>
  </si>
  <si>
    <t>Amt Per FTE</t>
  </si>
  <si>
    <t>Travel (for DC Non-Master's)</t>
  </si>
  <si>
    <t>Per Bed Day</t>
  </si>
  <si>
    <t>Occupancy</t>
  </si>
  <si>
    <t>Other Program Expense</t>
  </si>
  <si>
    <t>Meals</t>
  </si>
  <si>
    <t>Total Reimbursable Expense</t>
  </si>
  <si>
    <t>Program Supplies and Materials</t>
  </si>
  <si>
    <t>Admin Allocation</t>
  </si>
  <si>
    <t>Other Program Expense without Meals and Program Supplies or Travel</t>
  </si>
  <si>
    <t>Total</t>
  </si>
  <si>
    <t>Per Rec Spec FTE/day</t>
  </si>
  <si>
    <t>Travel</t>
  </si>
  <si>
    <t>Total Reimbursable Exp. Excl. Admin.</t>
  </si>
  <si>
    <t>Hourly Rate w CAF</t>
  </si>
  <si>
    <t xml:space="preserve">Admin. Alloc. </t>
  </si>
  <si>
    <t>Phase II Travel Calculation</t>
  </si>
  <si>
    <t>Commonwealth of MA - Reimbursement Rate per Mile</t>
  </si>
  <si>
    <t>Mileage Estimate</t>
  </si>
  <si>
    <t>Mileage Per Day</t>
  </si>
  <si>
    <t>Per Diem Rate with CAF</t>
  </si>
  <si>
    <t>Utilization Rate w CAF</t>
  </si>
  <si>
    <t>Hrs</t>
  </si>
  <si>
    <t>Total Travel/yr</t>
  </si>
  <si>
    <t>Assume 5 days/week for 45 wks</t>
  </si>
  <si>
    <t>Relief Assumptions for Residential Rehab</t>
  </si>
  <si>
    <t>Case Management Productivity 
(Sxn 35 Clinical Case Mgmt Non-Masters standard, per Direct Care FTE)</t>
  </si>
  <si>
    <t>Hours</t>
  </si>
  <si>
    <t>Days</t>
  </si>
  <si>
    <t>Explanation</t>
  </si>
  <si>
    <t>Total Hours</t>
  </si>
  <si>
    <t>Vacation</t>
  </si>
  <si>
    <t>3 weeks</t>
  </si>
  <si>
    <t>Sick &amp; Personal</t>
  </si>
  <si>
    <t>2 weeks</t>
  </si>
  <si>
    <t>Holidays</t>
  </si>
  <si>
    <t>10 days</t>
  </si>
  <si>
    <t>Training</t>
  </si>
  <si>
    <t>3 days</t>
  </si>
  <si>
    <t xml:space="preserve">Subtotal </t>
  </si>
  <si>
    <t xml:space="preserve">5 hrs/week </t>
  </si>
  <si>
    <t>Yearly Hours</t>
  </si>
  <si>
    <t>Supervision</t>
  </si>
  <si>
    <t>1.0 hrs/every other week</t>
  </si>
  <si>
    <t>Admin</t>
  </si>
  <si>
    <t>3 hrs/wk admin</t>
  </si>
  <si>
    <t>per FTE</t>
  </si>
  <si>
    <t>Residential Rehabilitation - 
Pregnant Enhancement</t>
  </si>
  <si>
    <t>Residential Rehabilitation - 
Postpartum Enhancement</t>
  </si>
  <si>
    <t>Avg Bed Size</t>
  </si>
  <si>
    <t>Days Per Year</t>
  </si>
  <si>
    <t>Clinical Supervisor - Masters</t>
  </si>
  <si>
    <t>Recovery Specialist</t>
  </si>
  <si>
    <t>Recovery Specialist Relief</t>
  </si>
  <si>
    <t>Direct Care Relief</t>
  </si>
  <si>
    <t xml:space="preserve">Travel </t>
  </si>
  <si>
    <t>Utilization Rate w/CAF:</t>
  </si>
  <si>
    <t>Add On Rate at 87%</t>
  </si>
  <si>
    <t>Difference from 87% Resi Rate</t>
  </si>
  <si>
    <t xml:space="preserve">Child Model </t>
  </si>
  <si>
    <t>Per diem rate w CAF</t>
  </si>
  <si>
    <t>Residential Rehab: Second Offender Model</t>
  </si>
  <si>
    <t xml:space="preserve">2nd Offender </t>
  </si>
  <si>
    <t xml:space="preserve">Number of  Beds </t>
  </si>
  <si>
    <t>Clinical Supervisor - Master's</t>
  </si>
  <si>
    <t>Nurse</t>
  </si>
  <si>
    <t>Shift Supervisor  (Counselor &amp; Rec Sp)</t>
  </si>
  <si>
    <t>Support Staffing Detail from BSAS</t>
  </si>
  <si>
    <t>Data entry office Asst</t>
  </si>
  <si>
    <t>Secretary</t>
  </si>
  <si>
    <t>Business Manager</t>
  </si>
  <si>
    <t>Cook</t>
  </si>
  <si>
    <t>Maintenance</t>
  </si>
  <si>
    <t xml:space="preserve">total </t>
  </si>
  <si>
    <t xml:space="preserve">BSAS Staffing Guidelines </t>
  </si>
  <si>
    <t>Other Program Expense without Meals and Program Supplies</t>
  </si>
  <si>
    <t>Beds</t>
  </si>
  <si>
    <t>Total Hrs</t>
  </si>
  <si>
    <t>Program Mgmt</t>
  </si>
  <si>
    <t>Clinical Supervisor</t>
  </si>
  <si>
    <t>Shift Supervisor</t>
  </si>
  <si>
    <t>Support</t>
  </si>
  <si>
    <t>Residential Rehab: Family Sober Living Model</t>
  </si>
  <si>
    <t>Family Sober Living (4919)</t>
  </si>
  <si>
    <t>Family Units</t>
  </si>
  <si>
    <t>RFR Program Staff Requirements</t>
  </si>
  <si>
    <t>FY10 RFR 
FTE Staff Guidelines</t>
  </si>
  <si>
    <t>Expenditure</t>
  </si>
  <si>
    <t>Clinical (Supervisor)</t>
  </si>
  <si>
    <t>Case Manager (CM)</t>
  </si>
  <si>
    <t>Child Services Coordinator (CSC)</t>
  </si>
  <si>
    <t>Recovery Specialist (RS)</t>
  </si>
  <si>
    <t>Relief for RS, CM, CSC</t>
  </si>
  <si>
    <t xml:space="preserve">Total Direct Program Staff </t>
  </si>
  <si>
    <t>Per Family Unit</t>
  </si>
  <si>
    <t>Program Supplies &amp; Materials</t>
  </si>
  <si>
    <t>Other Program Expense w/o above expenses</t>
  </si>
  <si>
    <t>M&amp;G</t>
  </si>
  <si>
    <t>Program Total</t>
  </si>
  <si>
    <t>Unit Rate</t>
  </si>
  <si>
    <t>90% Capacity Unit Rate w CAF</t>
  </si>
  <si>
    <t>3380 Family Residential Treatment Models</t>
  </si>
  <si>
    <t>Family Residential Treatment</t>
  </si>
  <si>
    <t xml:space="preserve">13 Family </t>
  </si>
  <si>
    <t xml:space="preserve">14 Family </t>
  </si>
  <si>
    <t xml:space="preserve">15 Family </t>
  </si>
  <si>
    <t xml:space="preserve">16 Family </t>
  </si>
  <si>
    <t>Clinical Director</t>
  </si>
  <si>
    <t>Family Therapist</t>
  </si>
  <si>
    <t>Recovery Specialists</t>
  </si>
  <si>
    <t xml:space="preserve">Child Service Coordinator  </t>
  </si>
  <si>
    <t>Child Service Assistant</t>
  </si>
  <si>
    <t>Relief for Counselors &amp; Recovery Specialists</t>
  </si>
  <si>
    <t>Sub-total Taxes &amp; Fringe</t>
  </si>
  <si>
    <t>Sub-total Program Costs</t>
  </si>
  <si>
    <t>H0019-H9</t>
  </si>
  <si>
    <t>H0006-H9</t>
  </si>
  <si>
    <t>H0018-H9</t>
  </si>
  <si>
    <t>H0019-HD</t>
  </si>
  <si>
    <t>H0019-TH</t>
  </si>
  <si>
    <t>H0019-HR</t>
  </si>
  <si>
    <t>Massachusetts Economic Indicators</t>
  </si>
  <si>
    <t>Prepared by Michael Lynch, 781-301-9129</t>
  </si>
  <si>
    <t>FY19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</si>
  <si>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</si>
  <si>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</si>
  <si>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</si>
  <si>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</si>
  <si>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</si>
  <si>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</si>
  <si>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</si>
  <si>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</si>
  <si>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</si>
  <si>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</si>
  <si>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</si>
  <si>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</si>
  <si>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</si>
  <si>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</si>
  <si>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</si>
  <si>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</si>
  <si>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</si>
  <si>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</si>
  <si>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</si>
  <si>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</si>
  <si>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</si>
  <si>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</si>
  <si>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</si>
  <si>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</si>
  <si>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</si>
  <si>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</si>
  <si>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</si>
  <si>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</si>
  <si>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</si>
  <si>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</si>
  <si>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</si>
  <si>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</si>
  <si>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</si>
  <si>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</si>
  <si>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</si>
  <si>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</si>
  <si>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</si>
  <si>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</si>
  <si>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</si>
  <si>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</si>
  <si>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</si>
  <si>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</si>
  <si>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</si>
  <si>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</si>
  <si>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</si>
  <si>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</si>
  <si>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</si>
  <si>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</si>
  <si>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</si>
  <si>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</si>
  <si>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</si>
  <si>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</si>
  <si>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</si>
  <si>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</si>
  <si>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</si>
  <si>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</si>
  <si>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</si>
  <si>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</si>
  <si>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</si>
  <si>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</si>
  <si>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</si>
  <si>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</si>
  <si>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</si>
  <si>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</si>
  <si>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</si>
  <si>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</si>
  <si>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</si>
  <si>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</si>
  <si>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</si>
  <si>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</si>
  <si>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</si>
  <si>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</si>
  <si>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</si>
  <si>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</si>
  <si>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</si>
  <si>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</si>
  <si>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</si>
  <si>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</si>
  <si>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</si>
  <si>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</si>
  <si>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 xml:space="preserve">Base period: </t>
  </si>
  <si>
    <t>Average</t>
  </si>
  <si>
    <t xml:space="preserve">Prospective rate period: </t>
  </si>
  <si>
    <t>CAF:</t>
  </si>
  <si>
    <t>FY20</t>
  </si>
  <si>
    <t>FY21</t>
  </si>
  <si>
    <t>Rate-to-rate CAF</t>
  </si>
  <si>
    <t>Assumption for Rate Reviews that are to be promulgated July 1, 2019</t>
  </si>
  <si>
    <t>Master Look-Up Data</t>
  </si>
  <si>
    <t>Line Items</t>
  </si>
  <si>
    <t>Direct Care (Non Masters)</t>
  </si>
  <si>
    <t>Benchmark Expenses</t>
  </si>
  <si>
    <t xml:space="preserve">   Base: FY20Q4        Prospective Period: 7/1/19 - 6/30/21</t>
  </si>
  <si>
    <t>Clinical Supervisor - Masters's</t>
  </si>
  <si>
    <t xml:space="preserve">Nurse </t>
  </si>
  <si>
    <t>Shift Supervisor (Counselor &amp; Rec SP)</t>
  </si>
  <si>
    <t>1s, 2s, 3s</t>
  </si>
  <si>
    <t>35s, 36s</t>
  </si>
  <si>
    <t>8s &amp; 9s</t>
  </si>
  <si>
    <t>25s</t>
  </si>
  <si>
    <t>Rate Review CAF 7/1/19-6/30/21</t>
  </si>
  <si>
    <t>28s</t>
  </si>
  <si>
    <t>Case Manager</t>
  </si>
  <si>
    <t>29s, 30s</t>
  </si>
  <si>
    <t>32s, 33s, 34s</t>
  </si>
  <si>
    <t>37s</t>
  </si>
  <si>
    <t>27s</t>
  </si>
  <si>
    <t>4s, 22s, 24s</t>
  </si>
  <si>
    <t>Child Service Coordinator</t>
  </si>
  <si>
    <t>30s</t>
  </si>
  <si>
    <t>Program Manager / Director</t>
  </si>
  <si>
    <t xml:space="preserve">Clinical Supervisor  </t>
  </si>
  <si>
    <t>Preg enhance/postpartum</t>
  </si>
  <si>
    <t>adult resi</t>
  </si>
  <si>
    <t>adult resi/postpartum</t>
  </si>
  <si>
    <t>Preg enhancement</t>
  </si>
  <si>
    <t xml:space="preserve">  4958 Jail Diversion</t>
  </si>
  <si>
    <t>4958 Jail Diverison</t>
  </si>
  <si>
    <t>All Residential Rehab Models</t>
  </si>
  <si>
    <t>Line Item</t>
  </si>
  <si>
    <t>Benchmark</t>
  </si>
  <si>
    <t>Source</t>
  </si>
  <si>
    <t>Admin. Allocation</t>
  </si>
  <si>
    <t xml:space="preserve">CAF </t>
  </si>
  <si>
    <t>Median FY12 UFR for all resi spectrum service providers</t>
  </si>
  <si>
    <t>Rate period FY19-FY21 (07/01/2019 - 06/30/2021)</t>
  </si>
  <si>
    <t xml:space="preserve"> UFR  Salary/FTE</t>
  </si>
  <si>
    <t>Notes</t>
  </si>
  <si>
    <t>Family Resi 3380</t>
  </si>
  <si>
    <t>Benchmarked to YITS/3380</t>
  </si>
  <si>
    <t>Salary</t>
  </si>
  <si>
    <t>Child Service Specialist</t>
  </si>
  <si>
    <t>Family Based</t>
  </si>
  <si>
    <t xml:space="preserve">  Family Based</t>
  </si>
  <si>
    <t>101 CMR 420.00: Rates for Adult Long Term Residential Services</t>
  </si>
  <si>
    <t xml:space="preserve"> </t>
  </si>
  <si>
    <t>2nd Offender</t>
  </si>
  <si>
    <t>Current Rate</t>
  </si>
  <si>
    <t>Per Diem Rate</t>
  </si>
  <si>
    <t>Utilization Rate</t>
  </si>
  <si>
    <t>Jail Diversion 4958; benchmarked to PACT</t>
  </si>
  <si>
    <t>adult res 3386/2nd offender3401; benchmarked to PACT</t>
  </si>
  <si>
    <t>benchmarked to PACT</t>
  </si>
  <si>
    <t>% of Change</t>
  </si>
  <si>
    <t xml:space="preserve"> RFR FTE Staff Guidelines</t>
  </si>
  <si>
    <t>IHS Markit, Fall 2018 Forecast</t>
  </si>
  <si>
    <t>FY22</t>
  </si>
  <si>
    <t>FY23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</si>
  <si>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</si>
  <si>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</si>
  <si>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</si>
  <si>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</si>
  <si>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</si>
  <si>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</si>
  <si>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</si>
  <si>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</si>
  <si>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FY19Q4</t>
  </si>
  <si>
    <t>FY20 &amp; FY21</t>
  </si>
  <si>
    <t>PFMLA Trust Contribution</t>
  </si>
  <si>
    <t>Jan 30,2019</t>
  </si>
  <si>
    <t>Janu 30,2019</t>
  </si>
  <si>
    <t>Adult Residential Rehabilitation: Clinical rate</t>
  </si>
  <si>
    <t>Program Supplies and Materials, per bed day</t>
  </si>
  <si>
    <t>Other Program Expense without Meals and Program Supplies or Travel, per bed day</t>
  </si>
  <si>
    <t>Less Occupancy Add-on</t>
  </si>
  <si>
    <t>Residential Rehab: Clinical Rate</t>
  </si>
  <si>
    <t>Child Model H0019-HV</t>
  </si>
  <si>
    <t>Residential Rehabilitation - Pregnant &amp; Postpartum Enhancement</t>
  </si>
  <si>
    <r>
      <t xml:space="preserve">Occupancy, </t>
    </r>
    <r>
      <rPr>
        <b/>
        <sz val="10"/>
        <rFont val="Calibri"/>
        <family val="2"/>
        <scheme val="minor"/>
      </rPr>
      <t>per FTE</t>
    </r>
  </si>
  <si>
    <t>H0019</t>
  </si>
  <si>
    <t>12 Family H0019-</t>
  </si>
  <si>
    <t>11 Family</t>
  </si>
  <si>
    <t>H0019-HR (All models)</t>
  </si>
  <si>
    <t>H2034, H2034-HR</t>
  </si>
  <si>
    <t>2nd Partner Residential Enhancement Model H0047-HR</t>
  </si>
  <si>
    <t xml:space="preserve">updated from 11.5% to 12% </t>
  </si>
  <si>
    <t>Residential Rehab: daily per diem</t>
  </si>
  <si>
    <t>Adult &amp; Family Residential Rehabilitation: Daily per diem</t>
  </si>
  <si>
    <t>CAF (Rate review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</si>
</sst>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\$#,##0"/>
    <numFmt numFmtId="166" formatCode="_(* #,##0_);_(* \(#,##0\);_(* &quot;-&quot;??_);_(@_)"/>
    <numFmt numFmtId="167" formatCode="0.00_);[Red]\(0.00\)"/>
    <numFmt numFmtId="168" formatCode="&quot;$&quot;#,##0.00"/>
    <numFmt numFmtId="169" formatCode="&quot;$&quot;#,##0"/>
    <numFmt numFmtId="170" formatCode="0.0%"/>
    <numFmt numFmtId="171" formatCode="\$#,##0.00"/>
    <numFmt numFmtId="172" formatCode="0.000"/>
    <numFmt numFmtId="173" formatCode="_(&quot;$&quot;* #,##0_);_(&quot;$&quot;* \(#,##0\);_(&quot;$&quot;* &quot;-&quot;??_);_(@_)"/>
  </numFmts>
  <fonts count="12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Arial"/>
      <family val="2"/>
    </font>
    <font>
      <i/>
      <sz val="9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b/>
      <sz val="10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sz val="9"/>
      <color theme="1"/>
      <name val="Calibri"/>
      <family val="2"/>
    </font>
    <font>
      <b/>
      <sz val="10"/>
      <color theme="1"/>
      <name val="Arial"/>
      <family val="2"/>
    </font>
    <font>
      <sz val="8"/>
      <color indexed="8"/>
      <name val="Arial"/>
      <family val="2"/>
    </font>
    <font>
      <sz val="10"/>
      <color theme="1"/>
      <name val="Verdana"/>
      <family val="2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i/>
      <sz val="11"/>
      <color theme="1"/>
      <name val="Calibri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sz val="11"/>
      <name val="Calibri"/>
      <family val="2"/>
      <scheme val="minor"/>
    </font>
    <font>
      <i/>
      <sz val="9"/>
      <name val="Arial"/>
      <family val="2"/>
    </font>
    <font>
      <i/>
      <sz val="9"/>
      <color rgb="FFFF0000"/>
      <name val="Arial"/>
      <family val="2"/>
    </font>
    <font>
      <b/>
      <sz val="12"/>
      <color theme="0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Geneva"/>
    </font>
    <font>
      <sz val="12"/>
      <name val="Arial"/>
      <family val="2"/>
    </font>
    <font>
      <b/>
      <sz val="10"/>
      <color indexed="12"/>
      <name val="Arial"/>
      <family val="2"/>
    </font>
    <font>
      <sz val="10"/>
      <name val="Geneva"/>
    </font>
    <font>
      <sz val="10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20"/>
      <name val="Arial"/>
      <family val="2"/>
    </font>
    <font>
      <i/>
      <sz val="10"/>
      <name val="Arial"/>
      <family val="2"/>
    </font>
    <font>
      <b/>
      <sz val="12"/>
      <color theme="1"/>
      <name val="Arial"/>
      <family val="2"/>
    </font>
    <font>
      <sz val="11"/>
      <color indexed="8"/>
      <name val="Arial"/>
      <family val="2"/>
    </font>
    <font>
      <b/>
      <sz val="11"/>
      <color theme="0" tint="-0.499984740745262"/>
      <name val="Arial"/>
      <family val="2"/>
    </font>
    <font>
      <b/>
      <sz val="10"/>
      <color rgb="FF0070C0"/>
      <name val="Arial"/>
      <family val="2"/>
    </font>
    <font>
      <b/>
      <sz val="12"/>
      <color rgb="FF0070C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sz val="11"/>
      <color rgb="FFFF0000"/>
      <name val="Calibri"/>
      <family val="2"/>
      <scheme val="minor"/>
    </font>
    <font>
      <b/>
      <u/>
      <sz val="11"/>
      <color indexed="8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17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color rgb="FFC00000"/>
      <name val="Arial"/>
      <family val="2"/>
    </font>
    <font>
      <b/>
      <sz val="11"/>
      <color rgb="FFC00000"/>
      <name val="Calibri"/>
      <family val="2"/>
    </font>
    <font>
      <b/>
      <sz val="11"/>
      <color theme="4"/>
      <name val="Calibri"/>
      <family val="2"/>
      <scheme val="minor"/>
    </font>
    <font>
      <b/>
      <sz val="14"/>
      <color theme="3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u/>
      <sz val="11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0" tint="-0.1499374370555742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2">
    <xf numFmtId="0" fontId="0" fillId="0" borderId="0"/>
    <xf numFmtId="43" fontId="1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1" fillId="0" borderId="0"/>
    <xf numFmtId="9" fontId="17" fillId="0" borderId="0" applyFont="0" applyFill="0" applyBorder="0" applyAlignment="0" applyProtection="0"/>
    <xf numFmtId="0" fontId="17" fillId="0" borderId="0"/>
    <xf numFmtId="4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0" borderId="0"/>
    <xf numFmtId="0" fontId="17" fillId="0" borderId="0"/>
    <xf numFmtId="0" fontId="17" fillId="0" borderId="0"/>
    <xf numFmtId="0" fontId="37" fillId="0" borderId="0"/>
    <xf numFmtId="0" fontId="38" fillId="0" borderId="0"/>
    <xf numFmtId="0" fontId="38" fillId="0" borderId="0" applyAlignment="0"/>
    <xf numFmtId="0" fontId="17" fillId="0" borderId="0"/>
    <xf numFmtId="0" fontId="17" fillId="0" borderId="0"/>
    <xf numFmtId="0" fontId="27" fillId="0" borderId="0"/>
    <xf numFmtId="0" fontId="27" fillId="0" borderId="0"/>
    <xf numFmtId="0" fontId="9" fillId="0" borderId="0"/>
    <xf numFmtId="0" fontId="17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" fillId="0" borderId="0"/>
    <xf numFmtId="0" fontId="17" fillId="0" borderId="0"/>
    <xf numFmtId="0" fontId="11" fillId="0" borderId="0"/>
    <xf numFmtId="0" fontId="8" fillId="13" borderId="64" applyNumberFormat="0" applyFont="0" applyAlignment="0" applyProtection="0"/>
    <xf numFmtId="9" fontId="17" fillId="0" borderId="0" applyFont="0" applyFill="0" applyBorder="0" applyAlignment="0" applyProtection="0"/>
    <xf numFmtId="0" fontId="61" fillId="0" borderId="0"/>
    <xf numFmtId="0" fontId="17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4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11" fillId="0" borderId="0"/>
    <xf numFmtId="0" fontId="7" fillId="0" borderId="0"/>
    <xf numFmtId="0" fontId="17" fillId="0" borderId="0"/>
    <xf numFmtId="9" fontId="7" fillId="0" borderId="0" applyFont="0" applyFill="0" applyBorder="0" applyAlignment="0" applyProtection="0"/>
    <xf numFmtId="0" fontId="5" fillId="0" borderId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2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83" fillId="29" borderId="0" applyNumberFormat="0" applyBorder="0" applyAlignment="0" applyProtection="0"/>
    <xf numFmtId="0" fontId="83" fillId="26" borderId="0" applyNumberFormat="0" applyBorder="0" applyAlignment="0" applyProtection="0"/>
    <xf numFmtId="0" fontId="83" fillId="27" borderId="0" applyNumberFormat="0" applyBorder="0" applyAlignment="0" applyProtection="0"/>
    <xf numFmtId="0" fontId="83" fillId="30" borderId="0" applyNumberFormat="0" applyBorder="0" applyAlignment="0" applyProtection="0"/>
    <xf numFmtId="0" fontId="83" fillId="31" borderId="0" applyNumberFormat="0" applyBorder="0" applyAlignment="0" applyProtection="0"/>
    <xf numFmtId="0" fontId="83" fillId="32" borderId="0" applyNumberFormat="0" applyBorder="0" applyAlignment="0" applyProtection="0"/>
    <xf numFmtId="0" fontId="83" fillId="33" borderId="0" applyNumberFormat="0" applyBorder="0" applyAlignment="0" applyProtection="0"/>
    <xf numFmtId="0" fontId="83" fillId="34" borderId="0" applyNumberFormat="0" applyBorder="0" applyAlignment="0" applyProtection="0"/>
    <xf numFmtId="0" fontId="83" fillId="35" borderId="0" applyNumberFormat="0" applyBorder="0" applyAlignment="0" applyProtection="0"/>
    <xf numFmtId="0" fontId="83" fillId="30" borderId="0" applyNumberFormat="0" applyBorder="0" applyAlignment="0" applyProtection="0"/>
    <xf numFmtId="0" fontId="83" fillId="31" borderId="0" applyNumberFormat="0" applyBorder="0" applyAlignment="0" applyProtection="0"/>
    <xf numFmtId="0" fontId="83" fillId="36" borderId="0" applyNumberFormat="0" applyBorder="0" applyAlignment="0" applyProtection="0"/>
    <xf numFmtId="0" fontId="84" fillId="20" borderId="0" applyNumberFormat="0" applyBorder="0" applyAlignment="0" applyProtection="0"/>
    <xf numFmtId="0" fontId="85" fillId="37" borderId="78" applyNumberFormat="0" applyAlignment="0" applyProtection="0"/>
    <xf numFmtId="0" fontId="86" fillId="38" borderId="79" applyNumberFormat="0" applyAlignment="0" applyProtection="0"/>
    <xf numFmtId="43" fontId="2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88" fillId="21" borderId="0" applyNumberFormat="0" applyBorder="0" applyAlignment="0" applyProtection="0"/>
    <xf numFmtId="0" fontId="89" fillId="0" borderId="80" applyNumberFormat="0" applyFill="0" applyAlignment="0" applyProtection="0"/>
    <xf numFmtId="0" fontId="90" fillId="0" borderId="81" applyNumberFormat="0" applyFill="0" applyAlignment="0" applyProtection="0"/>
    <xf numFmtId="0" fontId="91" fillId="0" borderId="82" applyNumberFormat="0" applyFill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24" borderId="78" applyNumberFormat="0" applyAlignment="0" applyProtection="0"/>
    <xf numFmtId="0" fontId="94" fillId="0" borderId="83" applyNumberFormat="0" applyFill="0" applyAlignment="0" applyProtection="0"/>
    <xf numFmtId="0" fontId="95" fillId="39" borderId="0" applyNumberFormat="0" applyBorder="0" applyAlignment="0" applyProtection="0"/>
    <xf numFmtId="0" fontId="17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17" fillId="0" borderId="0"/>
    <xf numFmtId="0" fontId="97" fillId="37" borderId="84" applyNumberFormat="0" applyAlignment="0" applyProtection="0"/>
    <xf numFmtId="9" fontId="1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98" fillId="0" borderId="0" applyNumberFormat="0" applyFill="0" applyBorder="0" applyAlignment="0" applyProtection="0"/>
    <xf numFmtId="0" fontId="32" fillId="0" borderId="85" applyNumberFormat="0" applyFill="0" applyAlignment="0" applyProtection="0"/>
    <xf numFmtId="0" fontId="99" fillId="0" borderId="0" applyNumberFormat="0" applyFill="0" applyBorder="0" applyAlignment="0" applyProtection="0"/>
    <xf numFmtId="0" fontId="5" fillId="0" borderId="0"/>
    <xf numFmtId="0" fontId="22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</cellStyleXfs>
  <cellXfs count="1131">
    <xf numFmtId="0" fontId="0" fillId="0" borderId="0" xfId="0"/>
    <xf numFmtId="0" fontId="12" fillId="0" borderId="0" xfId="0" applyFont="1"/>
    <xf numFmtId="0" fontId="0" fillId="0" borderId="0" xfId="0" applyFill="1"/>
    <xf numFmtId="0" fontId="0" fillId="0" borderId="0" xfId="0" applyFill="1" applyBorder="1"/>
    <xf numFmtId="0" fontId="13" fillId="0" borderId="0" xfId="0" applyFont="1"/>
    <xf numFmtId="165" fontId="17" fillId="0" borderId="15" xfId="0" applyNumberFormat="1" applyFont="1" applyBorder="1" applyAlignment="1">
      <alignment wrapText="1"/>
    </xf>
    <xf numFmtId="166" fontId="17" fillId="4" borderId="17" xfId="1" applyNumberFormat="1" applyFont="1" applyFill="1" applyBorder="1" applyAlignment="1">
      <alignment wrapText="1"/>
    </xf>
    <xf numFmtId="0" fontId="17" fillId="0" borderId="15" xfId="0" applyFont="1" applyBorder="1" applyAlignment="1">
      <alignment wrapText="1"/>
    </xf>
    <xf numFmtId="6" fontId="15" fillId="4" borderId="14" xfId="0" applyNumberFormat="1" applyFont="1" applyFill="1" applyBorder="1" applyAlignment="1">
      <alignment horizontal="right" wrapText="1"/>
    </xf>
    <xf numFmtId="0" fontId="24" fillId="0" borderId="15" xfId="3" applyFont="1" applyBorder="1" applyAlignment="1">
      <alignment wrapText="1"/>
    </xf>
    <xf numFmtId="0" fontId="26" fillId="4" borderId="20" xfId="0" applyFont="1" applyFill="1" applyBorder="1" applyAlignment="1">
      <alignment horizontal="right" wrapText="1"/>
    </xf>
    <xf numFmtId="0" fontId="19" fillId="0" borderId="11" xfId="3" applyFont="1" applyBorder="1" applyAlignment="1">
      <alignment wrapText="1"/>
    </xf>
    <xf numFmtId="0" fontId="26" fillId="4" borderId="22" xfId="0" applyFont="1" applyFill="1" applyBorder="1" applyAlignment="1">
      <alignment horizontal="right" wrapText="1"/>
    </xf>
    <xf numFmtId="0" fontId="24" fillId="0" borderId="19" xfId="3" applyFont="1" applyBorder="1" applyAlignment="1">
      <alignment wrapText="1"/>
    </xf>
    <xf numFmtId="10" fontId="17" fillId="4" borderId="20" xfId="0" applyNumberFormat="1" applyFont="1" applyFill="1" applyBorder="1" applyAlignment="1">
      <alignment horizontal="right" wrapText="1"/>
    </xf>
    <xf numFmtId="0" fontId="19" fillId="0" borderId="0" xfId="0" applyFont="1" applyFill="1" applyBorder="1" applyAlignment="1">
      <alignment wrapText="1"/>
    </xf>
    <xf numFmtId="10" fontId="17" fillId="0" borderId="0" xfId="0" applyNumberFormat="1" applyFont="1" applyFill="1" applyBorder="1" applyAlignment="1">
      <alignment horizontal="right" wrapText="1"/>
    </xf>
    <xf numFmtId="0" fontId="0" fillId="0" borderId="0" xfId="0" applyBorder="1"/>
    <xf numFmtId="10" fontId="26" fillId="0" borderId="0" xfId="4" applyNumberFormat="1" applyFont="1" applyFill="1" applyBorder="1" applyAlignment="1">
      <alignment horizontal="right" wrapText="1"/>
    </xf>
    <xf numFmtId="9" fontId="15" fillId="0" borderId="0" xfId="0" applyNumberFormat="1" applyFont="1" applyFill="1" applyBorder="1" applyAlignment="1">
      <alignment horizontal="right" wrapText="1"/>
    </xf>
    <xf numFmtId="8" fontId="19" fillId="0" borderId="0" xfId="0" applyNumberFormat="1" applyFont="1" applyFill="1" applyBorder="1" applyAlignment="1">
      <alignment wrapText="1"/>
    </xf>
    <xf numFmtId="0" fontId="15" fillId="8" borderId="8" xfId="0" applyFont="1" applyFill="1" applyBorder="1"/>
    <xf numFmtId="0" fontId="15" fillId="8" borderId="9" xfId="0" applyFont="1" applyFill="1" applyBorder="1"/>
    <xf numFmtId="0" fontId="20" fillId="8" borderId="10" xfId="0" applyFont="1" applyFill="1" applyBorder="1"/>
    <xf numFmtId="0" fontId="31" fillId="0" borderId="0" xfId="0" applyFont="1" applyFill="1" applyBorder="1"/>
    <xf numFmtId="0" fontId="20" fillId="0" borderId="15" xfId="0" applyFont="1" applyBorder="1"/>
    <xf numFmtId="0" fontId="20" fillId="0" borderId="16" xfId="0" applyFont="1" applyBorder="1"/>
    <xf numFmtId="0" fontId="20" fillId="0" borderId="17" xfId="0" applyFont="1" applyBorder="1"/>
    <xf numFmtId="8" fontId="0" fillId="0" borderId="0" xfId="0" applyNumberFormat="1" applyFill="1" applyBorder="1"/>
    <xf numFmtId="0" fontId="0" fillId="0" borderId="0" xfId="0" applyFill="1" applyBorder="1" applyAlignment="1">
      <alignment wrapText="1"/>
    </xf>
    <xf numFmtId="0" fontId="17" fillId="0" borderId="0" xfId="5" applyFill="1"/>
    <xf numFmtId="10" fontId="0" fillId="0" borderId="0" xfId="0" applyNumberFormat="1" applyFill="1" applyBorder="1"/>
    <xf numFmtId="0" fontId="20" fillId="4" borderId="15" xfId="0" applyFont="1" applyFill="1" applyBorder="1"/>
    <xf numFmtId="0" fontId="20" fillId="4" borderId="17" xfId="0" applyFont="1" applyFill="1" applyBorder="1"/>
    <xf numFmtId="0" fontId="20" fillId="0" borderId="11" xfId="0" applyFont="1" applyFill="1" applyBorder="1"/>
    <xf numFmtId="2" fontId="20" fillId="0" borderId="22" xfId="0" applyNumberFormat="1" applyFont="1" applyBorder="1"/>
    <xf numFmtId="0" fontId="20" fillId="0" borderId="14" xfId="0" applyFont="1" applyBorder="1"/>
    <xf numFmtId="0" fontId="34" fillId="8" borderId="38" xfId="0" applyFont="1" applyFill="1" applyBorder="1"/>
    <xf numFmtId="10" fontId="34" fillId="8" borderId="39" xfId="0" applyNumberFormat="1" applyFont="1" applyFill="1" applyBorder="1"/>
    <xf numFmtId="0" fontId="34" fillId="8" borderId="40" xfId="0" applyFont="1" applyFill="1" applyBorder="1"/>
    <xf numFmtId="0" fontId="0" fillId="0" borderId="42" xfId="0" applyBorder="1"/>
    <xf numFmtId="0" fontId="15" fillId="4" borderId="42" xfId="0" applyFont="1" applyFill="1" applyBorder="1" applyAlignment="1">
      <alignment horizontal="center"/>
    </xf>
    <xf numFmtId="1" fontId="15" fillId="4" borderId="10" xfId="0" applyNumberFormat="1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165" fontId="17" fillId="0" borderId="15" xfId="3" applyNumberFormat="1" applyFont="1" applyBorder="1" applyAlignment="1">
      <alignment wrapText="1"/>
    </xf>
    <xf numFmtId="165" fontId="17" fillId="4" borderId="7" xfId="0" applyNumberFormat="1" applyFont="1" applyFill="1" applyBorder="1" applyAlignment="1">
      <alignment wrapText="1"/>
    </xf>
    <xf numFmtId="165" fontId="18" fillId="4" borderId="16" xfId="3" applyNumberFormat="1" applyFont="1" applyFill="1" applyBorder="1" applyAlignment="1">
      <alignment horizontal="center" wrapText="1"/>
    </xf>
    <xf numFmtId="165" fontId="15" fillId="4" borderId="16" xfId="3" applyNumberFormat="1" applyFont="1" applyFill="1" applyBorder="1" applyAlignment="1">
      <alignment horizontal="center" wrapText="1"/>
    </xf>
    <xf numFmtId="42" fontId="15" fillId="4" borderId="17" xfId="3" applyNumberFormat="1" applyFont="1" applyFill="1" applyBorder="1" applyAlignment="1">
      <alignment horizontal="center" wrapText="1"/>
    </xf>
    <xf numFmtId="0" fontId="17" fillId="0" borderId="15" xfId="3" applyFont="1" applyBorder="1" applyAlignment="1">
      <alignment wrapText="1"/>
    </xf>
    <xf numFmtId="0" fontId="17" fillId="4" borderId="7" xfId="0" applyFont="1" applyFill="1" applyBorder="1" applyAlignment="1">
      <alignment wrapText="1"/>
    </xf>
    <xf numFmtId="165" fontId="19" fillId="4" borderId="7" xfId="0" applyNumberFormat="1" applyFont="1" applyFill="1" applyBorder="1" applyAlignment="1">
      <alignment wrapText="1"/>
    </xf>
    <xf numFmtId="2" fontId="20" fillId="4" borderId="0" xfId="0" applyNumberFormat="1" applyFont="1" applyFill="1" applyBorder="1"/>
    <xf numFmtId="164" fontId="19" fillId="4" borderId="7" xfId="0" applyNumberFormat="1" applyFont="1" applyFill="1" applyBorder="1" applyAlignment="1">
      <alignment wrapText="1"/>
    </xf>
    <xf numFmtId="0" fontId="23" fillId="4" borderId="7" xfId="0" applyFont="1" applyFill="1" applyBorder="1" applyAlignment="1">
      <alignment wrapText="1"/>
    </xf>
    <xf numFmtId="0" fontId="19" fillId="4" borderId="7" xfId="0" applyFont="1" applyFill="1" applyBorder="1" applyAlignment="1">
      <alignment wrapText="1"/>
    </xf>
    <xf numFmtId="0" fontId="24" fillId="4" borderId="42" xfId="0" applyFont="1" applyFill="1" applyBorder="1" applyAlignment="1">
      <alignment wrapText="1"/>
    </xf>
    <xf numFmtId="0" fontId="19" fillId="4" borderId="42" xfId="0" applyFont="1" applyFill="1" applyBorder="1" applyAlignment="1">
      <alignment wrapText="1"/>
    </xf>
    <xf numFmtId="10" fontId="17" fillId="4" borderId="16" xfId="3" applyNumberFormat="1" applyFont="1" applyFill="1" applyBorder="1" applyAlignment="1">
      <alignment horizontal="right" wrapText="1"/>
    </xf>
    <xf numFmtId="10" fontId="15" fillId="4" borderId="16" xfId="3" applyNumberFormat="1" applyFont="1" applyFill="1" applyBorder="1" applyAlignment="1">
      <alignment horizontal="right" wrapText="1"/>
    </xf>
    <xf numFmtId="0" fontId="28" fillId="4" borderId="16" xfId="3" applyFont="1" applyFill="1" applyBorder="1" applyAlignment="1">
      <alignment horizontal="right" wrapText="1"/>
    </xf>
    <xf numFmtId="6" fontId="17" fillId="4" borderId="17" xfId="27" applyNumberFormat="1" applyFont="1" applyFill="1" applyBorder="1" applyAlignment="1">
      <alignment horizontal="right" wrapText="1"/>
    </xf>
    <xf numFmtId="8" fontId="17" fillId="4" borderId="16" xfId="3" applyNumberFormat="1" applyFont="1" applyFill="1" applyBorder="1" applyAlignment="1">
      <alignment horizontal="right" wrapText="1"/>
    </xf>
    <xf numFmtId="39" fontId="30" fillId="4" borderId="16" xfId="3" applyNumberFormat="1" applyFont="1" applyFill="1" applyBorder="1" applyAlignment="1">
      <alignment horizontal="right" wrapText="1"/>
    </xf>
    <xf numFmtId="0" fontId="0" fillId="4" borderId="42" xfId="0" applyFill="1" applyBorder="1"/>
    <xf numFmtId="6" fontId="15" fillId="4" borderId="21" xfId="27" applyNumberFormat="1" applyFont="1" applyFill="1" applyBorder="1" applyAlignment="1">
      <alignment horizontal="right" wrapText="1"/>
    </xf>
    <xf numFmtId="0" fontId="26" fillId="4" borderId="22" xfId="3" applyFont="1" applyFill="1" applyBorder="1" applyAlignment="1">
      <alignment horizontal="right" wrapText="1"/>
    </xf>
    <xf numFmtId="8" fontId="0" fillId="0" borderId="0" xfId="0" applyNumberFormat="1"/>
    <xf numFmtId="0" fontId="19" fillId="4" borderId="45" xfId="0" applyFont="1" applyFill="1" applyBorder="1" applyAlignment="1">
      <alignment wrapText="1"/>
    </xf>
    <xf numFmtId="8" fontId="15" fillId="0" borderId="0" xfId="3" applyNumberFormat="1" applyFont="1" applyFill="1" applyBorder="1" applyAlignment="1">
      <alignment horizontal="right" wrapText="1"/>
    </xf>
    <xf numFmtId="0" fontId="0" fillId="0" borderId="47" xfId="0" applyFill="1" applyBorder="1"/>
    <xf numFmtId="0" fontId="19" fillId="4" borderId="48" xfId="0" applyFont="1" applyFill="1" applyBorder="1" applyAlignment="1">
      <alignment wrapText="1"/>
    </xf>
    <xf numFmtId="0" fontId="19" fillId="4" borderId="48" xfId="3" applyFont="1" applyFill="1" applyBorder="1" applyAlignment="1">
      <alignment horizontal="center" wrapText="1"/>
    </xf>
    <xf numFmtId="0" fontId="19" fillId="4" borderId="0" xfId="0" applyFont="1" applyFill="1" applyBorder="1" applyAlignment="1">
      <alignment wrapText="1"/>
    </xf>
    <xf numFmtId="0" fontId="0" fillId="4" borderId="48" xfId="0" applyFill="1" applyBorder="1"/>
    <xf numFmtId="0" fontId="0" fillId="0" borderId="42" xfId="0" applyFill="1" applyBorder="1"/>
    <xf numFmtId="0" fontId="15" fillId="0" borderId="0" xfId="0" applyFont="1" applyFill="1" applyBorder="1"/>
    <xf numFmtId="0" fontId="20" fillId="0" borderId="0" xfId="0" applyFont="1" applyFill="1" applyBorder="1"/>
    <xf numFmtId="0" fontId="34" fillId="0" borderId="0" xfId="0" applyFont="1" applyFill="1" applyBorder="1"/>
    <xf numFmtId="0" fontId="20" fillId="0" borderId="0" xfId="37" applyFont="1" applyFill="1" applyBorder="1"/>
    <xf numFmtId="0" fontId="31" fillId="0" borderId="0" xfId="37" applyFont="1" applyFill="1" applyBorder="1" applyAlignment="1">
      <alignment wrapText="1"/>
    </xf>
    <xf numFmtId="0" fontId="9" fillId="0" borderId="0" xfId="37" applyFill="1" applyBorder="1"/>
    <xf numFmtId="0" fontId="10" fillId="0" borderId="0" xfId="37" applyFont="1" applyFill="1" applyBorder="1"/>
    <xf numFmtId="167" fontId="10" fillId="0" borderId="0" xfId="37" applyNumberFormat="1" applyFont="1" applyFill="1" applyBorder="1" applyAlignment="1">
      <alignment horizontal="right" wrapText="1"/>
    </xf>
    <xf numFmtId="0" fontId="34" fillId="0" borderId="0" xfId="37" applyFont="1" applyFill="1" applyBorder="1"/>
    <xf numFmtId="2" fontId="20" fillId="0" borderId="0" xfId="37" applyNumberFormat="1" applyFont="1" applyFill="1" applyBorder="1"/>
    <xf numFmtId="2" fontId="9" fillId="0" borderId="0" xfId="37" applyNumberFormat="1" applyFill="1" applyBorder="1"/>
    <xf numFmtId="167" fontId="9" fillId="0" borderId="0" xfId="37" applyNumberFormat="1" applyFill="1" applyBorder="1"/>
    <xf numFmtId="0" fontId="34" fillId="0" borderId="0" xfId="37" applyFont="1" applyFill="1" applyBorder="1" applyAlignment="1">
      <alignment wrapText="1"/>
    </xf>
    <xf numFmtId="2" fontId="34" fillId="0" borderId="0" xfId="37" applyNumberFormat="1" applyFont="1" applyFill="1" applyBorder="1" applyAlignment="1">
      <alignment horizontal="right" wrapText="1"/>
    </xf>
    <xf numFmtId="6" fontId="17" fillId="0" borderId="0" xfId="0" applyNumberFormat="1" applyFont="1" applyFill="1" applyBorder="1"/>
    <xf numFmtId="0" fontId="24" fillId="0" borderId="15" xfId="0" applyFont="1" applyFill="1" applyBorder="1" applyAlignment="1">
      <alignment wrapText="1"/>
    </xf>
    <xf numFmtId="167" fontId="10" fillId="4" borderId="22" xfId="38" applyNumberFormat="1" applyFont="1" applyFill="1" applyBorder="1" applyAlignment="1">
      <alignment horizontal="right" wrapText="1"/>
    </xf>
    <xf numFmtId="167" fontId="10" fillId="4" borderId="14" xfId="38" applyNumberFormat="1" applyFont="1" applyFill="1" applyBorder="1" applyAlignment="1">
      <alignment horizontal="right" wrapText="1"/>
    </xf>
    <xf numFmtId="0" fontId="10" fillId="4" borderId="17" xfId="38" applyFont="1" applyFill="1" applyBorder="1"/>
    <xf numFmtId="6" fontId="0" fillId="0" borderId="0" xfId="0" applyNumberFormat="1"/>
    <xf numFmtId="0" fontId="42" fillId="4" borderId="17" xfId="38" applyFont="1" applyFill="1" applyBorder="1"/>
    <xf numFmtId="0" fontId="40" fillId="0" borderId="0" xfId="5" applyFont="1"/>
    <xf numFmtId="0" fontId="17" fillId="0" borderId="0" xfId="5"/>
    <xf numFmtId="0" fontId="43" fillId="0" borderId="0" xfId="5" applyFont="1"/>
    <xf numFmtId="0" fontId="44" fillId="0" borderId="0" xfId="5" applyFont="1" applyFill="1" applyBorder="1"/>
    <xf numFmtId="0" fontId="17" fillId="0" borderId="0" xfId="5" applyFill="1" applyBorder="1"/>
    <xf numFmtId="0" fontId="40" fillId="0" borderId="0" xfId="5" applyFont="1" applyFill="1" applyBorder="1" applyAlignment="1">
      <alignment horizontal="center"/>
    </xf>
    <xf numFmtId="0" fontId="47" fillId="0" borderId="0" xfId="5" applyFont="1" applyFill="1" applyBorder="1" applyAlignment="1">
      <alignment horizontal="center" wrapText="1"/>
    </xf>
    <xf numFmtId="0" fontId="46" fillId="0" borderId="0" xfId="5" applyFont="1" applyFill="1" applyBorder="1" applyAlignment="1">
      <alignment horizontal="center"/>
    </xf>
    <xf numFmtId="0" fontId="17" fillId="0" borderId="0" xfId="5" applyBorder="1"/>
    <xf numFmtId="8" fontId="14" fillId="0" borderId="0" xfId="5" applyNumberFormat="1" applyFont="1" applyFill="1" applyBorder="1" applyAlignment="1">
      <alignment horizontal="center"/>
    </xf>
    <xf numFmtId="0" fontId="48" fillId="0" borderId="0" xfId="5" applyFont="1" applyFill="1" applyBorder="1" applyAlignment="1">
      <alignment horizontal="center"/>
    </xf>
    <xf numFmtId="165" fontId="14" fillId="0" borderId="0" xfId="5" applyNumberFormat="1" applyFont="1" applyFill="1" applyBorder="1" applyAlignment="1">
      <alignment horizontal="center"/>
    </xf>
    <xf numFmtId="0" fontId="1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>
      <alignment horizontal="center" wrapText="1"/>
    </xf>
    <xf numFmtId="0" fontId="15" fillId="0" borderId="0" xfId="5" applyFont="1" applyFill="1" applyBorder="1" applyAlignment="1">
      <alignment horizontal="right"/>
    </xf>
    <xf numFmtId="16" fontId="49" fillId="0" borderId="0" xfId="5" quotePrefix="1" applyNumberFormat="1" applyFont="1" applyFill="1" applyBorder="1" applyAlignment="1">
      <alignment horizontal="right"/>
    </xf>
    <xf numFmtId="165" fontId="15" fillId="0" borderId="0" xfId="5" applyNumberFormat="1" applyFont="1" applyFill="1" applyBorder="1" applyAlignment="1">
      <alignment horizontal="right"/>
    </xf>
    <xf numFmtId="0" fontId="17" fillId="0" borderId="0" xfId="5" applyFont="1" applyFill="1" applyBorder="1" applyAlignment="1">
      <alignment horizontal="left"/>
    </xf>
    <xf numFmtId="2" fontId="17" fillId="0" borderId="0" xfId="5" applyNumberFormat="1" applyFill="1" applyBorder="1"/>
    <xf numFmtId="165" fontId="17" fillId="0" borderId="0" xfId="5" applyNumberFormat="1" applyFont="1" applyFill="1" applyBorder="1"/>
    <xf numFmtId="0" fontId="49" fillId="0" borderId="0" xfId="5" applyFont="1" applyFill="1" applyBorder="1"/>
    <xf numFmtId="0" fontId="18" fillId="0" borderId="0" xfId="5" applyFont="1" applyFill="1" applyBorder="1" applyAlignment="1">
      <alignment horizontal="center"/>
    </xf>
    <xf numFmtId="165" fontId="18" fillId="0" borderId="0" xfId="5" applyNumberFormat="1" applyFont="1" applyFill="1" applyBorder="1" applyAlignment="1">
      <alignment horizontal="center"/>
    </xf>
    <xf numFmtId="1" fontId="18" fillId="0" borderId="0" xfId="5" applyNumberFormat="1" applyFont="1" applyFill="1" applyBorder="1" applyAlignment="1">
      <alignment horizontal="center"/>
    </xf>
    <xf numFmtId="165" fontId="17" fillId="0" borderId="0" xfId="5" applyNumberFormat="1" applyFill="1" applyBorder="1" applyAlignment="1">
      <alignment horizontal="right"/>
    </xf>
    <xf numFmtId="165" fontId="20" fillId="0" borderId="0" xfId="5" applyNumberFormat="1" applyFont="1" applyFill="1" applyBorder="1"/>
    <xf numFmtId="2" fontId="17" fillId="0" borderId="0" xfId="5" applyNumberFormat="1" applyFont="1" applyFill="1" applyBorder="1"/>
    <xf numFmtId="8" fontId="17" fillId="0" borderId="0" xfId="5" applyNumberFormat="1"/>
    <xf numFmtId="0" fontId="17" fillId="0" borderId="0" xfId="5" applyFont="1" applyFill="1" applyBorder="1" applyAlignment="1">
      <alignment horizontal="right"/>
    </xf>
    <xf numFmtId="0" fontId="26" fillId="0" borderId="0" xfId="5" applyFont="1" applyFill="1" applyBorder="1"/>
    <xf numFmtId="6" fontId="26" fillId="0" borderId="0" xfId="5" applyNumberFormat="1" applyFont="1" applyFill="1" applyBorder="1"/>
    <xf numFmtId="164" fontId="9" fillId="0" borderId="0" xfId="72" applyNumberFormat="1" applyFill="1" applyBorder="1"/>
    <xf numFmtId="6" fontId="17" fillId="0" borderId="0" xfId="5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wrapText="1"/>
    </xf>
    <xf numFmtId="0" fontId="50" fillId="0" borderId="0" xfId="5" applyFont="1" applyFill="1" applyBorder="1" applyAlignment="1">
      <alignment horizontal="left"/>
    </xf>
    <xf numFmtId="10" fontId="20" fillId="0" borderId="0" xfId="66" applyNumberFormat="1" applyFont="1" applyFill="1" applyBorder="1" applyAlignment="1">
      <alignment horizontal="center"/>
    </xf>
    <xf numFmtId="3" fontId="17" fillId="0" borderId="0" xfId="5" applyNumberFormat="1" applyFont="1" applyFill="1" applyBorder="1" applyAlignment="1">
      <alignment horizontal="right"/>
    </xf>
    <xf numFmtId="2" fontId="15" fillId="4" borderId="22" xfId="5" applyNumberFormat="1" applyFont="1" applyFill="1" applyBorder="1"/>
    <xf numFmtId="38" fontId="15" fillId="0" borderId="0" xfId="5" applyNumberFormat="1" applyFont="1" applyFill="1" applyBorder="1" applyAlignment="1">
      <alignment horizontal="right"/>
    </xf>
    <xf numFmtId="0" fontId="18" fillId="0" borderId="0" xfId="5" applyFont="1" applyFill="1" applyBorder="1"/>
    <xf numFmtId="165" fontId="18" fillId="0" borderId="0" xfId="5" applyNumberFormat="1" applyFont="1" applyFill="1" applyBorder="1"/>
    <xf numFmtId="2" fontId="18" fillId="0" borderId="0" xfId="5" applyNumberFormat="1" applyFont="1" applyFill="1" applyBorder="1" applyAlignment="1">
      <alignment horizontal="center"/>
    </xf>
    <xf numFmtId="10" fontId="17" fillId="0" borderId="0" xfId="5" applyNumberFormat="1" applyFont="1" applyFill="1" applyBorder="1"/>
    <xf numFmtId="1" fontId="17" fillId="0" borderId="0" xfId="5" applyNumberFormat="1" applyFill="1" applyBorder="1"/>
    <xf numFmtId="8" fontId="17" fillId="4" borderId="16" xfId="5" applyNumberFormat="1" applyFont="1" applyFill="1" applyBorder="1" applyAlignment="1">
      <alignment horizontal="right" wrapText="1"/>
    </xf>
    <xf numFmtId="0" fontId="15" fillId="4" borderId="16" xfId="5" applyFont="1" applyFill="1" applyBorder="1"/>
    <xf numFmtId="38" fontId="17" fillId="0" borderId="0" xfId="5" applyNumberFormat="1" applyFont="1" applyFill="1" applyBorder="1" applyAlignment="1">
      <alignment horizontal="right"/>
    </xf>
    <xf numFmtId="0" fontId="15" fillId="0" borderId="0" xfId="5" applyFont="1" applyFill="1" applyBorder="1"/>
    <xf numFmtId="170" fontId="15" fillId="0" borderId="0" xfId="5" applyNumberFormat="1" applyFont="1" applyFill="1" applyBorder="1"/>
    <xf numFmtId="2" fontId="15" fillId="0" borderId="0" xfId="5" applyNumberFormat="1" applyFont="1" applyFill="1" applyBorder="1"/>
    <xf numFmtId="38" fontId="50" fillId="0" borderId="0" xfId="5" applyNumberFormat="1" applyFont="1" applyFill="1" applyBorder="1" applyAlignment="1">
      <alignment horizontal="right"/>
    </xf>
    <xf numFmtId="8" fontId="17" fillId="4" borderId="20" xfId="5" applyNumberFormat="1" applyFont="1" applyFill="1" applyBorder="1" applyAlignment="1">
      <alignment horizontal="right" wrapText="1"/>
    </xf>
    <xf numFmtId="0" fontId="15" fillId="4" borderId="20" xfId="5" applyFont="1" applyFill="1" applyBorder="1"/>
    <xf numFmtId="3" fontId="15" fillId="0" borderId="0" xfId="5" applyNumberFormat="1" applyFont="1" applyFill="1" applyBorder="1"/>
    <xf numFmtId="3" fontId="17" fillId="0" borderId="0" xfId="5" applyNumberFormat="1" applyFont="1" applyFill="1" applyBorder="1"/>
    <xf numFmtId="6" fontId="15" fillId="0" borderId="0" xfId="5" applyNumberFormat="1" applyFont="1" applyFill="1" applyBorder="1"/>
    <xf numFmtId="0" fontId="15" fillId="0" borderId="22" xfId="5" applyFont="1" applyBorder="1"/>
    <xf numFmtId="6" fontId="15" fillId="0" borderId="14" xfId="5" applyNumberFormat="1" applyFont="1" applyBorder="1"/>
    <xf numFmtId="6" fontId="17" fillId="0" borderId="0" xfId="5" applyNumberFormat="1" applyFill="1" applyBorder="1"/>
    <xf numFmtId="170" fontId="17" fillId="0" borderId="0" xfId="5" applyNumberFormat="1" applyFont="1" applyFill="1" applyBorder="1"/>
    <xf numFmtId="0" fontId="17" fillId="0" borderId="0" xfId="5" applyFont="1" applyBorder="1"/>
    <xf numFmtId="0" fontId="20" fillId="0" borderId="0" xfId="0" applyFont="1" applyFill="1" applyBorder="1" applyAlignment="1">
      <alignment horizontal="left" wrapText="1"/>
    </xf>
    <xf numFmtId="8" fontId="15" fillId="0" borderId="0" xfId="5" applyNumberFormat="1" applyFont="1" applyFill="1" applyBorder="1"/>
    <xf numFmtId="8" fontId="15" fillId="0" borderId="0" xfId="5" applyNumberFormat="1" applyFont="1" applyFill="1" applyBorder="1" applyAlignment="1">
      <alignment horizontal="right"/>
    </xf>
    <xf numFmtId="0" fontId="15" fillId="0" borderId="0" xfId="5" applyFont="1" applyFill="1" applyBorder="1" applyAlignment="1">
      <alignment wrapText="1"/>
    </xf>
    <xf numFmtId="2" fontId="18" fillId="0" borderId="0" xfId="5" applyNumberFormat="1" applyFont="1" applyFill="1" applyBorder="1"/>
    <xf numFmtId="3" fontId="17" fillId="0" borderId="0" xfId="5" applyNumberFormat="1"/>
    <xf numFmtId="9" fontId="15" fillId="0" borderId="0" xfId="5" applyNumberFormat="1" applyFont="1" applyFill="1" applyBorder="1"/>
    <xf numFmtId="171" fontId="18" fillId="0" borderId="0" xfId="5" applyNumberFormat="1" applyFont="1" applyFill="1" applyBorder="1"/>
    <xf numFmtId="10" fontId="51" fillId="0" borderId="0" xfId="5" applyNumberFormat="1" applyFont="1" applyFill="1" applyBorder="1"/>
    <xf numFmtId="0" fontId="34" fillId="4" borderId="0" xfId="0" applyFont="1" applyFill="1" applyBorder="1"/>
    <xf numFmtId="10" fontId="34" fillId="4" borderId="0" xfId="0" applyNumberFormat="1" applyFont="1" applyFill="1" applyBorder="1"/>
    <xf numFmtId="10" fontId="27" fillId="0" borderId="0" xfId="9" applyNumberFormat="1" applyFont="1"/>
    <xf numFmtId="0" fontId="17" fillId="0" borderId="0" xfId="5" applyFont="1"/>
    <xf numFmtId="8" fontId="17" fillId="0" borderId="0" xfId="5" applyNumberFormat="1" applyFont="1"/>
    <xf numFmtId="0" fontId="17" fillId="0" borderId="0" xfId="5" applyFont="1" applyFill="1"/>
    <xf numFmtId="0" fontId="17" fillId="0" borderId="0" xfId="5" applyFont="1" applyFill="1" applyBorder="1"/>
    <xf numFmtId="9" fontId="18" fillId="3" borderId="9" xfId="65" applyFont="1" applyFill="1" applyBorder="1" applyAlignment="1">
      <alignment horizontal="center" vertical="center" wrapText="1"/>
    </xf>
    <xf numFmtId="1" fontId="46" fillId="3" borderId="37" xfId="65" applyNumberFormat="1" applyFont="1" applyFill="1" applyBorder="1" applyAlignment="1">
      <alignment horizontal="center" vertical="center"/>
    </xf>
    <xf numFmtId="0" fontId="57" fillId="0" borderId="0" xfId="5" applyFont="1" applyFill="1" applyBorder="1"/>
    <xf numFmtId="0" fontId="18" fillId="3" borderId="9" xfId="5" applyFont="1" applyFill="1" applyBorder="1" applyAlignment="1">
      <alignment horizontal="center" vertical="center" wrapText="1"/>
    </xf>
    <xf numFmtId="0" fontId="46" fillId="3" borderId="37" xfId="5" applyFont="1" applyFill="1" applyBorder="1" applyAlignment="1">
      <alignment horizontal="center" vertical="center"/>
    </xf>
    <xf numFmtId="9" fontId="18" fillId="3" borderId="16" xfId="65" applyFont="1" applyFill="1" applyBorder="1" applyAlignment="1">
      <alignment horizontal="center" vertical="center" wrapText="1"/>
    </xf>
    <xf numFmtId="1" fontId="46" fillId="3" borderId="60" xfId="65" applyNumberFormat="1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 wrapText="1"/>
    </xf>
    <xf numFmtId="0" fontId="46" fillId="3" borderId="60" xfId="5" applyFont="1" applyFill="1" applyBorder="1" applyAlignment="1">
      <alignment horizontal="center" vertical="center"/>
    </xf>
    <xf numFmtId="9" fontId="15" fillId="3" borderId="15" xfId="65" applyFont="1" applyFill="1" applyBorder="1" applyAlignment="1">
      <alignment horizontal="center" vertical="center" wrapText="1"/>
    </xf>
    <xf numFmtId="9" fontId="15" fillId="3" borderId="53" xfId="65" applyFont="1" applyFill="1" applyBorder="1" applyAlignment="1">
      <alignment horizontal="center" wrapText="1"/>
    </xf>
    <xf numFmtId="9" fontId="15" fillId="3" borderId="14" xfId="65" applyFont="1" applyFill="1" applyBorder="1" applyAlignment="1">
      <alignment horizontal="center"/>
    </xf>
    <xf numFmtId="0" fontId="15" fillId="3" borderId="15" xfId="5" applyFont="1" applyFill="1" applyBorder="1" applyAlignment="1">
      <alignment horizontal="center" vertical="center" wrapText="1"/>
    </xf>
    <xf numFmtId="0" fontId="15" fillId="3" borderId="17" xfId="5" applyFont="1" applyFill="1" applyBorder="1" applyAlignment="1">
      <alignment horizontal="center" wrapText="1"/>
    </xf>
    <xf numFmtId="0" fontId="15" fillId="3" borderId="14" xfId="5" applyFont="1" applyFill="1" applyBorder="1" applyAlignment="1">
      <alignment horizontal="center"/>
    </xf>
    <xf numFmtId="169" fontId="17" fillId="4" borderId="17" xfId="65" applyNumberFormat="1" applyFont="1" applyFill="1" applyBorder="1" applyAlignment="1">
      <alignment horizontal="right"/>
    </xf>
    <xf numFmtId="167" fontId="17" fillId="0" borderId="16" xfId="5" applyNumberFormat="1" applyFont="1" applyFill="1" applyBorder="1" applyAlignment="1">
      <alignment horizontal="center"/>
    </xf>
    <xf numFmtId="2" fontId="17" fillId="0" borderId="16" xfId="65" applyNumberFormat="1" applyFont="1" applyFill="1" applyBorder="1" applyAlignment="1">
      <alignment horizontal="center"/>
    </xf>
    <xf numFmtId="2" fontId="17" fillId="0" borderId="16" xfId="65" applyNumberFormat="1" applyFont="1" applyFill="1" applyBorder="1" applyAlignment="1">
      <alignment horizontal="center" wrapText="1"/>
    </xf>
    <xf numFmtId="0" fontId="17" fillId="0" borderId="0" xfId="5" applyFont="1" applyFill="1" applyBorder="1" applyAlignment="1">
      <alignment horizontal="left" wrapText="1"/>
    </xf>
    <xf numFmtId="167" fontId="17" fillId="0" borderId="16" xfId="5" applyNumberFormat="1" applyFont="1" applyFill="1" applyBorder="1" applyAlignment="1">
      <alignment horizontal="center" wrapText="1"/>
    </xf>
    <xf numFmtId="169" fontId="17" fillId="0" borderId="0" xfId="65" applyNumberFormat="1" applyFont="1" applyBorder="1"/>
    <xf numFmtId="0" fontId="17" fillId="0" borderId="0" xfId="5" applyFont="1" applyFill="1" applyBorder="1" applyAlignment="1">
      <alignment wrapText="1"/>
    </xf>
    <xf numFmtId="2" fontId="17" fillId="0" borderId="20" xfId="65" applyNumberFormat="1" applyFont="1" applyFill="1" applyBorder="1" applyAlignment="1">
      <alignment horizontal="center"/>
    </xf>
    <xf numFmtId="169" fontId="17" fillId="4" borderId="21" xfId="65" applyNumberFormat="1" applyFont="1" applyFill="1" applyBorder="1" applyAlignment="1">
      <alignment horizontal="right"/>
    </xf>
    <xf numFmtId="167" fontId="17" fillId="0" borderId="20" xfId="5" applyNumberFormat="1" applyFont="1" applyFill="1" applyBorder="1" applyAlignment="1">
      <alignment horizontal="center"/>
    </xf>
    <xf numFmtId="6" fontId="17" fillId="4" borderId="21" xfId="5" applyNumberFormat="1" applyFont="1" applyFill="1" applyBorder="1"/>
    <xf numFmtId="9" fontId="15" fillId="0" borderId="11" xfId="65" applyFont="1" applyBorder="1" applyAlignment="1">
      <alignment horizontal="left" wrapText="1"/>
    </xf>
    <xf numFmtId="2" fontId="15" fillId="0" borderId="22" xfId="65" applyNumberFormat="1" applyFont="1" applyBorder="1" applyAlignment="1">
      <alignment horizontal="center"/>
    </xf>
    <xf numFmtId="9" fontId="17" fillId="4" borderId="22" xfId="65" applyFont="1" applyFill="1" applyBorder="1" applyAlignment="1">
      <alignment horizontal="right"/>
    </xf>
    <xf numFmtId="169" fontId="15" fillId="4" borderId="14" xfId="65" applyNumberFormat="1" applyFont="1" applyFill="1" applyBorder="1" applyAlignment="1">
      <alignment horizontal="right"/>
    </xf>
    <xf numFmtId="0" fontId="15" fillId="0" borderId="0" xfId="5" applyFont="1" applyFill="1" applyBorder="1" applyAlignment="1">
      <alignment horizontal="left"/>
    </xf>
    <xf numFmtId="0" fontId="15" fillId="0" borderId="11" xfId="5" applyFont="1" applyBorder="1" applyAlignment="1">
      <alignment horizontal="left"/>
    </xf>
    <xf numFmtId="40" fontId="15" fillId="0" borderId="22" xfId="5" applyNumberFormat="1" applyFont="1" applyBorder="1" applyAlignment="1">
      <alignment horizontal="center"/>
    </xf>
    <xf numFmtId="3" fontId="17" fillId="4" borderId="22" xfId="5" applyNumberFormat="1" applyFont="1" applyFill="1" applyBorder="1"/>
    <xf numFmtId="6" fontId="15" fillId="4" borderId="14" xfId="5" applyNumberFormat="1" applyFont="1" applyFill="1" applyBorder="1"/>
    <xf numFmtId="38" fontId="17" fillId="4" borderId="22" xfId="5" applyNumberFormat="1" applyFont="1" applyFill="1" applyBorder="1" applyAlignment="1">
      <alignment horizontal="right"/>
    </xf>
    <xf numFmtId="38" fontId="15" fillId="4" borderId="22" xfId="5" applyNumberFormat="1" applyFont="1" applyFill="1" applyBorder="1" applyAlignment="1">
      <alignment horizontal="right"/>
    </xf>
    <xf numFmtId="9" fontId="15" fillId="4" borderId="19" xfId="65" applyFont="1" applyFill="1" applyBorder="1" applyAlignment="1">
      <alignment horizontal="right" wrapText="1"/>
    </xf>
    <xf numFmtId="10" fontId="17" fillId="4" borderId="20" xfId="65" applyNumberFormat="1" applyFont="1" applyFill="1" applyBorder="1" applyAlignment="1">
      <alignment horizontal="right" wrapText="1"/>
    </xf>
    <xf numFmtId="9" fontId="15" fillId="4" borderId="20" xfId="65" applyFont="1" applyFill="1" applyBorder="1" applyAlignment="1">
      <alignment horizontal="center"/>
    </xf>
    <xf numFmtId="9" fontId="15" fillId="4" borderId="19" xfId="5" applyNumberFormat="1" applyFont="1" applyFill="1" applyBorder="1" applyAlignment="1">
      <alignment horizontal="right" wrapText="1"/>
    </xf>
    <xf numFmtId="10" fontId="17" fillId="4" borderId="20" xfId="5" applyNumberFormat="1" applyFont="1" applyFill="1" applyBorder="1" applyAlignment="1">
      <alignment horizontal="right" wrapText="1"/>
    </xf>
    <xf numFmtId="0" fontId="15" fillId="4" borderId="20" xfId="5" applyFont="1" applyFill="1" applyBorder="1" applyAlignment="1">
      <alignment horizontal="right"/>
    </xf>
    <xf numFmtId="6" fontId="17" fillId="4" borderId="21" xfId="5" applyNumberFormat="1" applyFont="1" applyFill="1" applyBorder="1" applyAlignment="1">
      <alignment horizontal="right"/>
    </xf>
    <xf numFmtId="0" fontId="15" fillId="4" borderId="20" xfId="5" applyFont="1" applyFill="1" applyBorder="1" applyAlignment="1">
      <alignment horizontal="center"/>
    </xf>
    <xf numFmtId="9" fontId="15" fillId="4" borderId="19" xfId="5" applyNumberFormat="1" applyFont="1" applyFill="1" applyBorder="1" applyAlignment="1">
      <alignment horizontal="right"/>
    </xf>
    <xf numFmtId="0" fontId="17" fillId="4" borderId="0" xfId="5" applyFont="1" applyFill="1" applyBorder="1"/>
    <xf numFmtId="9" fontId="15" fillId="0" borderId="11" xfId="65" applyFont="1" applyBorder="1" applyAlignment="1">
      <alignment wrapText="1"/>
    </xf>
    <xf numFmtId="9" fontId="19" fillId="4" borderId="22" xfId="65" applyFont="1" applyFill="1" applyBorder="1" applyAlignment="1">
      <alignment horizontal="right"/>
    </xf>
    <xf numFmtId="9" fontId="15" fillId="4" borderId="22" xfId="65" applyFont="1" applyFill="1" applyBorder="1" applyAlignment="1">
      <alignment horizontal="center"/>
    </xf>
    <xf numFmtId="0" fontId="15" fillId="0" borderId="11" xfId="5" applyFont="1" applyBorder="1"/>
    <xf numFmtId="6" fontId="15" fillId="4" borderId="14" xfId="5" applyNumberFormat="1" applyFont="1" applyFill="1" applyBorder="1" applyAlignment="1">
      <alignment horizontal="right"/>
    </xf>
    <xf numFmtId="0" fontId="17" fillId="4" borderId="22" xfId="5" applyFont="1" applyFill="1" applyBorder="1" applyAlignment="1">
      <alignment horizontal="right"/>
    </xf>
    <xf numFmtId="0" fontId="15" fillId="4" borderId="22" xfId="5" applyFont="1" applyFill="1" applyBorder="1" applyAlignment="1">
      <alignment horizontal="center"/>
    </xf>
    <xf numFmtId="9" fontId="17" fillId="4" borderId="15" xfId="65" applyFont="1" applyFill="1" applyBorder="1" applyAlignment="1">
      <alignment horizontal="left" wrapText="1"/>
    </xf>
    <xf numFmtId="168" fontId="17" fillId="4" borderId="16" xfId="65" applyNumberFormat="1" applyFont="1" applyFill="1" applyBorder="1" applyAlignment="1">
      <alignment horizontal="right" wrapText="1"/>
    </xf>
    <xf numFmtId="9" fontId="15" fillId="4" borderId="16" xfId="65" applyFont="1" applyFill="1" applyBorder="1" applyAlignment="1">
      <alignment horizontal="center"/>
    </xf>
    <xf numFmtId="0" fontId="17" fillId="4" borderId="15" xfId="5" applyFont="1" applyFill="1" applyBorder="1" applyAlignment="1">
      <alignment horizontal="left"/>
    </xf>
    <xf numFmtId="6" fontId="17" fillId="4" borderId="17" xfId="5" applyNumberFormat="1" applyFont="1" applyFill="1" applyBorder="1" applyAlignment="1">
      <alignment horizontal="right"/>
    </xf>
    <xf numFmtId="0" fontId="15" fillId="4" borderId="16" xfId="5" applyFont="1" applyFill="1" applyBorder="1" applyAlignment="1">
      <alignment horizontal="center"/>
    </xf>
    <xf numFmtId="9" fontId="17" fillId="4" borderId="62" xfId="65" applyFont="1" applyFill="1" applyBorder="1" applyAlignment="1">
      <alignment wrapText="1"/>
    </xf>
    <xf numFmtId="0" fontId="17" fillId="4" borderId="62" xfId="5" applyFont="1" applyFill="1" applyBorder="1"/>
    <xf numFmtId="9" fontId="17" fillId="4" borderId="23" xfId="65" applyFont="1" applyFill="1" applyBorder="1" applyAlignment="1">
      <alignment horizontal="left" wrapText="1"/>
    </xf>
    <xf numFmtId="0" fontId="17" fillId="4" borderId="23" xfId="5" applyFont="1" applyFill="1" applyBorder="1" applyAlignment="1">
      <alignment horizontal="left"/>
    </xf>
    <xf numFmtId="9" fontId="17" fillId="4" borderId="19" xfId="65" applyFont="1" applyFill="1" applyBorder="1" applyAlignment="1">
      <alignment horizontal="left" wrapText="1"/>
    </xf>
    <xf numFmtId="168" fontId="17" fillId="4" borderId="20" xfId="65" applyNumberFormat="1" applyFont="1" applyFill="1" applyBorder="1" applyAlignment="1">
      <alignment horizontal="right" wrapText="1"/>
    </xf>
    <xf numFmtId="0" fontId="17" fillId="4" borderId="19" xfId="5" applyFont="1" applyFill="1" applyBorder="1" applyAlignment="1">
      <alignment horizontal="left" wrapText="1"/>
    </xf>
    <xf numFmtId="9" fontId="15" fillId="0" borderId="11" xfId="65" applyFont="1" applyBorder="1" applyAlignment="1">
      <alignment horizontal="right" wrapText="1"/>
    </xf>
    <xf numFmtId="9" fontId="15" fillId="0" borderId="22" xfId="65" applyFont="1" applyFill="1" applyBorder="1" applyAlignment="1">
      <alignment horizontal="right"/>
    </xf>
    <xf numFmtId="9" fontId="15" fillId="0" borderId="22" xfId="65" applyFont="1" applyFill="1" applyBorder="1" applyAlignment="1">
      <alignment horizontal="center"/>
    </xf>
    <xf numFmtId="169" fontId="15" fillId="0" borderId="14" xfId="65" applyNumberFormat="1" applyFont="1" applyFill="1" applyBorder="1" applyAlignment="1">
      <alignment horizontal="right"/>
    </xf>
    <xf numFmtId="0" fontId="15" fillId="0" borderId="11" xfId="5" applyFont="1" applyBorder="1" applyAlignment="1">
      <alignment horizontal="right"/>
    </xf>
    <xf numFmtId="0" fontId="15" fillId="0" borderId="22" xfId="5" applyFont="1" applyFill="1" applyBorder="1" applyAlignment="1">
      <alignment horizontal="right"/>
    </xf>
    <xf numFmtId="6" fontId="15" fillId="0" borderId="14" xfId="5" applyNumberFormat="1" applyFont="1" applyFill="1" applyBorder="1" applyAlignment="1">
      <alignment horizontal="right"/>
    </xf>
    <xf numFmtId="0" fontId="15" fillId="0" borderId="22" xfId="5" applyFont="1" applyFill="1" applyBorder="1" applyAlignment="1">
      <alignment horizontal="center"/>
    </xf>
    <xf numFmtId="9" fontId="17" fillId="4" borderId="19" xfId="65" applyFont="1" applyFill="1" applyBorder="1" applyAlignment="1">
      <alignment wrapText="1"/>
    </xf>
    <xf numFmtId="10" fontId="17" fillId="4" borderId="20" xfId="65" applyNumberFormat="1" applyFont="1" applyFill="1" applyBorder="1"/>
    <xf numFmtId="9" fontId="17" fillId="4" borderId="20" xfId="65" applyFont="1" applyFill="1" applyBorder="1" applyAlignment="1">
      <alignment horizontal="center"/>
    </xf>
    <xf numFmtId="2" fontId="17" fillId="4" borderId="19" xfId="5" applyNumberFormat="1" applyFont="1" applyFill="1" applyBorder="1"/>
    <xf numFmtId="10" fontId="17" fillId="4" borderId="20" xfId="5" applyNumberFormat="1" applyFont="1" applyFill="1" applyBorder="1"/>
    <xf numFmtId="0" fontId="17" fillId="4" borderId="20" xfId="5" applyFont="1" applyFill="1" applyBorder="1"/>
    <xf numFmtId="0" fontId="17" fillId="4" borderId="20" xfId="5" applyFont="1" applyFill="1" applyBorder="1" applyAlignment="1">
      <alignment horizontal="center"/>
    </xf>
    <xf numFmtId="2" fontId="15" fillId="0" borderId="22" xfId="5" applyNumberFormat="1" applyFont="1" applyBorder="1"/>
    <xf numFmtId="9" fontId="17" fillId="0" borderId="16" xfId="65" applyFont="1" applyFill="1" applyBorder="1" applyAlignment="1">
      <alignment horizontal="center"/>
    </xf>
    <xf numFmtId="0" fontId="17" fillId="0" borderId="16" xfId="5" applyFont="1" applyFill="1" applyBorder="1" applyAlignment="1">
      <alignment horizontal="center"/>
    </xf>
    <xf numFmtId="40" fontId="17" fillId="0" borderId="0" xfId="5" applyNumberFormat="1" applyFont="1" applyFill="1" applyBorder="1" applyAlignment="1">
      <alignment horizontal="right"/>
    </xf>
    <xf numFmtId="0" fontId="28" fillId="0" borderId="0" xfId="5" applyFont="1" applyFill="1" applyBorder="1"/>
    <xf numFmtId="9" fontId="28" fillId="0" borderId="0" xfId="5" applyNumberFormat="1" applyFont="1" applyFill="1" applyBorder="1"/>
    <xf numFmtId="0" fontId="30" fillId="0" borderId="0" xfId="5" applyFont="1" applyFill="1" applyBorder="1"/>
    <xf numFmtId="8" fontId="28" fillId="0" borderId="0" xfId="5" applyNumberFormat="1" applyFont="1" applyFill="1" applyBorder="1" applyAlignment="1">
      <alignment horizontal="right"/>
    </xf>
    <xf numFmtId="0" fontId="29" fillId="0" borderId="0" xfId="5" applyFont="1" applyFill="1" applyBorder="1" applyAlignment="1">
      <alignment horizontal="center"/>
    </xf>
    <xf numFmtId="0" fontId="58" fillId="0" borderId="0" xfId="5" applyFont="1" applyFill="1" applyBorder="1" applyAlignment="1">
      <alignment horizontal="center"/>
    </xf>
    <xf numFmtId="0" fontId="30" fillId="4" borderId="0" xfId="5" applyFont="1" applyFill="1" applyBorder="1"/>
    <xf numFmtId="10" fontId="17" fillId="4" borderId="0" xfId="5" applyNumberFormat="1" applyFont="1" applyFill="1" applyBorder="1"/>
    <xf numFmtId="2" fontId="15" fillId="4" borderId="0" xfId="5" applyNumberFormat="1" applyFont="1" applyFill="1" applyBorder="1" applyAlignment="1">
      <alignment horizontal="center" wrapText="1"/>
    </xf>
    <xf numFmtId="0" fontId="15" fillId="4" borderId="0" xfId="5" applyFont="1" applyFill="1" applyBorder="1" applyAlignment="1">
      <alignment horizontal="center" wrapText="1"/>
    </xf>
    <xf numFmtId="0" fontId="15" fillId="4" borderId="0" xfId="5" applyFont="1" applyFill="1" applyBorder="1" applyAlignment="1">
      <alignment horizontal="center" vertical="center" wrapText="1"/>
    </xf>
    <xf numFmtId="0" fontId="17" fillId="4" borderId="0" xfId="5" applyFont="1" applyFill="1" applyBorder="1" applyAlignment="1">
      <alignment horizontal="center"/>
    </xf>
    <xf numFmtId="0" fontId="15" fillId="4" borderId="0" xfId="5" applyFont="1" applyFill="1" applyBorder="1" applyAlignment="1">
      <alignment horizontal="center"/>
    </xf>
    <xf numFmtId="0" fontId="17" fillId="4" borderId="0" xfId="5" applyFont="1" applyFill="1" applyBorder="1" applyAlignment="1">
      <alignment horizontal="left" wrapText="1"/>
    </xf>
    <xf numFmtId="0" fontId="15" fillId="4" borderId="0" xfId="5" applyFont="1" applyFill="1" applyBorder="1" applyAlignment="1">
      <alignment horizontal="right" wrapText="1"/>
    </xf>
    <xf numFmtId="0" fontId="26" fillId="0" borderId="0" xfId="5" applyFont="1"/>
    <xf numFmtId="0" fontId="17" fillId="4" borderId="0" xfId="5" applyFont="1" applyFill="1" applyBorder="1" applyAlignment="1">
      <alignment wrapText="1"/>
    </xf>
    <xf numFmtId="2" fontId="15" fillId="4" borderId="0" xfId="5" applyNumberFormat="1" applyFont="1" applyFill="1" applyBorder="1" applyAlignment="1">
      <alignment horizontal="center"/>
    </xf>
    <xf numFmtId="0" fontId="15" fillId="4" borderId="0" xfId="5" applyFont="1" applyFill="1" applyBorder="1" applyAlignment="1">
      <alignment horizontal="left" wrapText="1"/>
    </xf>
    <xf numFmtId="0" fontId="15" fillId="4" borderId="0" xfId="5" applyFont="1" applyFill="1" applyBorder="1" applyAlignment="1">
      <alignment horizontal="right"/>
    </xf>
    <xf numFmtId="2" fontId="15" fillId="4" borderId="0" xfId="5" applyNumberFormat="1" applyFont="1" applyFill="1" applyBorder="1" applyAlignment="1">
      <alignment horizontal="right"/>
    </xf>
    <xf numFmtId="9" fontId="15" fillId="4" borderId="0" xfId="5" applyNumberFormat="1" applyFont="1" applyFill="1" applyBorder="1" applyAlignment="1">
      <alignment horizontal="right" wrapText="1"/>
    </xf>
    <xf numFmtId="0" fontId="15" fillId="4" borderId="0" xfId="5" applyFont="1" applyFill="1" applyBorder="1" applyAlignment="1">
      <alignment wrapText="1"/>
    </xf>
    <xf numFmtId="2" fontId="17" fillId="4" borderId="0" xfId="5" applyNumberFormat="1" applyFont="1" applyFill="1" applyBorder="1" applyAlignment="1">
      <alignment horizontal="center"/>
    </xf>
    <xf numFmtId="2" fontId="17" fillId="4" borderId="0" xfId="5" applyNumberFormat="1" applyFont="1" applyFill="1" applyBorder="1" applyAlignment="1">
      <alignment wrapText="1"/>
    </xf>
    <xf numFmtId="0" fontId="59" fillId="4" borderId="8" xfId="0" applyFont="1" applyFill="1" applyBorder="1" applyAlignment="1">
      <alignment horizontal="center"/>
    </xf>
    <xf numFmtId="0" fontId="59" fillId="4" borderId="8" xfId="3" applyFont="1" applyFill="1" applyBorder="1" applyAlignment="1">
      <alignment horizontal="center"/>
    </xf>
    <xf numFmtId="0" fontId="60" fillId="0" borderId="0" xfId="5" applyFont="1"/>
    <xf numFmtId="0" fontId="63" fillId="15" borderId="0" xfId="78" applyFont="1" applyFill="1"/>
    <xf numFmtId="0" fontId="17" fillId="0" borderId="0" xfId="52"/>
    <xf numFmtId="0" fontId="25" fillId="0" borderId="0" xfId="52" applyFont="1"/>
    <xf numFmtId="0" fontId="26" fillId="0" borderId="0" xfId="52" applyFont="1"/>
    <xf numFmtId="0" fontId="17" fillId="0" borderId="46" xfId="52" applyBorder="1"/>
    <xf numFmtId="0" fontId="17" fillId="0" borderId="65" xfId="52" applyBorder="1"/>
    <xf numFmtId="0" fontId="17" fillId="0" borderId="66" xfId="52" applyBorder="1"/>
    <xf numFmtId="0" fontId="17" fillId="0" borderId="67" xfId="52" applyBorder="1"/>
    <xf numFmtId="0" fontId="17" fillId="0" borderId="0" xfId="52" applyBorder="1" applyAlignment="1">
      <alignment horizontal="right"/>
    </xf>
    <xf numFmtId="0" fontId="17" fillId="0" borderId="0" xfId="52" applyBorder="1"/>
    <xf numFmtId="0" fontId="17" fillId="0" borderId="68" xfId="52" applyBorder="1"/>
    <xf numFmtId="0" fontId="64" fillId="0" borderId="68" xfId="52" applyFont="1" applyBorder="1" applyAlignment="1">
      <alignment horizontal="center"/>
    </xf>
    <xf numFmtId="0" fontId="17" fillId="0" borderId="68" xfId="52" applyBorder="1" applyAlignment="1">
      <alignment horizontal="center"/>
    </xf>
    <xf numFmtId="172" fontId="17" fillId="0" borderId="68" xfId="52" applyNumberFormat="1" applyBorder="1" applyAlignment="1">
      <alignment horizontal="center"/>
    </xf>
    <xf numFmtId="0" fontId="15" fillId="5" borderId="0" xfId="52" applyFont="1" applyFill="1" applyBorder="1" applyAlignment="1">
      <alignment horizontal="right"/>
    </xf>
    <xf numFmtId="10" fontId="15" fillId="5" borderId="68" xfId="4" applyNumberFormat="1" applyFont="1" applyFill="1" applyBorder="1" applyAlignment="1">
      <alignment horizontal="center"/>
    </xf>
    <xf numFmtId="0" fontId="17" fillId="0" borderId="69" xfId="52" applyBorder="1"/>
    <xf numFmtId="0" fontId="17" fillId="0" borderId="59" xfId="52" applyBorder="1"/>
    <xf numFmtId="0" fontId="17" fillId="0" borderId="63" xfId="52" applyBorder="1"/>
    <xf numFmtId="10" fontId="26" fillId="4" borderId="31" xfId="4" applyNumberFormat="1" applyFont="1" applyFill="1" applyBorder="1" applyAlignment="1">
      <alignment horizontal="right" wrapText="1"/>
    </xf>
    <xf numFmtId="10" fontId="25" fillId="4" borderId="31" xfId="4" applyNumberFormat="1" applyFont="1" applyFill="1" applyBorder="1" applyAlignment="1">
      <alignment horizontal="right" wrapText="1"/>
    </xf>
    <xf numFmtId="0" fontId="19" fillId="4" borderId="23" xfId="0" applyFont="1" applyFill="1" applyBorder="1" applyAlignment="1">
      <alignment wrapText="1"/>
    </xf>
    <xf numFmtId="0" fontId="19" fillId="4" borderId="32" xfId="0" applyFont="1" applyFill="1" applyBorder="1" applyAlignment="1">
      <alignment wrapText="1"/>
    </xf>
    <xf numFmtId="0" fontId="19" fillId="6" borderId="4" xfId="0" applyFont="1" applyFill="1" applyBorder="1" applyAlignment="1">
      <alignment wrapText="1"/>
    </xf>
    <xf numFmtId="10" fontId="15" fillId="6" borderId="5" xfId="0" applyNumberFormat="1" applyFont="1" applyFill="1" applyBorder="1" applyAlignment="1">
      <alignment horizontal="right" wrapText="1"/>
    </xf>
    <xf numFmtId="0" fontId="19" fillId="4" borderId="23" xfId="3" applyFont="1" applyFill="1" applyBorder="1" applyAlignment="1">
      <alignment wrapText="1"/>
    </xf>
    <xf numFmtId="8" fontId="15" fillId="4" borderId="44" xfId="3" applyNumberFormat="1" applyFont="1" applyFill="1" applyBorder="1" applyAlignment="1">
      <alignment horizontal="right" wrapText="1"/>
    </xf>
    <xf numFmtId="9" fontId="15" fillId="4" borderId="33" xfId="4" applyNumberFormat="1" applyFont="1" applyFill="1" applyBorder="1" applyAlignment="1">
      <alignment horizontal="right" wrapText="1"/>
    </xf>
    <xf numFmtId="10" fontId="25" fillId="4" borderId="33" xfId="4" applyNumberFormat="1" applyFont="1" applyFill="1" applyBorder="1" applyAlignment="1">
      <alignment horizontal="right" wrapText="1"/>
    </xf>
    <xf numFmtId="8" fontId="15" fillId="4" borderId="34" xfId="3" applyNumberFormat="1" applyFont="1" applyFill="1" applyBorder="1" applyAlignment="1">
      <alignment horizontal="right" wrapText="1"/>
    </xf>
    <xf numFmtId="0" fontId="19" fillId="4" borderId="49" xfId="3" applyFont="1" applyFill="1" applyBorder="1" applyAlignment="1">
      <alignment wrapText="1"/>
    </xf>
    <xf numFmtId="7" fontId="15" fillId="4" borderId="52" xfId="3" applyNumberFormat="1" applyFont="1" applyFill="1" applyBorder="1" applyAlignment="1">
      <alignment horizontal="right" wrapText="1"/>
    </xf>
    <xf numFmtId="9" fontId="15" fillId="4" borderId="0" xfId="0" applyNumberFormat="1" applyFont="1" applyFill="1" applyBorder="1" applyAlignment="1">
      <alignment horizontal="right" wrapText="1"/>
    </xf>
    <xf numFmtId="0" fontId="26" fillId="4" borderId="0" xfId="0" applyFont="1" applyFill="1" applyBorder="1" applyAlignment="1">
      <alignment horizontal="right" wrapText="1"/>
    </xf>
    <xf numFmtId="8" fontId="15" fillId="4" borderId="0" xfId="27" applyNumberFormat="1" applyFont="1" applyFill="1" applyBorder="1" applyAlignment="1">
      <alignment horizontal="right" wrapText="1"/>
    </xf>
    <xf numFmtId="0" fontId="0" fillId="6" borderId="5" xfId="0" applyFill="1" applyBorder="1" applyAlignment="1">
      <alignment horizontal="left" wrapText="1"/>
    </xf>
    <xf numFmtId="7" fontId="15" fillId="6" borderId="6" xfId="3" applyNumberFormat="1" applyFont="1" applyFill="1" applyBorder="1" applyAlignment="1">
      <alignment horizontal="right" wrapText="1"/>
    </xf>
    <xf numFmtId="10" fontId="34" fillId="6" borderId="5" xfId="4" applyNumberFormat="1" applyFont="1" applyFill="1" applyBorder="1" applyAlignment="1">
      <alignment horizontal="right" wrapText="1"/>
    </xf>
    <xf numFmtId="0" fontId="0" fillId="0" borderId="71" xfId="0" applyFill="1" applyBorder="1"/>
    <xf numFmtId="0" fontId="19" fillId="4" borderId="30" xfId="0" applyFont="1" applyFill="1" applyBorder="1" applyAlignment="1">
      <alignment horizontal="left" wrapText="1"/>
    </xf>
    <xf numFmtId="10" fontId="26" fillId="4" borderId="53" xfId="4" applyNumberFormat="1" applyFont="1" applyFill="1" applyBorder="1" applyAlignment="1">
      <alignment horizontal="right" wrapText="1"/>
    </xf>
    <xf numFmtId="10" fontId="25" fillId="4" borderId="53" xfId="4" applyNumberFormat="1" applyFont="1" applyFill="1" applyBorder="1" applyAlignment="1">
      <alignment horizontal="right" wrapText="1"/>
    </xf>
    <xf numFmtId="8" fontId="15" fillId="4" borderId="54" xfId="3" applyNumberFormat="1" applyFont="1" applyFill="1" applyBorder="1" applyAlignment="1">
      <alignment horizontal="right" wrapText="1"/>
    </xf>
    <xf numFmtId="0" fontId="0" fillId="6" borderId="5" xfId="0" applyFill="1" applyBorder="1"/>
    <xf numFmtId="10" fontId="0" fillId="6" borderId="72" xfId="0" applyNumberFormat="1" applyFill="1" applyBorder="1"/>
    <xf numFmtId="0" fontId="19" fillId="6" borderId="35" xfId="3" applyFont="1" applyFill="1" applyBorder="1" applyAlignment="1">
      <alignment wrapText="1"/>
    </xf>
    <xf numFmtId="9" fontId="15" fillId="6" borderId="36" xfId="4" applyNumberFormat="1" applyFont="1" applyFill="1" applyBorder="1" applyAlignment="1">
      <alignment horizontal="left" wrapText="1"/>
    </xf>
    <xf numFmtId="0" fontId="0" fillId="6" borderId="36" xfId="0" applyFill="1" applyBorder="1" applyAlignment="1">
      <alignment horizontal="left" wrapText="1"/>
    </xf>
    <xf numFmtId="9" fontId="17" fillId="0" borderId="16" xfId="65" applyFont="1" applyFill="1" applyBorder="1" applyAlignment="1">
      <alignment horizontal="right"/>
    </xf>
    <xf numFmtId="168" fontId="15" fillId="0" borderId="17" xfId="65" applyNumberFormat="1" applyFont="1" applyFill="1" applyBorder="1" applyAlignment="1">
      <alignment horizontal="right"/>
    </xf>
    <xf numFmtId="0" fontId="17" fillId="0" borderId="16" xfId="5" applyFont="1" applyFill="1" applyBorder="1"/>
    <xf numFmtId="0" fontId="17" fillId="0" borderId="16" xfId="5" applyFont="1" applyFill="1" applyBorder="1" applyAlignment="1">
      <alignment horizontal="right"/>
    </xf>
    <xf numFmtId="9" fontId="17" fillId="0" borderId="33" xfId="65" applyFont="1" applyFill="1" applyBorder="1" applyAlignment="1">
      <alignment horizontal="center"/>
    </xf>
    <xf numFmtId="0" fontId="17" fillId="0" borderId="33" xfId="5" applyFont="1" applyFill="1" applyBorder="1"/>
    <xf numFmtId="0" fontId="17" fillId="0" borderId="33" xfId="5" applyFont="1" applyFill="1" applyBorder="1" applyAlignment="1">
      <alignment horizontal="center"/>
    </xf>
    <xf numFmtId="7" fontId="15" fillId="6" borderId="37" xfId="3" applyNumberFormat="1" applyFont="1" applyFill="1" applyBorder="1" applyAlignment="1">
      <alignment horizontal="right" wrapText="1"/>
    </xf>
    <xf numFmtId="0" fontId="63" fillId="16" borderId="0" xfId="78" applyFont="1" applyFill="1"/>
    <xf numFmtId="0" fontId="63" fillId="2" borderId="0" xfId="78" applyFont="1" applyFill="1"/>
    <xf numFmtId="0" fontId="15" fillId="0" borderId="0" xfId="52" applyFont="1"/>
    <xf numFmtId="0" fontId="7" fillId="0" borderId="0" xfId="82"/>
    <xf numFmtId="0" fontId="22" fillId="0" borderId="0" xfId="82" applyFont="1" applyFill="1" applyBorder="1" applyAlignment="1">
      <alignment horizontal="center"/>
    </xf>
    <xf numFmtId="0" fontId="22" fillId="0" borderId="0" xfId="82" applyFont="1" applyFill="1" applyBorder="1" applyAlignment="1">
      <alignment horizontal="right"/>
    </xf>
    <xf numFmtId="0" fontId="57" fillId="0" borderId="0" xfId="82" applyFont="1" applyBorder="1" applyAlignment="1">
      <alignment horizontal="center"/>
    </xf>
    <xf numFmtId="0" fontId="7" fillId="0" borderId="0" xfId="82" applyAlignment="1">
      <alignment horizontal="center"/>
    </xf>
    <xf numFmtId="170" fontId="22" fillId="0" borderId="0" xfId="86" applyNumberFormat="1" applyFont="1" applyFill="1" applyBorder="1" applyAlignment="1">
      <alignment horizontal="center"/>
    </xf>
    <xf numFmtId="0" fontId="22" fillId="0" borderId="4" xfId="82" applyFont="1" applyFill="1" applyBorder="1"/>
    <xf numFmtId="9" fontId="22" fillId="0" borderId="6" xfId="82" applyNumberFormat="1" applyFont="1" applyFill="1" applyBorder="1" applyAlignment="1">
      <alignment horizontal="left"/>
    </xf>
    <xf numFmtId="10" fontId="62" fillId="0" borderId="5" xfId="86" applyNumberFormat="1" applyFont="1" applyFill="1" applyBorder="1"/>
    <xf numFmtId="10" fontId="7" fillId="0" borderId="0" xfId="81" applyNumberFormat="1" applyFont="1" applyBorder="1" applyAlignment="1">
      <alignment horizontal="center"/>
    </xf>
    <xf numFmtId="0" fontId="22" fillId="0" borderId="0" xfId="82" applyFont="1" applyFill="1" applyBorder="1"/>
    <xf numFmtId="0" fontId="22" fillId="0" borderId="6" xfId="82" applyFont="1" applyFill="1" applyBorder="1" applyAlignment="1">
      <alignment horizontal="center"/>
    </xf>
    <xf numFmtId="0" fontId="42" fillId="0" borderId="5" xfId="82" applyFont="1" applyBorder="1"/>
    <xf numFmtId="173" fontId="0" fillId="0" borderId="0" xfId="80" applyNumberFormat="1" applyFont="1" applyFill="1" applyBorder="1"/>
    <xf numFmtId="10" fontId="0" fillId="0" borderId="0" xfId="81" applyNumberFormat="1" applyFont="1"/>
    <xf numFmtId="0" fontId="7" fillId="0" borderId="0" xfId="82" applyFont="1" applyBorder="1" applyAlignment="1">
      <alignment horizontal="center"/>
    </xf>
    <xf numFmtId="0" fontId="67" fillId="0" borderId="62" xfId="82" applyFont="1" applyBorder="1" applyAlignment="1"/>
    <xf numFmtId="43" fontId="42" fillId="0" borderId="0" xfId="83" applyFont="1" applyBorder="1" applyAlignment="1">
      <alignment horizontal="center"/>
    </xf>
    <xf numFmtId="0" fontId="67" fillId="0" borderId="62" xfId="82" applyFont="1" applyFill="1" applyBorder="1" applyAlignment="1"/>
    <xf numFmtId="164" fontId="67" fillId="0" borderId="62" xfId="84" applyNumberFormat="1" applyFont="1" applyFill="1" applyBorder="1" applyAlignment="1">
      <alignment wrapText="1"/>
    </xf>
    <xf numFmtId="0" fontId="68" fillId="0" borderId="62" xfId="82" applyFont="1" applyFill="1" applyBorder="1"/>
    <xf numFmtId="0" fontId="68" fillId="0" borderId="0" xfId="82" applyFont="1" applyFill="1" applyBorder="1" applyAlignment="1">
      <alignment horizontal="center"/>
    </xf>
    <xf numFmtId="168" fontId="70" fillId="0" borderId="0" xfId="82" applyNumberFormat="1" applyFont="1" applyFill="1" applyBorder="1"/>
    <xf numFmtId="44" fontId="69" fillId="0" borderId="24" xfId="87" applyNumberFormat="1" applyFont="1" applyFill="1" applyBorder="1"/>
    <xf numFmtId="168" fontId="70" fillId="0" borderId="0" xfId="87" applyNumberFormat="1" applyFont="1" applyFill="1" applyBorder="1"/>
    <xf numFmtId="0" fontId="68" fillId="0" borderId="70" xfId="82" applyFont="1" applyFill="1" applyBorder="1"/>
    <xf numFmtId="0" fontId="68" fillId="0" borderId="39" xfId="82" applyFont="1" applyFill="1" applyBorder="1" applyAlignment="1">
      <alignment horizontal="center"/>
    </xf>
    <xf numFmtId="0" fontId="7" fillId="0" borderId="0" xfId="82" applyFont="1" applyBorder="1"/>
    <xf numFmtId="0" fontId="42" fillId="0" borderId="0" xfId="82" applyFont="1" applyFill="1" applyBorder="1" applyAlignment="1">
      <alignment horizontal="center"/>
    </xf>
    <xf numFmtId="170" fontId="42" fillId="0" borderId="0" xfId="82" applyNumberFormat="1" applyFont="1" applyFill="1" applyBorder="1" applyAlignment="1">
      <alignment horizontal="center"/>
    </xf>
    <xf numFmtId="44" fontId="7" fillId="0" borderId="0" xfId="80" applyFont="1"/>
    <xf numFmtId="173" fontId="7" fillId="0" borderId="0" xfId="80" applyNumberFormat="1" applyFont="1"/>
    <xf numFmtId="10" fontId="7" fillId="0" borderId="0" xfId="81" applyNumberFormat="1" applyFont="1"/>
    <xf numFmtId="0" fontId="24" fillId="0" borderId="18" xfId="3" applyFont="1" applyBorder="1" applyAlignment="1">
      <alignment wrapText="1"/>
    </xf>
    <xf numFmtId="0" fontId="24" fillId="0" borderId="73" xfId="3" applyFont="1" applyBorder="1" applyAlignment="1">
      <alignment wrapText="1"/>
    </xf>
    <xf numFmtId="39" fontId="30" fillId="4" borderId="56" xfId="0" applyNumberFormat="1" applyFont="1" applyFill="1" applyBorder="1" applyAlignment="1">
      <alignment horizontal="right" wrapText="1"/>
    </xf>
    <xf numFmtId="39" fontId="30" fillId="4" borderId="66" xfId="0" applyNumberFormat="1" applyFont="1" applyFill="1" applyBorder="1" applyAlignment="1">
      <alignment horizontal="right" wrapText="1"/>
    </xf>
    <xf numFmtId="44" fontId="7" fillId="0" borderId="16" xfId="80" applyFont="1" applyBorder="1"/>
    <xf numFmtId="10" fontId="0" fillId="0" borderId="0" xfId="81" applyNumberFormat="1" applyFont="1" applyFill="1" applyBorder="1"/>
    <xf numFmtId="0" fontId="20" fillId="0" borderId="0" xfId="0" applyFont="1" applyBorder="1"/>
    <xf numFmtId="0" fontId="20" fillId="4" borderId="0" xfId="0" applyFont="1" applyFill="1" applyBorder="1"/>
    <xf numFmtId="2" fontId="20" fillId="0" borderId="0" xfId="0" applyNumberFormat="1" applyFont="1" applyBorder="1"/>
    <xf numFmtId="0" fontId="20" fillId="0" borderId="0" xfId="0" applyFont="1" applyBorder="1" applyAlignment="1">
      <alignment wrapText="1"/>
    </xf>
    <xf numFmtId="0" fontId="20" fillId="0" borderId="0" xfId="0" applyFont="1" applyBorder="1" applyAlignment="1">
      <alignment horizontal="left" wrapText="1"/>
    </xf>
    <xf numFmtId="10" fontId="15" fillId="0" borderId="0" xfId="81" applyNumberFormat="1" applyFont="1" applyFill="1" applyBorder="1" applyAlignment="1">
      <alignment horizontal="center" vertical="center" wrapText="1"/>
    </xf>
    <xf numFmtId="173" fontId="17" fillId="0" borderId="0" xfId="80" applyNumberFormat="1" applyFont="1" applyFill="1" applyBorder="1" applyAlignment="1">
      <alignment horizontal="left"/>
    </xf>
    <xf numFmtId="173" fontId="20" fillId="0" borderId="0" xfId="80" applyNumberFormat="1" applyFont="1" applyFill="1" applyBorder="1" applyAlignment="1">
      <alignment horizontal="center"/>
    </xf>
    <xf numFmtId="173" fontId="17" fillId="0" borderId="0" xfId="80" applyNumberFormat="1" applyFont="1" applyFill="1" applyBorder="1" applyAlignment="1">
      <alignment horizontal="center"/>
    </xf>
    <xf numFmtId="0" fontId="72" fillId="0" borderId="62" xfId="82" applyFont="1" applyBorder="1"/>
    <xf numFmtId="10" fontId="17" fillId="0" borderId="0" xfId="81" applyNumberFormat="1" applyFont="1" applyBorder="1"/>
    <xf numFmtId="169" fontId="17" fillId="4" borderId="0" xfId="65" applyNumberFormat="1" applyFont="1" applyFill="1" applyBorder="1"/>
    <xf numFmtId="173" fontId="17" fillId="0" borderId="0" xfId="80" applyNumberFormat="1" applyFont="1" applyBorder="1"/>
    <xf numFmtId="9" fontId="75" fillId="0" borderId="0" xfId="81" applyFont="1" applyBorder="1"/>
    <xf numFmtId="0" fontId="0" fillId="0" borderId="0" xfId="0" applyAlignment="1">
      <alignment horizontal="right"/>
    </xf>
    <xf numFmtId="0" fontId="0" fillId="0" borderId="0" xfId="0" applyAlignment="1"/>
    <xf numFmtId="10" fontId="17" fillId="0" borderId="0" xfId="81" applyNumberFormat="1" applyFont="1" applyFill="1" applyBorder="1"/>
    <xf numFmtId="0" fontId="17" fillId="0" borderId="0" xfId="5" applyFont="1" applyBorder="1" applyAlignment="1">
      <alignment horizontal="right"/>
    </xf>
    <xf numFmtId="0" fontId="7" fillId="0" borderId="0" xfId="82" applyBorder="1" applyAlignment="1">
      <alignment horizontal="center"/>
    </xf>
    <xf numFmtId="0" fontId="7" fillId="0" borderId="0" xfId="82" applyBorder="1"/>
    <xf numFmtId="0" fontId="7" fillId="0" borderId="59" xfId="82" applyBorder="1" applyAlignment="1">
      <alignment horizontal="center"/>
    </xf>
    <xf numFmtId="0" fontId="7" fillId="0" borderId="59" xfId="82" applyBorder="1"/>
    <xf numFmtId="164" fontId="76" fillId="0" borderId="58" xfId="84" applyNumberFormat="1" applyFont="1" applyFill="1" applyBorder="1" applyAlignment="1">
      <alignment wrapText="1"/>
    </xf>
    <xf numFmtId="6" fontId="19" fillId="4" borderId="42" xfId="0" applyNumberFormat="1" applyFont="1" applyFill="1" applyBorder="1" applyAlignment="1">
      <alignment wrapText="1"/>
    </xf>
    <xf numFmtId="8" fontId="7" fillId="0" borderId="16" xfId="80" applyNumberFormat="1" applyFont="1" applyBorder="1"/>
    <xf numFmtId="2" fontId="20" fillId="0" borderId="0" xfId="0" applyNumberFormat="1" applyFont="1" applyFill="1" applyBorder="1"/>
    <xf numFmtId="10" fontId="34" fillId="0" borderId="0" xfId="0" applyNumberFormat="1" applyFont="1" applyFill="1" applyBorder="1"/>
    <xf numFmtId="6" fontId="0" fillId="0" borderId="0" xfId="0" applyNumberFormat="1" applyFill="1" applyBorder="1"/>
    <xf numFmtId="0" fontId="69" fillId="0" borderId="24" xfId="87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77" fillId="0" borderId="0" xfId="0" applyFont="1"/>
    <xf numFmtId="0" fontId="78" fillId="17" borderId="1" xfId="0" applyFont="1" applyFill="1" applyBorder="1"/>
    <xf numFmtId="0" fontId="78" fillId="17" borderId="2" xfId="0" applyFont="1" applyFill="1" applyBorder="1" applyAlignment="1">
      <alignment horizontal="center"/>
    </xf>
    <xf numFmtId="0" fontId="79" fillId="0" borderId="15" xfId="3" applyFont="1" applyBorder="1" applyAlignment="1">
      <alignment wrapText="1"/>
    </xf>
    <xf numFmtId="10" fontId="11" fillId="0" borderId="16" xfId="0" applyNumberFormat="1" applyFont="1" applyBorder="1" applyAlignment="1">
      <alignment horizontal="center"/>
    </xf>
    <xf numFmtId="0" fontId="0" fillId="0" borderId="17" xfId="0" applyFont="1" applyBorder="1"/>
    <xf numFmtId="0" fontId="79" fillId="0" borderId="15" xfId="0" applyFont="1" applyBorder="1" applyAlignment="1">
      <alignment wrapText="1"/>
    </xf>
    <xf numFmtId="0" fontId="79" fillId="0" borderId="32" xfId="3" applyFont="1" applyFill="1" applyBorder="1" applyAlignment="1">
      <alignment wrapText="1"/>
    </xf>
    <xf numFmtId="10" fontId="11" fillId="0" borderId="33" xfId="0" applyNumberFormat="1" applyFont="1" applyBorder="1" applyAlignment="1">
      <alignment horizontal="center"/>
    </xf>
    <xf numFmtId="0" fontId="20" fillId="0" borderId="0" xfId="0" applyFont="1"/>
    <xf numFmtId="8" fontId="21" fillId="4" borderId="7" xfId="0" applyNumberFormat="1" applyFont="1" applyFill="1" applyBorder="1" applyAlignment="1">
      <alignment wrapText="1"/>
    </xf>
    <xf numFmtId="0" fontId="7" fillId="0" borderId="39" xfId="82" applyBorder="1"/>
    <xf numFmtId="0" fontId="7" fillId="0" borderId="40" xfId="82" applyBorder="1"/>
    <xf numFmtId="0" fontId="7" fillId="0" borderId="74" xfId="82" applyBorder="1"/>
    <xf numFmtId="0" fontId="0" fillId="0" borderId="59" xfId="0" applyFont="1" applyBorder="1"/>
    <xf numFmtId="0" fontId="7" fillId="0" borderId="75" xfId="82" applyBorder="1"/>
    <xf numFmtId="0" fontId="7" fillId="0" borderId="60" xfId="82" applyBorder="1"/>
    <xf numFmtId="0" fontId="0" fillId="0" borderId="77" xfId="0" applyFont="1" applyBorder="1"/>
    <xf numFmtId="0" fontId="68" fillId="0" borderId="0" xfId="82" applyFont="1" applyBorder="1"/>
    <xf numFmtId="0" fontId="42" fillId="0" borderId="0" xfId="82" applyFont="1" applyBorder="1" applyAlignment="1"/>
    <xf numFmtId="168" fontId="7" fillId="0" borderId="0" xfId="80" applyNumberFormat="1" applyFont="1" applyBorder="1" applyAlignment="1">
      <alignment horizontal="center"/>
    </xf>
    <xf numFmtId="168" fontId="42" fillId="0" borderId="0" xfId="80" applyNumberFormat="1" applyFont="1" applyBorder="1" applyAlignment="1">
      <alignment horizontal="center"/>
    </xf>
    <xf numFmtId="168" fontId="42" fillId="0" borderId="0" xfId="80" applyNumberFormat="1" applyFont="1" applyFill="1" applyBorder="1" applyAlignment="1">
      <alignment horizontal="center"/>
    </xf>
    <xf numFmtId="168" fontId="7" fillId="0" borderId="59" xfId="80" applyNumberFormat="1" applyFont="1" applyBorder="1" applyAlignment="1">
      <alignment horizontal="center"/>
    </xf>
    <xf numFmtId="0" fontId="67" fillId="4" borderId="62" xfId="84" applyFont="1" applyFill="1" applyBorder="1"/>
    <xf numFmtId="164" fontId="100" fillId="0" borderId="62" xfId="84" applyNumberFormat="1" applyFont="1" applyFill="1" applyBorder="1" applyAlignment="1">
      <alignment wrapText="1"/>
    </xf>
    <xf numFmtId="0" fontId="65" fillId="0" borderId="40" xfId="82" applyFont="1" applyFill="1" applyBorder="1"/>
    <xf numFmtId="2" fontId="7" fillId="0" borderId="0" xfId="82" applyNumberFormat="1"/>
    <xf numFmtId="168" fontId="20" fillId="12" borderId="16" xfId="3" applyNumberFormat="1" applyFont="1" applyFill="1" applyBorder="1"/>
    <xf numFmtId="168" fontId="7" fillId="12" borderId="16" xfId="80" applyNumberFormat="1" applyFont="1" applyFill="1" applyBorder="1"/>
    <xf numFmtId="0" fontId="67" fillId="0" borderId="59" xfId="82" applyFont="1" applyFill="1" applyBorder="1" applyAlignment="1">
      <alignment horizontal="center" wrapText="1"/>
    </xf>
    <xf numFmtId="0" fontId="71" fillId="0" borderId="0" xfId="82" applyFont="1" applyFill="1" applyBorder="1" applyAlignment="1">
      <alignment horizontal="center" wrapText="1"/>
    </xf>
    <xf numFmtId="173" fontId="6" fillId="0" borderId="24" xfId="80" applyNumberFormat="1" applyFont="1" applyBorder="1" applyAlignment="1">
      <alignment horizontal="center" wrapText="1"/>
    </xf>
    <xf numFmtId="5" fontId="65" fillId="0" borderId="24" xfId="82" applyNumberFormat="1" applyFont="1" applyFill="1" applyBorder="1" applyAlignment="1">
      <alignment horizontal="center"/>
    </xf>
    <xf numFmtId="0" fontId="7" fillId="0" borderId="24" xfId="82" applyBorder="1"/>
    <xf numFmtId="10" fontId="70" fillId="0" borderId="24" xfId="86" applyNumberFormat="1" applyFont="1" applyFill="1" applyBorder="1"/>
    <xf numFmtId="0" fontId="57" fillId="0" borderId="1" xfId="82" applyFont="1" applyBorder="1"/>
    <xf numFmtId="0" fontId="7" fillId="0" borderId="2" xfId="82" applyBorder="1" applyAlignment="1">
      <alignment horizontal="center"/>
    </xf>
    <xf numFmtId="0" fontId="80" fillId="0" borderId="2" xfId="82" applyFont="1" applyBorder="1" applyAlignment="1">
      <alignment horizontal="center"/>
    </xf>
    <xf numFmtId="0" fontId="57" fillId="0" borderId="2" xfId="82" applyFont="1" applyBorder="1" applyAlignment="1">
      <alignment horizontal="center"/>
    </xf>
    <xf numFmtId="0" fontId="66" fillId="0" borderId="3" xfId="82" applyFont="1" applyBorder="1" applyAlignment="1">
      <alignment horizontal="center"/>
    </xf>
    <xf numFmtId="0" fontId="102" fillId="0" borderId="0" xfId="82" applyFont="1"/>
    <xf numFmtId="8" fontId="15" fillId="4" borderId="44" xfId="27" applyNumberFormat="1" applyFont="1" applyFill="1" applyBorder="1" applyAlignment="1">
      <alignment horizontal="right" wrapText="1"/>
    </xf>
    <xf numFmtId="9" fontId="15" fillId="4" borderId="31" xfId="4" applyNumberFormat="1" applyFont="1" applyFill="1" applyBorder="1" applyAlignment="1">
      <alignment horizontal="right" wrapText="1"/>
    </xf>
    <xf numFmtId="173" fontId="2" fillId="0" borderId="24" xfId="80" applyNumberFormat="1" applyFont="1" applyBorder="1" applyAlignment="1">
      <alignment horizontal="center" wrapText="1"/>
    </xf>
    <xf numFmtId="10" fontId="7" fillId="0" borderId="0" xfId="82" applyNumberFormat="1"/>
    <xf numFmtId="1" fontId="7" fillId="0" borderId="0" xfId="82" applyNumberFormat="1"/>
    <xf numFmtId="10" fontId="15" fillId="0" borderId="0" xfId="0" applyNumberFormat="1" applyFont="1" applyFill="1" applyBorder="1" applyAlignment="1">
      <alignment horizontal="right" wrapText="1"/>
    </xf>
    <xf numFmtId="7" fontId="10" fillId="0" borderId="0" xfId="80" applyNumberFormat="1" applyFont="1" applyFill="1" applyBorder="1"/>
    <xf numFmtId="9" fontId="74" fillId="0" borderId="0" xfId="0" applyNumberFormat="1" applyFont="1" applyFill="1" applyBorder="1" applyAlignment="1">
      <alignment horizontal="right" wrapText="1"/>
    </xf>
    <xf numFmtId="7" fontId="67" fillId="0" borderId="0" xfId="0" applyNumberFormat="1" applyFont="1" applyFill="1" applyBorder="1" applyAlignment="1">
      <alignment horizontal="right" wrapText="1"/>
    </xf>
    <xf numFmtId="0" fontId="14" fillId="40" borderId="4" xfId="0" applyFont="1" applyFill="1" applyBorder="1" applyAlignment="1">
      <alignment horizontal="center" vertical="center"/>
    </xf>
    <xf numFmtId="0" fontId="14" fillId="40" borderId="5" xfId="0" applyFont="1" applyFill="1" applyBorder="1" applyAlignment="1">
      <alignment horizontal="center" vertical="center"/>
    </xf>
    <xf numFmtId="0" fontId="14" fillId="40" borderId="6" xfId="0" applyFont="1" applyFill="1" applyBorder="1" applyAlignment="1">
      <alignment horizontal="center" vertical="center"/>
    </xf>
    <xf numFmtId="8" fontId="34" fillId="14" borderId="6" xfId="3" applyNumberFormat="1" applyFont="1" applyFill="1" applyBorder="1" applyAlignment="1">
      <alignment horizontal="right" wrapText="1"/>
    </xf>
    <xf numFmtId="10" fontId="26" fillId="0" borderId="0" xfId="81" applyNumberFormat="1" applyFont="1" applyFill="1" applyBorder="1" applyAlignment="1">
      <alignment horizontal="right" wrapText="1"/>
    </xf>
    <xf numFmtId="168" fontId="31" fillId="0" borderId="0" xfId="0" applyNumberFormat="1" applyFont="1" applyFill="1" applyBorder="1"/>
    <xf numFmtId="10" fontId="15" fillId="0" borderId="0" xfId="65" applyNumberFormat="1" applyFont="1" applyFill="1" applyBorder="1" applyAlignment="1">
      <alignment horizontal="right"/>
    </xf>
    <xf numFmtId="9" fontId="17" fillId="0" borderId="15" xfId="65" applyFont="1" applyFill="1" applyBorder="1" applyAlignment="1">
      <alignment wrapText="1"/>
    </xf>
    <xf numFmtId="10" fontId="17" fillId="0" borderId="16" xfId="65" applyNumberFormat="1" applyFont="1" applyFill="1" applyBorder="1" applyAlignment="1">
      <alignment horizontal="right"/>
    </xf>
    <xf numFmtId="9" fontId="17" fillId="0" borderId="5" xfId="65" applyFont="1" applyFill="1" applyBorder="1" applyAlignment="1">
      <alignment horizontal="center"/>
    </xf>
    <xf numFmtId="0" fontId="19" fillId="0" borderId="32" xfId="0" applyFont="1" applyFill="1" applyBorder="1" applyAlignment="1">
      <alignment wrapText="1"/>
    </xf>
    <xf numFmtId="0" fontId="40" fillId="3" borderId="2" xfId="40" applyFont="1" applyFill="1" applyBorder="1"/>
    <xf numFmtId="0" fontId="14" fillId="3" borderId="3" xfId="40" applyFont="1" applyFill="1" applyBorder="1"/>
    <xf numFmtId="0" fontId="17" fillId="0" borderId="0" xfId="40"/>
    <xf numFmtId="0" fontId="14" fillId="3" borderId="0" xfId="40" applyFont="1" applyFill="1" applyBorder="1"/>
    <xf numFmtId="0" fontId="15" fillId="3" borderId="24" xfId="40" applyFont="1" applyFill="1" applyBorder="1"/>
    <xf numFmtId="0" fontId="62" fillId="3" borderId="39" xfId="40" applyFont="1" applyFill="1" applyBorder="1"/>
    <xf numFmtId="0" fontId="15" fillId="3" borderId="40" xfId="40" applyFont="1" applyFill="1" applyBorder="1"/>
    <xf numFmtId="0" fontId="15" fillId="0" borderId="0" xfId="40" applyFont="1"/>
    <xf numFmtId="0" fontId="63" fillId="9" borderId="0" xfId="78" applyFont="1" applyFill="1"/>
    <xf numFmtId="0" fontId="63" fillId="41" borderId="0" xfId="78" applyFont="1" applyFill="1"/>
    <xf numFmtId="14" fontId="15" fillId="0" borderId="0" xfId="40" applyNumberFormat="1" applyFont="1"/>
    <xf numFmtId="172" fontId="17" fillId="0" borderId="0" xfId="40" applyNumberFormat="1"/>
    <xf numFmtId="172" fontId="17" fillId="0" borderId="0" xfId="40" applyNumberFormat="1" applyAlignment="1">
      <alignment horizontal="left"/>
    </xf>
    <xf numFmtId="14" fontId="15" fillId="0" borderId="0" xfId="40" applyNumberFormat="1" applyFont="1" applyAlignment="1">
      <alignment horizontal="right"/>
    </xf>
    <xf numFmtId="10" fontId="68" fillId="0" borderId="0" xfId="82" applyNumberFormat="1" applyFont="1" applyFill="1" applyBorder="1"/>
    <xf numFmtId="0" fontId="19" fillId="0" borderId="16" xfId="3" applyFont="1" applyBorder="1" applyAlignment="1">
      <alignment wrapText="1"/>
    </xf>
    <xf numFmtId="6" fontId="15" fillId="4" borderId="16" xfId="27" applyNumberFormat="1" applyFont="1" applyFill="1" applyBorder="1" applyAlignment="1">
      <alignment horizontal="right" wrapText="1"/>
    </xf>
    <xf numFmtId="0" fontId="24" fillId="0" borderId="16" xfId="3" applyFont="1" applyBorder="1" applyAlignment="1">
      <alignment wrapText="1"/>
    </xf>
    <xf numFmtId="10" fontId="26" fillId="4" borderId="16" xfId="3" applyNumberFormat="1" applyFont="1" applyFill="1" applyBorder="1" applyAlignment="1">
      <alignment horizontal="right" wrapText="1"/>
    </xf>
    <xf numFmtId="0" fontId="26" fillId="4" borderId="16" xfId="3" applyFont="1" applyFill="1" applyBorder="1" applyAlignment="1">
      <alignment horizontal="right" wrapText="1"/>
    </xf>
    <xf numFmtId="0" fontId="19" fillId="0" borderId="22" xfId="3" applyFont="1" applyBorder="1" applyAlignment="1">
      <alignment wrapText="1"/>
    </xf>
    <xf numFmtId="6" fontId="15" fillId="4" borderId="22" xfId="3" applyNumberFormat="1" applyFont="1" applyFill="1" applyBorder="1" applyAlignment="1">
      <alignment horizontal="right" wrapText="1"/>
    </xf>
    <xf numFmtId="15" fontId="55" fillId="0" borderId="0" xfId="5" applyNumberFormat="1" applyFont="1" applyAlignment="1">
      <alignment horizontal="left"/>
    </xf>
    <xf numFmtId="43" fontId="17" fillId="0" borderId="0" xfId="79" applyFont="1" applyFill="1" applyBorder="1"/>
    <xf numFmtId="168" fontId="17" fillId="0" borderId="17" xfId="65" applyNumberFormat="1" applyFont="1" applyFill="1" applyBorder="1" applyAlignment="1">
      <alignment horizontal="right"/>
    </xf>
    <xf numFmtId="0" fontId="17" fillId="0" borderId="15" xfId="5" applyFont="1" applyFill="1" applyBorder="1"/>
    <xf numFmtId="8" fontId="17" fillId="0" borderId="17" xfId="5" applyNumberFormat="1" applyFont="1" applyFill="1" applyBorder="1" applyAlignment="1">
      <alignment horizontal="right"/>
    </xf>
    <xf numFmtId="168" fontId="17" fillId="0" borderId="34" xfId="65" applyNumberFormat="1" applyFont="1" applyFill="1" applyBorder="1" applyAlignment="1">
      <alignment horizontal="right"/>
    </xf>
    <xf numFmtId="0" fontId="17" fillId="0" borderId="32" xfId="5" applyFont="1" applyFill="1" applyBorder="1"/>
    <xf numFmtId="9" fontId="17" fillId="0" borderId="33" xfId="5" applyNumberFormat="1" applyFont="1" applyFill="1" applyBorder="1" applyAlignment="1">
      <alignment horizontal="right"/>
    </xf>
    <xf numFmtId="0" fontId="24" fillId="0" borderId="4" xfId="0" applyFont="1" applyFill="1" applyBorder="1" applyAlignment="1">
      <alignment wrapText="1"/>
    </xf>
    <xf numFmtId="10" fontId="17" fillId="0" borderId="5" xfId="65" applyNumberFormat="1" applyFont="1" applyFill="1" applyBorder="1" applyAlignment="1">
      <alignment horizontal="right"/>
    </xf>
    <xf numFmtId="168" fontId="17" fillId="0" borderId="6" xfId="65" applyNumberFormat="1" applyFont="1" applyFill="1" applyBorder="1" applyAlignment="1">
      <alignment horizontal="right"/>
    </xf>
    <xf numFmtId="10" fontId="15" fillId="0" borderId="16" xfId="65" applyNumberFormat="1" applyFont="1" applyFill="1" applyBorder="1" applyAlignment="1">
      <alignment horizontal="right"/>
    </xf>
    <xf numFmtId="9" fontId="15" fillId="0" borderId="30" xfId="65" applyFont="1" applyBorder="1" applyAlignment="1">
      <alignment horizontal="left" wrapText="1"/>
    </xf>
    <xf numFmtId="9" fontId="15" fillId="0" borderId="53" xfId="65" applyFont="1" applyFill="1" applyBorder="1" applyAlignment="1">
      <alignment horizontal="right"/>
    </xf>
    <xf numFmtId="9" fontId="15" fillId="0" borderId="53" xfId="65" applyFont="1" applyFill="1" applyBorder="1" applyAlignment="1">
      <alignment horizontal="center"/>
    </xf>
    <xf numFmtId="169" fontId="15" fillId="0" borderId="54" xfId="65" applyNumberFormat="1" applyFont="1" applyFill="1" applyBorder="1" applyAlignment="1">
      <alignment horizontal="right"/>
    </xf>
    <xf numFmtId="9" fontId="17" fillId="0" borderId="8" xfId="65" applyFont="1" applyFill="1" applyBorder="1" applyAlignment="1">
      <alignment wrapText="1"/>
    </xf>
    <xf numFmtId="9" fontId="17" fillId="0" borderId="9" xfId="65" applyFont="1" applyFill="1" applyBorder="1" applyAlignment="1">
      <alignment horizontal="right"/>
    </xf>
    <xf numFmtId="9" fontId="17" fillId="0" borderId="9" xfId="65" applyFont="1" applyFill="1" applyBorder="1" applyAlignment="1">
      <alignment horizontal="center"/>
    </xf>
    <xf numFmtId="168" fontId="17" fillId="0" borderId="10" xfId="65" applyNumberFormat="1" applyFont="1" applyFill="1" applyBorder="1" applyAlignment="1">
      <alignment horizontal="right"/>
    </xf>
    <xf numFmtId="0" fontId="19" fillId="0" borderId="15" xfId="0" applyFont="1" applyFill="1" applyBorder="1" applyAlignment="1">
      <alignment wrapText="1"/>
    </xf>
    <xf numFmtId="10" fontId="15" fillId="0" borderId="33" xfId="65" applyNumberFormat="1" applyFont="1" applyFill="1" applyBorder="1" applyAlignment="1">
      <alignment horizontal="right"/>
    </xf>
    <xf numFmtId="168" fontId="15" fillId="5" borderId="34" xfId="65" applyNumberFormat="1" applyFont="1" applyFill="1" applyBorder="1" applyAlignment="1">
      <alignment horizontal="right"/>
    </xf>
    <xf numFmtId="14" fontId="39" fillId="0" borderId="0" xfId="0" applyNumberFormat="1" applyFont="1" applyAlignment="1">
      <alignment horizontal="left"/>
    </xf>
    <xf numFmtId="0" fontId="100" fillId="0" borderId="11" xfId="0" applyFont="1" applyBorder="1" applyAlignment="1">
      <alignment wrapText="1"/>
    </xf>
    <xf numFmtId="0" fontId="101" fillId="0" borderId="15" xfId="0" applyFont="1" applyBorder="1" applyAlignment="1">
      <alignment wrapText="1"/>
    </xf>
    <xf numFmtId="165" fontId="100" fillId="4" borderId="15" xfId="0" applyNumberFormat="1" applyFont="1" applyFill="1" applyBorder="1" applyAlignment="1">
      <alignment wrapText="1"/>
    </xf>
    <xf numFmtId="0" fontId="82" fillId="0" borderId="15" xfId="0" applyFont="1" applyBorder="1"/>
    <xf numFmtId="0" fontId="82" fillId="0" borderId="15" xfId="0" applyFont="1" applyBorder="1" applyAlignment="1">
      <alignment wrapText="1"/>
    </xf>
    <xf numFmtId="164" fontId="100" fillId="0" borderId="15" xfId="0" applyNumberFormat="1" applyFont="1" applyFill="1" applyBorder="1" applyAlignment="1">
      <alignment wrapText="1"/>
    </xf>
    <xf numFmtId="0" fontId="103" fillId="0" borderId="19" xfId="0" applyFont="1" applyBorder="1" applyAlignment="1">
      <alignment wrapText="1"/>
    </xf>
    <xf numFmtId="0" fontId="101" fillId="0" borderId="15" xfId="0" applyFont="1" applyFill="1" applyBorder="1" applyAlignment="1">
      <alignment wrapText="1"/>
    </xf>
    <xf numFmtId="0" fontId="100" fillId="0" borderId="15" xfId="0" applyFont="1" applyBorder="1" applyAlignment="1">
      <alignment wrapText="1"/>
    </xf>
    <xf numFmtId="0" fontId="101" fillId="0" borderId="23" xfId="0" applyFont="1" applyBorder="1" applyAlignment="1">
      <alignment wrapText="1"/>
    </xf>
    <xf numFmtId="0" fontId="81" fillId="0" borderId="15" xfId="0" applyFont="1" applyBorder="1"/>
    <xf numFmtId="0" fontId="101" fillId="4" borderId="25" xfId="0" applyFont="1" applyFill="1" applyBorder="1" applyAlignment="1">
      <alignment wrapText="1"/>
    </xf>
    <xf numFmtId="0" fontId="101" fillId="0" borderId="19" xfId="0" applyFont="1" applyBorder="1" applyAlignment="1">
      <alignment wrapText="1"/>
    </xf>
    <xf numFmtId="0" fontId="82" fillId="4" borderId="23" xfId="0" applyFont="1" applyFill="1" applyBorder="1" applyAlignment="1">
      <alignment wrapText="1"/>
    </xf>
    <xf numFmtId="0" fontId="82" fillId="4" borderId="32" xfId="0" applyFont="1" applyFill="1" applyBorder="1" applyAlignment="1">
      <alignment wrapText="1"/>
    </xf>
    <xf numFmtId="0" fontId="100" fillId="6" borderId="4" xfId="0" applyFont="1" applyFill="1" applyBorder="1" applyAlignment="1">
      <alignment wrapText="1"/>
    </xf>
    <xf numFmtId="8" fontId="24" fillId="4" borderId="42" xfId="0" applyNumberFormat="1" applyFont="1" applyFill="1" applyBorder="1" applyAlignment="1">
      <alignment wrapText="1"/>
    </xf>
    <xf numFmtId="164" fontId="100" fillId="0" borderId="15" xfId="3" applyNumberFormat="1" applyFont="1" applyFill="1" applyBorder="1" applyAlignment="1">
      <alignment wrapText="1"/>
    </xf>
    <xf numFmtId="0" fontId="101" fillId="0" borderId="15" xfId="3" applyFont="1" applyFill="1" applyBorder="1" applyAlignment="1">
      <alignment wrapText="1"/>
    </xf>
    <xf numFmtId="0" fontId="100" fillId="0" borderId="15" xfId="3" applyFont="1" applyBorder="1" applyAlignment="1">
      <alignment wrapText="1"/>
    </xf>
    <xf numFmtId="0" fontId="101" fillId="0" borderId="15" xfId="3" applyFont="1" applyBorder="1" applyAlignment="1">
      <alignment wrapText="1"/>
    </xf>
    <xf numFmtId="0" fontId="101" fillId="0" borderId="23" xfId="3" applyFont="1" applyBorder="1" applyAlignment="1">
      <alignment wrapText="1"/>
    </xf>
    <xf numFmtId="0" fontId="81" fillId="0" borderId="15" xfId="3" applyFont="1" applyBorder="1"/>
    <xf numFmtId="0" fontId="101" fillId="4" borderId="30" xfId="3" applyFont="1" applyFill="1" applyBorder="1" applyAlignment="1">
      <alignment wrapText="1"/>
    </xf>
    <xf numFmtId="0" fontId="100" fillId="0" borderId="16" xfId="3" applyFont="1" applyBorder="1" applyAlignment="1">
      <alignment wrapText="1"/>
    </xf>
    <xf numFmtId="0" fontId="101" fillId="0" borderId="16" xfId="3" applyFont="1" applyBorder="1" applyAlignment="1">
      <alignment wrapText="1"/>
    </xf>
    <xf numFmtId="0" fontId="100" fillId="4" borderId="23" xfId="0" applyFont="1" applyFill="1" applyBorder="1" applyAlignment="1">
      <alignment wrapText="1"/>
    </xf>
    <xf numFmtId="0" fontId="104" fillId="4" borderId="8" xfId="0" applyFont="1" applyFill="1" applyBorder="1" applyAlignment="1">
      <alignment horizontal="center"/>
    </xf>
    <xf numFmtId="1" fontId="100" fillId="4" borderId="10" xfId="0" applyNumberFormat="1" applyFont="1" applyFill="1" applyBorder="1" applyAlignment="1">
      <alignment horizontal="center"/>
    </xf>
    <xf numFmtId="165" fontId="101" fillId="0" borderId="15" xfId="0" applyNumberFormat="1" applyFont="1" applyBorder="1" applyAlignment="1">
      <alignment wrapText="1"/>
    </xf>
    <xf numFmtId="166" fontId="101" fillId="4" borderId="17" xfId="1" applyNumberFormat="1" applyFont="1" applyFill="1" applyBorder="1" applyAlignment="1">
      <alignment wrapText="1"/>
    </xf>
    <xf numFmtId="165" fontId="103" fillId="4" borderId="16" xfId="3" applyNumberFormat="1" applyFont="1" applyFill="1" applyBorder="1" applyAlignment="1">
      <alignment horizontal="center" wrapText="1"/>
    </xf>
    <xf numFmtId="165" fontId="100" fillId="4" borderId="16" xfId="3" applyNumberFormat="1" applyFont="1" applyFill="1" applyBorder="1" applyAlignment="1">
      <alignment horizontal="center" wrapText="1"/>
    </xf>
    <xf numFmtId="42" fontId="100" fillId="4" borderId="17" xfId="3" applyNumberFormat="1" applyFont="1" applyFill="1" applyBorder="1" applyAlignment="1">
      <alignment horizontal="center" wrapText="1"/>
    </xf>
    <xf numFmtId="165" fontId="105" fillId="4" borderId="15" xfId="3" applyNumberFormat="1" applyFont="1" applyFill="1" applyBorder="1" applyAlignment="1">
      <alignment wrapText="1"/>
    </xf>
    <xf numFmtId="6" fontId="101" fillId="4" borderId="16" xfId="0" applyNumberFormat="1" applyFont="1" applyFill="1" applyBorder="1"/>
    <xf numFmtId="167" fontId="81" fillId="4" borderId="16" xfId="0" applyNumberFormat="1" applyFont="1" applyFill="1" applyBorder="1" applyAlignment="1">
      <alignment horizontal="right"/>
    </xf>
    <xf numFmtId="6" fontId="101" fillId="4" borderId="17" xfId="0" applyNumberFormat="1" applyFont="1" applyFill="1" applyBorder="1" applyAlignment="1">
      <alignment horizontal="right" wrapText="1"/>
    </xf>
    <xf numFmtId="0" fontId="106" fillId="0" borderId="15" xfId="3" applyFont="1" applyBorder="1" applyAlignment="1">
      <alignment wrapText="1"/>
    </xf>
    <xf numFmtId="0" fontId="106" fillId="0" borderId="15" xfId="3" applyFont="1" applyBorder="1"/>
    <xf numFmtId="40" fontId="101" fillId="4" borderId="16" xfId="0" applyNumberFormat="1" applyFont="1" applyFill="1" applyBorder="1" applyAlignment="1">
      <alignment horizontal="right"/>
    </xf>
    <xf numFmtId="164" fontId="105" fillId="0" borderId="15" xfId="3" applyNumberFormat="1" applyFont="1" applyFill="1" applyBorder="1" applyAlignment="1">
      <alignment wrapText="1"/>
    </xf>
    <xf numFmtId="0" fontId="107" fillId="0" borderId="19" xfId="3" applyFont="1" applyBorder="1" applyAlignment="1">
      <alignment wrapText="1"/>
    </xf>
    <xf numFmtId="6" fontId="101" fillId="4" borderId="21" xfId="0" applyNumberFormat="1" applyFont="1" applyFill="1" applyBorder="1" applyAlignment="1">
      <alignment horizontal="right" wrapText="1"/>
    </xf>
    <xf numFmtId="0" fontId="105" fillId="0" borderId="11" xfId="0" applyFont="1" applyBorder="1" applyAlignment="1">
      <alignment wrapText="1"/>
    </xf>
    <xf numFmtId="2" fontId="100" fillId="4" borderId="22" xfId="0" applyNumberFormat="1" applyFont="1" applyFill="1" applyBorder="1" applyAlignment="1">
      <alignment horizontal="right" wrapText="1"/>
    </xf>
    <xf numFmtId="6" fontId="100" fillId="4" borderId="14" xfId="0" applyNumberFormat="1" applyFont="1" applyFill="1" applyBorder="1" applyAlignment="1">
      <alignment horizontal="right" wrapText="1"/>
    </xf>
    <xf numFmtId="0" fontId="109" fillId="0" borderId="15" xfId="3" applyFont="1" applyFill="1" applyBorder="1" applyAlignment="1">
      <alignment wrapText="1"/>
    </xf>
    <xf numFmtId="10" fontId="101" fillId="4" borderId="16" xfId="0" applyNumberFormat="1" applyFont="1" applyFill="1" applyBorder="1" applyAlignment="1">
      <alignment horizontal="right" wrapText="1"/>
    </xf>
    <xf numFmtId="9" fontId="110" fillId="4" borderId="16" xfId="0" applyNumberFormat="1" applyFont="1" applyFill="1" applyBorder="1" applyAlignment="1">
      <alignment horizontal="right" wrapText="1"/>
    </xf>
    <xf numFmtId="0" fontId="105" fillId="0" borderId="15" xfId="3" applyFont="1" applyBorder="1" applyAlignment="1">
      <alignment wrapText="1"/>
    </xf>
    <xf numFmtId="10" fontId="108" fillId="4" borderId="16" xfId="0" applyNumberFormat="1" applyFont="1" applyFill="1" applyBorder="1" applyAlignment="1">
      <alignment horizontal="right" wrapText="1"/>
    </xf>
    <xf numFmtId="165" fontId="108" fillId="4" borderId="16" xfId="0" applyNumberFormat="1" applyFont="1" applyFill="1" applyBorder="1" applyAlignment="1">
      <alignment horizontal="right" wrapText="1"/>
    </xf>
    <xf numFmtId="6" fontId="100" fillId="4" borderId="17" xfId="27" applyNumberFormat="1" applyFont="1" applyFill="1" applyBorder="1" applyAlignment="1">
      <alignment horizontal="right" wrapText="1"/>
    </xf>
    <xf numFmtId="0" fontId="109" fillId="0" borderId="15" xfId="0" applyFont="1" applyBorder="1" applyAlignment="1">
      <alignment wrapText="1"/>
    </xf>
    <xf numFmtId="10" fontId="100" fillId="4" borderId="16" xfId="3" applyNumberFormat="1" applyFont="1" applyFill="1" applyBorder="1" applyAlignment="1">
      <alignment horizontal="right" wrapText="1"/>
    </xf>
    <xf numFmtId="0" fontId="111" fillId="4" borderId="16" xfId="3" applyFont="1" applyFill="1" applyBorder="1" applyAlignment="1">
      <alignment horizontal="right" wrapText="1"/>
    </xf>
    <xf numFmtId="6" fontId="101" fillId="0" borderId="17" xfId="27" applyNumberFormat="1" applyFont="1" applyFill="1" applyBorder="1" applyAlignment="1">
      <alignment horizontal="right" wrapText="1"/>
    </xf>
    <xf numFmtId="0" fontId="109" fillId="0" borderId="15" xfId="3" applyFont="1" applyBorder="1" applyAlignment="1">
      <alignment wrapText="1"/>
    </xf>
    <xf numFmtId="39" fontId="112" fillId="4" borderId="16" xfId="0" applyNumberFormat="1" applyFont="1" applyFill="1" applyBorder="1" applyAlignment="1">
      <alignment horizontal="right" wrapText="1"/>
    </xf>
    <xf numFmtId="6" fontId="101" fillId="4" borderId="17" xfId="27" applyNumberFormat="1" applyFont="1" applyFill="1" applyBorder="1" applyAlignment="1">
      <alignment horizontal="right" wrapText="1"/>
    </xf>
    <xf numFmtId="168" fontId="101" fillId="4" borderId="16" xfId="0" applyNumberFormat="1" applyFont="1" applyFill="1" applyBorder="1" applyAlignment="1">
      <alignment horizontal="right" wrapText="1"/>
    </xf>
    <xf numFmtId="0" fontId="109" fillId="0" borderId="23" xfId="3" applyFont="1" applyBorder="1" applyAlignment="1">
      <alignment wrapText="1"/>
    </xf>
    <xf numFmtId="8" fontId="101" fillId="4" borderId="16" xfId="0" applyNumberFormat="1" applyFont="1" applyFill="1" applyBorder="1" applyAlignment="1">
      <alignment horizontal="right" wrapText="1"/>
    </xf>
    <xf numFmtId="0" fontId="1" fillId="0" borderId="15" xfId="3" applyFont="1" applyBorder="1"/>
    <xf numFmtId="0" fontId="10" fillId="4" borderId="16" xfId="3" applyFont="1" applyFill="1" applyBorder="1"/>
    <xf numFmtId="0" fontId="1" fillId="4" borderId="16" xfId="3" applyFont="1" applyFill="1" applyBorder="1"/>
    <xf numFmtId="0" fontId="10" fillId="0" borderId="17" xfId="3" applyFont="1" applyBorder="1" applyAlignment="1">
      <alignment wrapText="1"/>
    </xf>
    <xf numFmtId="0" fontId="109" fillId="4" borderId="30" xfId="3" applyFont="1" applyFill="1" applyBorder="1" applyAlignment="1">
      <alignment wrapText="1"/>
    </xf>
    <xf numFmtId="168" fontId="101" fillId="4" borderId="53" xfId="0" applyNumberFormat="1" applyFont="1" applyFill="1" applyBorder="1" applyAlignment="1">
      <alignment horizontal="right" wrapText="1"/>
    </xf>
    <xf numFmtId="39" fontId="112" fillId="4" borderId="53" xfId="0" applyNumberFormat="1" applyFont="1" applyFill="1" applyBorder="1" applyAlignment="1">
      <alignment horizontal="right" wrapText="1"/>
    </xf>
    <xf numFmtId="6" fontId="101" fillId="4" borderId="44" xfId="27" applyNumberFormat="1" applyFont="1" applyFill="1" applyBorder="1" applyAlignment="1">
      <alignment horizontal="right" wrapText="1"/>
    </xf>
    <xf numFmtId="0" fontId="105" fillId="0" borderId="16" xfId="3" applyFont="1" applyBorder="1" applyAlignment="1">
      <alignment wrapText="1"/>
    </xf>
    <xf numFmtId="10" fontId="110" fillId="4" borderId="16" xfId="0" applyNumberFormat="1" applyFont="1" applyFill="1" applyBorder="1" applyAlignment="1">
      <alignment horizontal="right" wrapText="1"/>
    </xf>
    <xf numFmtId="0" fontId="110" fillId="4" borderId="16" xfId="0" applyFont="1" applyFill="1" applyBorder="1" applyAlignment="1">
      <alignment horizontal="right" wrapText="1"/>
    </xf>
    <xf numFmtId="6" fontId="100" fillId="4" borderId="16" xfId="27" applyNumberFormat="1" applyFont="1" applyFill="1" applyBorder="1" applyAlignment="1">
      <alignment horizontal="right" wrapText="1"/>
    </xf>
    <xf numFmtId="0" fontId="109" fillId="0" borderId="16" xfId="3" applyFont="1" applyBorder="1" applyAlignment="1">
      <alignment wrapText="1"/>
    </xf>
    <xf numFmtId="0" fontId="110" fillId="4" borderId="22" xfId="0" applyFont="1" applyFill="1" applyBorder="1" applyAlignment="1">
      <alignment horizontal="right" wrapText="1"/>
    </xf>
    <xf numFmtId="0" fontId="105" fillId="4" borderId="23" xfId="0" applyFont="1" applyFill="1" applyBorder="1" applyAlignment="1">
      <alignment wrapText="1"/>
    </xf>
    <xf numFmtId="10" fontId="110" fillId="4" borderId="31" xfId="4" applyNumberFormat="1" applyFont="1" applyFill="1" applyBorder="1" applyAlignment="1">
      <alignment horizontal="right" wrapText="1"/>
    </xf>
    <xf numFmtId="10" fontId="108" fillId="4" borderId="31" xfId="4" applyNumberFormat="1" applyFont="1" applyFill="1" applyBorder="1" applyAlignment="1">
      <alignment horizontal="right" wrapText="1"/>
    </xf>
    <xf numFmtId="8" fontId="100" fillId="4" borderId="17" xfId="27" applyNumberFormat="1" applyFont="1" applyFill="1" applyBorder="1" applyAlignment="1">
      <alignment horizontal="right" wrapText="1"/>
    </xf>
    <xf numFmtId="9" fontId="100" fillId="12" borderId="31" xfId="0" applyNumberFormat="1" applyFont="1" applyFill="1" applyBorder="1" applyAlignment="1">
      <alignment horizontal="right" wrapText="1"/>
    </xf>
    <xf numFmtId="0" fontId="110" fillId="4" borderId="31" xfId="0" applyFont="1" applyFill="1" applyBorder="1" applyAlignment="1">
      <alignment horizontal="right" wrapText="1"/>
    </xf>
    <xf numFmtId="8" fontId="100" fillId="4" borderId="44" xfId="27" applyNumberFormat="1" applyFont="1" applyFill="1" applyBorder="1" applyAlignment="1">
      <alignment horizontal="right" wrapText="1"/>
    </xf>
    <xf numFmtId="0" fontId="105" fillId="6" borderId="4" xfId="0" applyFont="1" applyFill="1" applyBorder="1" applyAlignment="1">
      <alignment wrapText="1"/>
    </xf>
    <xf numFmtId="10" fontId="100" fillId="6" borderId="5" xfId="0" applyNumberFormat="1" applyFont="1" applyFill="1" applyBorder="1" applyAlignment="1">
      <alignment horizontal="right" wrapText="1"/>
    </xf>
    <xf numFmtId="0" fontId="110" fillId="6" borderId="5" xfId="0" applyFont="1" applyFill="1" applyBorder="1" applyAlignment="1">
      <alignment horizontal="right" wrapText="1"/>
    </xf>
    <xf numFmtId="0" fontId="1" fillId="0" borderId="11" xfId="38" applyFont="1" applyBorder="1"/>
    <xf numFmtId="0" fontId="1" fillId="4" borderId="17" xfId="38" applyFont="1" applyFill="1" applyBorder="1"/>
    <xf numFmtId="0" fontId="1" fillId="0" borderId="15" xfId="38" applyFont="1" applyBorder="1"/>
    <xf numFmtId="1" fontId="100" fillId="4" borderId="10" xfId="0" applyNumberFormat="1" applyFont="1" applyFill="1" applyBorder="1" applyAlignment="1"/>
    <xf numFmtId="0" fontId="1" fillId="0" borderId="0" xfId="0" applyFont="1"/>
    <xf numFmtId="173" fontId="1" fillId="0" borderId="0" xfId="80" applyNumberFormat="1" applyFont="1" applyFill="1" applyBorder="1"/>
    <xf numFmtId="6" fontId="101" fillId="0" borderId="0" xfId="0" applyNumberFormat="1" applyFont="1" applyFill="1" applyBorder="1"/>
    <xf numFmtId="1" fontId="101" fillId="4" borderId="17" xfId="1" applyNumberFormat="1" applyFont="1" applyFill="1" applyBorder="1" applyAlignment="1">
      <alignment wrapText="1"/>
    </xf>
    <xf numFmtId="6" fontId="101" fillId="0" borderId="0" xfId="0" applyNumberFormat="1" applyFont="1" applyFill="1" applyBorder="1" applyAlignment="1">
      <alignment horizontal="right"/>
    </xf>
    <xf numFmtId="165" fontId="103" fillId="4" borderId="16" xfId="0" applyNumberFormat="1" applyFont="1" applyFill="1" applyBorder="1" applyAlignment="1">
      <alignment horizontal="center" wrapText="1"/>
    </xf>
    <xf numFmtId="165" fontId="100" fillId="4" borderId="16" xfId="0" applyNumberFormat="1" applyFont="1" applyFill="1" applyBorder="1" applyAlignment="1">
      <alignment horizontal="center" wrapText="1"/>
    </xf>
    <xf numFmtId="42" fontId="100" fillId="4" borderId="17" xfId="0" applyNumberFormat="1" applyFont="1" applyFill="1" applyBorder="1" applyAlignment="1">
      <alignment horizontal="center" wrapText="1"/>
    </xf>
    <xf numFmtId="173" fontId="10" fillId="0" borderId="0" xfId="80" applyNumberFormat="1" applyFont="1" applyFill="1" applyBorder="1"/>
    <xf numFmtId="0" fontId="10" fillId="0" borderId="0" xfId="0" applyFont="1" applyFill="1" applyBorder="1"/>
    <xf numFmtId="167" fontId="81" fillId="4" borderId="16" xfId="0" applyNumberFormat="1" applyFont="1" applyFill="1" applyBorder="1"/>
    <xf numFmtId="8" fontId="1" fillId="0" borderId="0" xfId="0" applyNumberFormat="1" applyFont="1" applyFill="1" applyBorder="1"/>
    <xf numFmtId="0" fontId="10" fillId="8" borderId="1" xfId="0" applyFont="1" applyFill="1" applyBorder="1"/>
    <xf numFmtId="0" fontId="10" fillId="8" borderId="3" xfId="0" applyFont="1" applyFill="1" applyBorder="1"/>
    <xf numFmtId="0" fontId="1" fillId="0" borderId="15" xfId="0" applyFont="1" applyBorder="1"/>
    <xf numFmtId="40" fontId="1" fillId="0" borderId="17" xfId="0" applyNumberFormat="1" applyFont="1" applyBorder="1"/>
    <xf numFmtId="0" fontId="1" fillId="0" borderId="15" xfId="0" applyFont="1" applyBorder="1" applyAlignment="1">
      <alignment wrapText="1"/>
    </xf>
    <xf numFmtId="10" fontId="1" fillId="0" borderId="15" xfId="0" applyNumberFormat="1" applyFont="1" applyBorder="1"/>
    <xf numFmtId="0" fontId="1" fillId="6" borderId="32" xfId="0" applyFont="1" applyFill="1" applyBorder="1"/>
    <xf numFmtId="40" fontId="1" fillId="6" borderId="34" xfId="0" applyNumberFormat="1" applyFont="1" applyFill="1" applyBorder="1"/>
    <xf numFmtId="0" fontId="111" fillId="4" borderId="16" xfId="0" applyFont="1" applyFill="1" applyBorder="1" applyAlignment="1">
      <alignment horizontal="right" wrapText="1"/>
    </xf>
    <xf numFmtId="0" fontId="100" fillId="8" borderId="35" xfId="38" applyFont="1" applyFill="1" applyBorder="1"/>
    <xf numFmtId="0" fontId="81" fillId="8" borderId="36" xfId="38" applyFont="1" applyFill="1" applyBorder="1"/>
    <xf numFmtId="0" fontId="81" fillId="8" borderId="37" xfId="38" applyFont="1" applyFill="1" applyBorder="1"/>
    <xf numFmtId="0" fontId="81" fillId="0" borderId="15" xfId="38" applyFont="1" applyBorder="1"/>
    <xf numFmtId="0" fontId="82" fillId="4" borderId="16" xfId="38" applyFont="1" applyFill="1" applyBorder="1"/>
    <xf numFmtId="2" fontId="81" fillId="4" borderId="16" xfId="38" applyNumberFormat="1" applyFont="1" applyFill="1" applyBorder="1"/>
    <xf numFmtId="0" fontId="10" fillId="0" borderId="16" xfId="0" applyFont="1" applyBorder="1"/>
    <xf numFmtId="0" fontId="1" fillId="0" borderId="16" xfId="0" applyFont="1" applyBorder="1"/>
    <xf numFmtId="0" fontId="10" fillId="0" borderId="17" xfId="0" applyFont="1" applyBorder="1" applyAlignment="1">
      <alignment wrapText="1"/>
    </xf>
    <xf numFmtId="2" fontId="101" fillId="4" borderId="16" xfId="38" applyNumberFormat="1" applyFont="1" applyFill="1" applyBorder="1"/>
    <xf numFmtId="8" fontId="101" fillId="4" borderId="26" xfId="0" applyNumberFormat="1" applyFont="1" applyFill="1" applyBorder="1" applyAlignment="1">
      <alignment horizontal="right" wrapText="1"/>
    </xf>
    <xf numFmtId="39" fontId="112" fillId="4" borderId="26" xfId="0" applyNumberFormat="1" applyFont="1" applyFill="1" applyBorder="1" applyAlignment="1">
      <alignment horizontal="right" wrapText="1"/>
    </xf>
    <xf numFmtId="6" fontId="101" fillId="4" borderId="21" xfId="27" applyNumberFormat="1" applyFont="1" applyFill="1" applyBorder="1" applyAlignment="1">
      <alignment horizontal="right" wrapText="1"/>
    </xf>
    <xf numFmtId="6" fontId="1" fillId="0" borderId="0" xfId="0" applyNumberFormat="1" applyFont="1"/>
    <xf numFmtId="0" fontId="81" fillId="0" borderId="15" xfId="38" applyFont="1" applyFill="1" applyBorder="1"/>
    <xf numFmtId="10" fontId="110" fillId="4" borderId="22" xfId="0" applyNumberFormat="1" applyFont="1" applyFill="1" applyBorder="1" applyAlignment="1">
      <alignment horizontal="right" wrapText="1"/>
    </xf>
    <xf numFmtId="6" fontId="100" fillId="4" borderId="14" xfId="27" applyNumberFormat="1" applyFont="1" applyFill="1" applyBorder="1" applyAlignment="1">
      <alignment horizontal="right" wrapText="1"/>
    </xf>
    <xf numFmtId="10" fontId="101" fillId="4" borderId="20" xfId="0" applyNumberFormat="1" applyFont="1" applyFill="1" applyBorder="1" applyAlignment="1">
      <alignment horizontal="right" wrapText="1"/>
    </xf>
    <xf numFmtId="0" fontId="110" fillId="4" borderId="20" xfId="0" applyFont="1" applyFill="1" applyBorder="1" applyAlignment="1">
      <alignment horizontal="right" wrapText="1"/>
    </xf>
    <xf numFmtId="6" fontId="100" fillId="4" borderId="21" xfId="27" applyNumberFormat="1" applyFont="1" applyFill="1" applyBorder="1" applyAlignment="1">
      <alignment horizontal="right" wrapText="1"/>
    </xf>
    <xf numFmtId="0" fontId="81" fillId="4" borderId="15" xfId="38" applyFont="1" applyFill="1" applyBorder="1"/>
    <xf numFmtId="10" fontId="81" fillId="4" borderId="31" xfId="4" applyNumberFormat="1" applyFont="1" applyFill="1" applyBorder="1" applyAlignment="1">
      <alignment horizontal="right" wrapText="1"/>
    </xf>
    <xf numFmtId="10" fontId="82" fillId="4" borderId="31" xfId="4" applyNumberFormat="1" applyFont="1" applyFill="1" applyBorder="1" applyAlignment="1">
      <alignment horizontal="right" wrapText="1"/>
    </xf>
    <xf numFmtId="8" fontId="82" fillId="4" borderId="17" xfId="27" applyNumberFormat="1" applyFont="1" applyFill="1" applyBorder="1" applyAlignment="1">
      <alignment horizontal="right" wrapText="1"/>
    </xf>
    <xf numFmtId="0" fontId="82" fillId="6" borderId="32" xfId="38" applyFont="1" applyFill="1" applyBorder="1" applyAlignment="1">
      <alignment wrapText="1"/>
    </xf>
    <xf numFmtId="2" fontId="82" fillId="6" borderId="33" xfId="38" applyNumberFormat="1" applyFont="1" applyFill="1" applyBorder="1" applyAlignment="1">
      <alignment horizontal="right" wrapText="1"/>
    </xf>
    <xf numFmtId="2" fontId="82" fillId="6" borderId="34" xfId="38" applyNumberFormat="1" applyFont="1" applyFill="1" applyBorder="1" applyAlignment="1">
      <alignment horizontal="right" wrapText="1"/>
    </xf>
    <xf numFmtId="9" fontId="82" fillId="4" borderId="33" xfId="0" applyNumberFormat="1" applyFont="1" applyFill="1" applyBorder="1" applyAlignment="1">
      <alignment horizontal="right" wrapText="1"/>
    </xf>
    <xf numFmtId="0" fontId="81" fillId="4" borderId="33" xfId="0" applyFont="1" applyFill="1" applyBorder="1" applyAlignment="1">
      <alignment horizontal="right" wrapText="1"/>
    </xf>
    <xf numFmtId="8" fontId="82" fillId="4" borderId="34" xfId="27" applyNumberFormat="1" applyFont="1" applyFill="1" applyBorder="1" applyAlignment="1">
      <alignment horizontal="right" wrapText="1"/>
    </xf>
    <xf numFmtId="8" fontId="100" fillId="5" borderId="6" xfId="27" applyNumberFormat="1" applyFont="1" applyFill="1" applyBorder="1" applyAlignment="1">
      <alignment horizontal="right" wrapText="1"/>
    </xf>
    <xf numFmtId="0" fontId="82" fillId="4" borderId="16" xfId="3" applyFont="1" applyFill="1" applyBorder="1"/>
    <xf numFmtId="0" fontId="81" fillId="4" borderId="16" xfId="3" applyFont="1" applyFill="1" applyBorder="1"/>
    <xf numFmtId="0" fontId="82" fillId="0" borderId="17" xfId="3" applyFont="1" applyBorder="1" applyAlignment="1">
      <alignment wrapText="1"/>
    </xf>
    <xf numFmtId="6" fontId="100" fillId="0" borderId="17" xfId="27" applyNumberFormat="1" applyFont="1" applyFill="1" applyBorder="1" applyAlignment="1">
      <alignment horizontal="right" wrapText="1"/>
    </xf>
    <xf numFmtId="168" fontId="81" fillId="8" borderId="16" xfId="0" applyNumberFormat="1" applyFont="1" applyFill="1" applyBorder="1"/>
    <xf numFmtId="39" fontId="112" fillId="8" borderId="16" xfId="0" applyNumberFormat="1" applyFont="1" applyFill="1" applyBorder="1" applyAlignment="1">
      <alignment horizontal="right" wrapText="1"/>
    </xf>
    <xf numFmtId="6" fontId="101" fillId="8" borderId="17" xfId="27" applyNumberFormat="1" applyFont="1" applyFill="1" applyBorder="1" applyAlignment="1">
      <alignment horizontal="right" wrapText="1"/>
    </xf>
    <xf numFmtId="168" fontId="81" fillId="0" borderId="16" xfId="0" applyNumberFormat="1" applyFont="1" applyFill="1" applyBorder="1"/>
    <xf numFmtId="8" fontId="1" fillId="0" borderId="16" xfId="80" applyNumberFormat="1" applyFont="1" applyBorder="1"/>
    <xf numFmtId="0" fontId="104" fillId="4" borderId="8" xfId="3" applyFont="1" applyFill="1" applyBorder="1" applyAlignment="1">
      <alignment horizontal="center"/>
    </xf>
    <xf numFmtId="165" fontId="101" fillId="0" borderId="15" xfId="3" applyNumberFormat="1" applyFont="1" applyBorder="1" applyAlignment="1">
      <alignment wrapText="1"/>
    </xf>
    <xf numFmtId="6" fontId="101" fillId="4" borderId="16" xfId="3" applyNumberFormat="1" applyFont="1" applyFill="1" applyBorder="1"/>
    <xf numFmtId="167" fontId="81" fillId="4" borderId="16" xfId="3" applyNumberFormat="1" applyFont="1" applyFill="1" applyBorder="1" applyAlignment="1"/>
    <xf numFmtId="6" fontId="101" fillId="4" borderId="17" xfId="3" applyNumberFormat="1" applyFont="1" applyFill="1" applyBorder="1" applyAlignment="1">
      <alignment horizontal="right" wrapText="1"/>
    </xf>
    <xf numFmtId="0" fontId="107" fillId="0" borderId="19" xfId="0" applyFont="1" applyBorder="1" applyAlignment="1">
      <alignment wrapText="1"/>
    </xf>
    <xf numFmtId="6" fontId="101" fillId="4" borderId="21" xfId="3" applyNumberFormat="1" applyFont="1" applyFill="1" applyBorder="1" applyAlignment="1">
      <alignment horizontal="right" wrapText="1"/>
    </xf>
    <xf numFmtId="6" fontId="100" fillId="4" borderId="14" xfId="3" applyNumberFormat="1" applyFont="1" applyFill="1" applyBorder="1" applyAlignment="1">
      <alignment horizontal="right" wrapText="1"/>
    </xf>
    <xf numFmtId="10" fontId="101" fillId="4" borderId="16" xfId="3" applyNumberFormat="1" applyFont="1" applyFill="1" applyBorder="1" applyAlignment="1">
      <alignment horizontal="right" wrapText="1"/>
    </xf>
    <xf numFmtId="0" fontId="109" fillId="0" borderId="18" xfId="3" applyFont="1" applyBorder="1" applyAlignment="1">
      <alignment wrapText="1"/>
    </xf>
    <xf numFmtId="39" fontId="112" fillId="4" borderId="16" xfId="3" applyNumberFormat="1" applyFont="1" applyFill="1" applyBorder="1" applyAlignment="1">
      <alignment horizontal="right" wrapText="1"/>
    </xf>
    <xf numFmtId="0" fontId="109" fillId="0" borderId="73" xfId="3" applyFont="1" applyBorder="1" applyAlignment="1">
      <alignment wrapText="1"/>
    </xf>
    <xf numFmtId="39" fontId="112" fillId="4" borderId="66" xfId="0" applyNumberFormat="1" applyFont="1" applyFill="1" applyBorder="1" applyAlignment="1">
      <alignment horizontal="right" wrapText="1"/>
    </xf>
    <xf numFmtId="168" fontId="101" fillId="4" borderId="16" xfId="3" applyNumberFormat="1" applyFont="1" applyFill="1" applyBorder="1" applyAlignment="1">
      <alignment horizontal="right" wrapText="1"/>
    </xf>
    <xf numFmtId="0" fontId="10" fillId="4" borderId="22" xfId="3" applyFont="1" applyFill="1" applyBorder="1"/>
    <xf numFmtId="8" fontId="101" fillId="4" borderId="31" xfId="3" applyNumberFormat="1" applyFont="1" applyFill="1" applyBorder="1" applyAlignment="1">
      <alignment horizontal="right" wrapText="1"/>
    </xf>
    <xf numFmtId="39" fontId="112" fillId="4" borderId="31" xfId="3" applyNumberFormat="1" applyFont="1" applyFill="1" applyBorder="1" applyAlignment="1">
      <alignment horizontal="right" wrapText="1"/>
    </xf>
    <xf numFmtId="0" fontId="109" fillId="4" borderId="25" xfId="3" applyFont="1" applyFill="1" applyBorder="1" applyAlignment="1">
      <alignment wrapText="1"/>
    </xf>
    <xf numFmtId="168" fontId="101" fillId="4" borderId="26" xfId="0" applyNumberFormat="1" applyFont="1" applyFill="1" applyBorder="1" applyAlignment="1">
      <alignment horizontal="right" wrapText="1"/>
    </xf>
    <xf numFmtId="6" fontId="101" fillId="4" borderId="43" xfId="27" applyNumberFormat="1" applyFont="1" applyFill="1" applyBorder="1" applyAlignment="1">
      <alignment horizontal="right" wrapText="1"/>
    </xf>
    <xf numFmtId="0" fontId="105" fillId="0" borderId="11" xfId="3" applyFont="1" applyBorder="1" applyAlignment="1">
      <alignment wrapText="1"/>
    </xf>
    <xf numFmtId="168" fontId="101" fillId="4" borderId="53" xfId="3" applyNumberFormat="1" applyFont="1" applyFill="1" applyBorder="1" applyAlignment="1">
      <alignment horizontal="right" wrapText="1"/>
    </xf>
    <xf numFmtId="39" fontId="112" fillId="4" borderId="53" xfId="3" applyNumberFormat="1" applyFont="1" applyFill="1" applyBorder="1" applyAlignment="1">
      <alignment horizontal="right" wrapText="1"/>
    </xf>
    <xf numFmtId="10" fontId="110" fillId="4" borderId="16" xfId="3" applyNumberFormat="1" applyFont="1" applyFill="1" applyBorder="1" applyAlignment="1">
      <alignment horizontal="right" wrapText="1"/>
    </xf>
    <xf numFmtId="0" fontId="110" fillId="4" borderId="16" xfId="3" applyFont="1" applyFill="1" applyBorder="1" applyAlignment="1">
      <alignment horizontal="right" wrapText="1"/>
    </xf>
    <xf numFmtId="0" fontId="109" fillId="0" borderId="19" xfId="3" applyFont="1" applyBorder="1" applyAlignment="1">
      <alignment wrapText="1"/>
    </xf>
    <xf numFmtId="0" fontId="105" fillId="4" borderId="23" xfId="3" applyFont="1" applyFill="1" applyBorder="1" applyAlignment="1">
      <alignment wrapText="1"/>
    </xf>
    <xf numFmtId="8" fontId="100" fillId="4" borderId="44" xfId="3" applyNumberFormat="1" applyFont="1" applyFill="1" applyBorder="1" applyAlignment="1">
      <alignment horizontal="right" wrapText="1"/>
    </xf>
    <xf numFmtId="0" fontId="105" fillId="0" borderId="22" xfId="3" applyFont="1" applyBorder="1" applyAlignment="1">
      <alignment wrapText="1"/>
    </xf>
    <xf numFmtId="0" fontId="110" fillId="4" borderId="22" xfId="3" applyFont="1" applyFill="1" applyBorder="1" applyAlignment="1">
      <alignment horizontal="right" wrapText="1"/>
    </xf>
    <xf numFmtId="6" fontId="100" fillId="4" borderId="22" xfId="3" applyNumberFormat="1" applyFont="1" applyFill="1" applyBorder="1" applyAlignment="1">
      <alignment horizontal="right" wrapText="1"/>
    </xf>
    <xf numFmtId="9" fontId="100" fillId="4" borderId="31" xfId="4" applyNumberFormat="1" applyFont="1" applyFill="1" applyBorder="1" applyAlignment="1">
      <alignment horizontal="right" wrapText="1"/>
    </xf>
    <xf numFmtId="0" fontId="1" fillId="0" borderId="71" xfId="0" applyFont="1" applyFill="1" applyBorder="1"/>
    <xf numFmtId="10" fontId="82" fillId="6" borderId="5" xfId="4" applyNumberFormat="1" applyFont="1" applyFill="1" applyBorder="1" applyAlignment="1">
      <alignment horizontal="right" wrapText="1"/>
    </xf>
    <xf numFmtId="0" fontId="1" fillId="0" borderId="0" xfId="0" applyFont="1" applyFill="1" applyBorder="1"/>
    <xf numFmtId="10" fontId="100" fillId="0" borderId="0" xfId="0" applyNumberFormat="1" applyFont="1" applyFill="1" applyBorder="1" applyAlignment="1">
      <alignment horizontal="right" wrapText="1"/>
    </xf>
    <xf numFmtId="168" fontId="10" fillId="0" borderId="0" xfId="0" applyNumberFormat="1" applyFont="1" applyFill="1" applyBorder="1"/>
    <xf numFmtId="0" fontId="105" fillId="4" borderId="49" xfId="3" applyFont="1" applyFill="1" applyBorder="1" applyAlignment="1">
      <alignment wrapText="1"/>
    </xf>
    <xf numFmtId="7" fontId="100" fillId="4" borderId="52" xfId="3" applyNumberFormat="1" applyFont="1" applyFill="1" applyBorder="1" applyAlignment="1">
      <alignment horizontal="right" wrapText="1"/>
    </xf>
    <xf numFmtId="9" fontId="114" fillId="0" borderId="0" xfId="0" applyNumberFormat="1" applyFont="1" applyFill="1" applyBorder="1" applyAlignment="1">
      <alignment horizontal="right" wrapText="1"/>
    </xf>
    <xf numFmtId="10" fontId="110" fillId="0" borderId="0" xfId="81" applyNumberFormat="1" applyFont="1" applyFill="1" applyBorder="1" applyAlignment="1">
      <alignment horizontal="right" wrapText="1"/>
    </xf>
    <xf numFmtId="0" fontId="1" fillId="6" borderId="5" xfId="0" applyFont="1" applyFill="1" applyBorder="1" applyAlignment="1">
      <alignment horizontal="left" wrapText="1"/>
    </xf>
    <xf numFmtId="7" fontId="100" fillId="6" borderId="6" xfId="3" applyNumberFormat="1" applyFont="1" applyFill="1" applyBorder="1" applyAlignment="1">
      <alignment horizontal="right" wrapText="1"/>
    </xf>
    <xf numFmtId="0" fontId="105" fillId="6" borderId="35" xfId="3" applyFont="1" applyFill="1" applyBorder="1" applyAlignment="1">
      <alignment wrapText="1"/>
    </xf>
    <xf numFmtId="9" fontId="100" fillId="6" borderId="36" xfId="4" applyNumberFormat="1" applyFont="1" applyFill="1" applyBorder="1" applyAlignment="1">
      <alignment horizontal="left" wrapText="1"/>
    </xf>
    <xf numFmtId="0" fontId="1" fillId="6" borderId="36" xfId="0" applyFont="1" applyFill="1" applyBorder="1" applyAlignment="1">
      <alignment horizontal="left" wrapText="1"/>
    </xf>
    <xf numFmtId="7" fontId="100" fillId="6" borderId="37" xfId="3" applyNumberFormat="1" applyFont="1" applyFill="1" applyBorder="1" applyAlignment="1">
      <alignment horizontal="right" wrapText="1"/>
    </xf>
    <xf numFmtId="0" fontId="115" fillId="40" borderId="4" xfId="0" applyFont="1" applyFill="1" applyBorder="1" applyAlignment="1">
      <alignment horizontal="center" vertical="center"/>
    </xf>
    <xf numFmtId="0" fontId="115" fillId="40" borderId="5" xfId="0" applyFont="1" applyFill="1" applyBorder="1" applyAlignment="1">
      <alignment horizontal="center" vertical="center"/>
    </xf>
    <xf numFmtId="0" fontId="115" fillId="40" borderId="6" xfId="0" applyFont="1" applyFill="1" applyBorder="1" applyAlignment="1">
      <alignment horizontal="center" vertical="center"/>
    </xf>
    <xf numFmtId="0" fontId="105" fillId="6" borderId="70" xfId="3" applyFont="1" applyFill="1" applyBorder="1" applyAlignment="1">
      <alignment wrapText="1"/>
    </xf>
    <xf numFmtId="9" fontId="100" fillId="6" borderId="39" xfId="4" applyNumberFormat="1" applyFont="1" applyFill="1" applyBorder="1" applyAlignment="1">
      <alignment horizontal="left" wrapText="1"/>
    </xf>
    <xf numFmtId="0" fontId="1" fillId="6" borderId="39" xfId="0" applyFont="1" applyFill="1" applyBorder="1" applyAlignment="1">
      <alignment horizontal="left" wrapText="1"/>
    </xf>
    <xf numFmtId="0" fontId="105" fillId="4" borderId="30" xfId="0" applyFont="1" applyFill="1" applyBorder="1" applyAlignment="1">
      <alignment horizontal="left" wrapText="1"/>
    </xf>
    <xf numFmtId="10" fontId="110" fillId="4" borderId="53" xfId="4" applyNumberFormat="1" applyFont="1" applyFill="1" applyBorder="1" applyAlignment="1">
      <alignment horizontal="right" wrapText="1"/>
    </xf>
    <xf numFmtId="10" fontId="108" fillId="4" borderId="53" xfId="4" applyNumberFormat="1" applyFont="1" applyFill="1" applyBorder="1" applyAlignment="1">
      <alignment horizontal="right" wrapText="1"/>
    </xf>
    <xf numFmtId="8" fontId="100" fillId="4" borderId="54" xfId="3" applyNumberFormat="1" applyFont="1" applyFill="1" applyBorder="1" applyAlignment="1">
      <alignment horizontal="right" wrapText="1"/>
    </xf>
    <xf numFmtId="0" fontId="1" fillId="0" borderId="76" xfId="0" applyFont="1" applyFill="1" applyBorder="1"/>
    <xf numFmtId="0" fontId="105" fillId="4" borderId="32" xfId="0" applyFont="1" applyFill="1" applyBorder="1" applyAlignment="1">
      <alignment wrapText="1"/>
    </xf>
    <xf numFmtId="9" fontId="100" fillId="4" borderId="33" xfId="4" applyNumberFormat="1" applyFont="1" applyFill="1" applyBorder="1" applyAlignment="1">
      <alignment horizontal="right" wrapText="1"/>
    </xf>
    <xf numFmtId="10" fontId="108" fillId="4" borderId="33" xfId="4" applyNumberFormat="1" applyFont="1" applyFill="1" applyBorder="1" applyAlignment="1">
      <alignment horizontal="right" wrapText="1"/>
    </xf>
    <xf numFmtId="8" fontId="100" fillId="4" borderId="34" xfId="3" applyNumberFormat="1" applyFont="1" applyFill="1" applyBorder="1" applyAlignment="1">
      <alignment horizontal="right" wrapText="1"/>
    </xf>
    <xf numFmtId="0" fontId="1" fillId="0" borderId="0" xfId="0" applyFont="1" applyBorder="1"/>
    <xf numFmtId="0" fontId="105" fillId="4" borderId="70" xfId="0" applyFont="1" applyFill="1" applyBorder="1" applyAlignment="1">
      <alignment wrapText="1"/>
    </xf>
    <xf numFmtId="10" fontId="108" fillId="4" borderId="39" xfId="4" applyNumberFormat="1" applyFont="1" applyFill="1" applyBorder="1" applyAlignment="1">
      <alignment horizontal="right" wrapText="1"/>
    </xf>
    <xf numFmtId="0" fontId="106" fillId="6" borderId="4" xfId="0" applyFont="1" applyFill="1" applyBorder="1" applyAlignment="1"/>
    <xf numFmtId="10" fontId="1" fillId="6" borderId="72" xfId="0" applyNumberFormat="1" applyFont="1" applyFill="1" applyBorder="1"/>
    <xf numFmtId="0" fontId="1" fillId="6" borderId="5" xfId="0" applyFont="1" applyFill="1" applyBorder="1"/>
    <xf numFmtId="9" fontId="116" fillId="0" borderId="0" xfId="81" applyFont="1" applyFill="1" applyBorder="1"/>
    <xf numFmtId="10" fontId="10" fillId="0" borderId="0" xfId="81" applyNumberFormat="1" applyFont="1" applyFill="1" applyBorder="1"/>
    <xf numFmtId="0" fontId="1" fillId="0" borderId="0" xfId="0" applyFont="1" applyFill="1"/>
    <xf numFmtId="0" fontId="100" fillId="0" borderId="0" xfId="0" applyFont="1" applyFill="1" applyBorder="1"/>
    <xf numFmtId="0" fontId="82" fillId="0" borderId="0" xfId="0" applyFont="1" applyFill="1" applyBorder="1"/>
    <xf numFmtId="2" fontId="101" fillId="0" borderId="0" xfId="0" applyNumberFormat="1" applyFont="1" applyFill="1" applyBorder="1"/>
    <xf numFmtId="0" fontId="81" fillId="0" borderId="0" xfId="0" applyFont="1" applyFill="1" applyBorder="1"/>
    <xf numFmtId="0" fontId="81" fillId="0" borderId="0" xfId="0" applyFont="1" applyFill="1" applyBorder="1" applyAlignment="1">
      <alignment horizontal="center"/>
    </xf>
    <xf numFmtId="0" fontId="117" fillId="0" borderId="0" xfId="0" applyFont="1" applyFill="1" applyBorder="1"/>
    <xf numFmtId="0" fontId="10" fillId="0" borderId="4" xfId="0" applyFont="1" applyBorder="1" applyAlignment="1">
      <alignment horizontal="center" wrapText="1"/>
    </xf>
    <xf numFmtId="0" fontId="10" fillId="0" borderId="51" xfId="0" applyFont="1" applyBorder="1" applyAlignment="1">
      <alignment horizontal="center" wrapText="1"/>
    </xf>
    <xf numFmtId="2" fontId="10" fillId="0" borderId="52" xfId="0" applyNumberFormat="1" applyFont="1" applyBorder="1" applyAlignment="1">
      <alignment horizontal="center" vertical="center"/>
    </xf>
    <xf numFmtId="0" fontId="100" fillId="0" borderId="0" xfId="0" applyFont="1" applyFill="1" applyBorder="1" applyAlignment="1">
      <alignment horizontal="center"/>
    </xf>
    <xf numFmtId="2" fontId="100" fillId="4" borderId="10" xfId="0" applyNumberFormat="1" applyFont="1" applyFill="1" applyBorder="1" applyAlignment="1">
      <alignment horizontal="center"/>
    </xf>
    <xf numFmtId="164" fontId="100" fillId="0" borderId="0" xfId="0" applyNumberFormat="1" applyFont="1" applyFill="1" applyBorder="1" applyAlignment="1">
      <alignment horizontal="center"/>
    </xf>
    <xf numFmtId="38" fontId="1" fillId="4" borderId="14" xfId="0" applyNumberFormat="1" applyFont="1" applyFill="1" applyBorder="1"/>
    <xf numFmtId="166" fontId="101" fillId="0" borderId="0" xfId="1" applyNumberFormat="1" applyFont="1" applyFill="1" applyBorder="1" applyAlignment="1">
      <alignment wrapText="1"/>
    </xf>
    <xf numFmtId="42" fontId="100" fillId="0" borderId="0" xfId="0" applyNumberFormat="1" applyFont="1" applyFill="1" applyBorder="1" applyAlignment="1">
      <alignment horizontal="center" wrapText="1"/>
    </xf>
    <xf numFmtId="0" fontId="1" fillId="0" borderId="18" xfId="0" applyFont="1" applyBorder="1"/>
    <xf numFmtId="165" fontId="105" fillId="4" borderId="18" xfId="0" applyNumberFormat="1" applyFont="1" applyFill="1" applyBorder="1" applyAlignment="1">
      <alignment wrapText="1"/>
    </xf>
    <xf numFmtId="6" fontId="101" fillId="0" borderId="0" xfId="0" applyNumberFormat="1" applyFont="1" applyFill="1" applyBorder="1" applyAlignment="1">
      <alignment horizontal="right" wrapText="1"/>
    </xf>
    <xf numFmtId="6" fontId="1" fillId="4" borderId="16" xfId="0" applyNumberFormat="1" applyFont="1" applyFill="1" applyBorder="1" applyAlignment="1">
      <alignment horizontal="right"/>
    </xf>
    <xf numFmtId="6" fontId="1" fillId="0" borderId="17" xfId="0" applyNumberFormat="1" applyFont="1" applyBorder="1"/>
    <xf numFmtId="2" fontId="101" fillId="0" borderId="0" xfId="0" applyNumberFormat="1" applyFont="1" applyFill="1" applyBorder="1" applyAlignment="1">
      <alignment horizontal="right"/>
    </xf>
    <xf numFmtId="0" fontId="1" fillId="0" borderId="22" xfId="0" applyFont="1" applyBorder="1"/>
    <xf numFmtId="42" fontId="101" fillId="0" borderId="0" xfId="0" applyNumberFormat="1" applyFont="1" applyFill="1" applyBorder="1" applyAlignment="1">
      <alignment horizontal="right" wrapText="1"/>
    </xf>
    <xf numFmtId="0" fontId="1" fillId="0" borderId="17" xfId="0" applyFont="1" applyBorder="1"/>
    <xf numFmtId="6" fontId="100" fillId="0" borderId="0" xfId="0" applyNumberFormat="1" applyFont="1" applyFill="1" applyBorder="1" applyAlignment="1">
      <alignment horizontal="right" wrapText="1"/>
    </xf>
    <xf numFmtId="6" fontId="100" fillId="4" borderId="21" xfId="2" applyNumberFormat="1" applyFont="1" applyFill="1" applyBorder="1" applyAlignment="1">
      <alignment horizontal="right" wrapText="1"/>
    </xf>
    <xf numFmtId="6" fontId="100" fillId="0" borderId="0" xfId="2" applyNumberFormat="1" applyFont="1" applyFill="1" applyBorder="1" applyAlignment="1">
      <alignment horizontal="right" wrapText="1"/>
    </xf>
    <xf numFmtId="6" fontId="101" fillId="0" borderId="0" xfId="2" applyNumberFormat="1" applyFont="1" applyFill="1" applyBorder="1" applyAlignment="1">
      <alignment horizontal="right" wrapText="1"/>
    </xf>
    <xf numFmtId="0" fontId="1" fillId="4" borderId="22" xfId="0" applyFont="1" applyFill="1" applyBorder="1"/>
    <xf numFmtId="0" fontId="10" fillId="0" borderId="0" xfId="0" applyFont="1" applyFill="1" applyBorder="1" applyAlignment="1">
      <alignment wrapText="1"/>
    </xf>
    <xf numFmtId="0" fontId="100" fillId="0" borderId="27" xfId="0" applyFont="1" applyBorder="1" applyAlignment="1">
      <alignment wrapText="1"/>
    </xf>
    <xf numFmtId="0" fontId="1" fillId="4" borderId="28" xfId="0" applyFont="1" applyFill="1" applyBorder="1"/>
    <xf numFmtId="0" fontId="1" fillId="0" borderId="28" xfId="0" applyFont="1" applyBorder="1"/>
    <xf numFmtId="8" fontId="100" fillId="4" borderId="29" xfId="0" applyNumberFormat="1" applyFont="1" applyFill="1" applyBorder="1" applyAlignment="1">
      <alignment horizontal="right" wrapText="1"/>
    </xf>
    <xf numFmtId="10" fontId="1" fillId="6" borderId="5" xfId="0" applyNumberFormat="1" applyFont="1" applyFill="1" applyBorder="1"/>
    <xf numFmtId="8" fontId="10" fillId="14" borderId="6" xfId="0" applyNumberFormat="1" applyFont="1" applyFill="1" applyBorder="1"/>
    <xf numFmtId="0" fontId="105" fillId="0" borderId="0" xfId="0" applyFont="1" applyFill="1" applyBorder="1" applyAlignment="1">
      <alignment wrapText="1"/>
    </xf>
    <xf numFmtId="10" fontId="1" fillId="0" borderId="0" xfId="0" applyNumberFormat="1" applyFont="1" applyFill="1" applyBorder="1"/>
    <xf numFmtId="8" fontId="10" fillId="0" borderId="0" xfId="0" applyNumberFormat="1" applyFont="1" applyFill="1" applyBorder="1"/>
    <xf numFmtId="8" fontId="100" fillId="4" borderId="17" xfId="2" applyNumberFormat="1" applyFont="1" applyFill="1" applyBorder="1" applyAlignment="1">
      <alignment horizontal="right" wrapText="1"/>
    </xf>
    <xf numFmtId="9" fontId="100" fillId="4" borderId="33" xfId="0" applyNumberFormat="1" applyFont="1" applyFill="1" applyBorder="1" applyAlignment="1">
      <alignment horizontal="right" wrapText="1"/>
    </xf>
    <xf numFmtId="0" fontId="110" fillId="4" borderId="33" xfId="0" applyFont="1" applyFill="1" applyBorder="1" applyAlignment="1">
      <alignment horizontal="right" wrapText="1"/>
    </xf>
    <xf numFmtId="8" fontId="100" fillId="4" borderId="34" xfId="2" applyNumberFormat="1" applyFont="1" applyFill="1" applyBorder="1" applyAlignment="1">
      <alignment horizontal="right" wrapText="1"/>
    </xf>
    <xf numFmtId="8" fontId="100" fillId="0" borderId="0" xfId="2" applyNumberFormat="1" applyFont="1" applyFill="1" applyBorder="1" applyAlignment="1">
      <alignment horizontal="right" wrapText="1"/>
    </xf>
    <xf numFmtId="0" fontId="120" fillId="0" borderId="0" xfId="0" applyFont="1"/>
    <xf numFmtId="10" fontId="105" fillId="6" borderId="5" xfId="3" applyNumberFormat="1" applyFont="1" applyFill="1" applyBorder="1" applyAlignment="1">
      <alignment horizontal="center" wrapText="1"/>
    </xf>
    <xf numFmtId="7" fontId="100" fillId="6" borderId="5" xfId="4" applyNumberFormat="1" applyFont="1" applyFill="1" applyBorder="1" applyAlignment="1">
      <alignment horizontal="right" wrapText="1"/>
    </xf>
    <xf numFmtId="7" fontId="100" fillId="14" borderId="6" xfId="3" applyNumberFormat="1" applyFont="1" applyFill="1" applyBorder="1" applyAlignment="1">
      <alignment horizontal="right" wrapText="1"/>
    </xf>
    <xf numFmtId="0" fontId="10" fillId="0" borderId="16" xfId="0" applyFont="1" applyBorder="1" applyAlignment="1">
      <alignment wrapText="1"/>
    </xf>
    <xf numFmtId="0" fontId="103" fillId="0" borderId="16" xfId="0" applyFont="1" applyBorder="1" applyAlignment="1">
      <alignment wrapText="1"/>
    </xf>
    <xf numFmtId="0" fontId="72" fillId="4" borderId="16" xfId="0" applyFont="1" applyFill="1" applyBorder="1" applyAlignment="1">
      <alignment wrapText="1"/>
    </xf>
    <xf numFmtId="168" fontId="72" fillId="4" borderId="16" xfId="0" applyNumberFormat="1" applyFont="1" applyFill="1" applyBorder="1"/>
    <xf numFmtId="0" fontId="10" fillId="0" borderId="16" xfId="0" applyFont="1" applyFill="1" applyBorder="1"/>
    <xf numFmtId="0" fontId="67" fillId="7" borderId="16" xfId="0" applyFont="1" applyFill="1" applyBorder="1"/>
    <xf numFmtId="0" fontId="1" fillId="4" borderId="0" xfId="0" applyFont="1" applyFill="1"/>
    <xf numFmtId="0" fontId="1" fillId="0" borderId="0" xfId="0" applyFont="1" applyAlignment="1"/>
    <xf numFmtId="0" fontId="1" fillId="0" borderId="16" xfId="0" applyFont="1" applyFill="1" applyBorder="1"/>
    <xf numFmtId="37" fontId="1" fillId="0" borderId="16" xfId="0" applyNumberFormat="1" applyFont="1" applyBorder="1"/>
    <xf numFmtId="6" fontId="67" fillId="7" borderId="16" xfId="0" applyNumberFormat="1" applyFont="1" applyFill="1" applyBorder="1"/>
    <xf numFmtId="8" fontId="100" fillId="4" borderId="0" xfId="2" applyNumberFormat="1" applyFont="1" applyFill="1" applyBorder="1" applyAlignment="1">
      <alignment horizontal="right" wrapText="1"/>
    </xf>
    <xf numFmtId="0" fontId="1" fillId="0" borderId="0" xfId="0" applyFont="1" applyAlignment="1">
      <alignment horizontal="right"/>
    </xf>
    <xf numFmtId="10" fontId="1" fillId="0" borderId="0" xfId="81" applyNumberFormat="1" applyFont="1"/>
    <xf numFmtId="0" fontId="81" fillId="0" borderId="0" xfId="0" applyFont="1" applyBorder="1"/>
    <xf numFmtId="0" fontId="81" fillId="4" borderId="0" xfId="0" applyFont="1" applyFill="1" applyBorder="1"/>
    <xf numFmtId="2" fontId="81" fillId="0" borderId="0" xfId="0" applyNumberFormat="1" applyFont="1" applyBorder="1"/>
    <xf numFmtId="10" fontId="82" fillId="0" borderId="0" xfId="0" applyNumberFormat="1" applyFont="1" applyFill="1" applyBorder="1"/>
    <xf numFmtId="0" fontId="1" fillId="0" borderId="17" xfId="0" applyFont="1" applyBorder="1" applyAlignment="1">
      <alignment wrapText="1"/>
    </xf>
    <xf numFmtId="0" fontId="113" fillId="0" borderId="17" xfId="0" applyFont="1" applyBorder="1" applyAlignment="1">
      <alignment wrapText="1"/>
    </xf>
    <xf numFmtId="1" fontId="1" fillId="0" borderId="16" xfId="0" applyNumberFormat="1" applyFont="1" applyBorder="1"/>
    <xf numFmtId="0" fontId="1" fillId="0" borderId="19" xfId="0" applyFont="1" applyFill="1" applyBorder="1"/>
    <xf numFmtId="0" fontId="1" fillId="0" borderId="41" xfId="0" applyFont="1" applyBorder="1"/>
    <xf numFmtId="0" fontId="113" fillId="0" borderId="21" xfId="0" applyFont="1" applyBorder="1" applyAlignment="1">
      <alignment wrapText="1"/>
    </xf>
    <xf numFmtId="0" fontId="1" fillId="0" borderId="11" xfId="0" applyFont="1" applyFill="1" applyBorder="1"/>
    <xf numFmtId="2" fontId="1" fillId="0" borderId="22" xfId="0" applyNumberFormat="1" applyFont="1" applyBorder="1"/>
    <xf numFmtId="0" fontId="1" fillId="0" borderId="14" xfId="0" applyFont="1" applyBorder="1" applyAlignment="1">
      <alignment wrapText="1"/>
    </xf>
    <xf numFmtId="0" fontId="10" fillId="8" borderId="38" xfId="0" applyFont="1" applyFill="1" applyBorder="1"/>
    <xf numFmtId="2" fontId="10" fillId="8" borderId="39" xfId="0" applyNumberFormat="1" applyFont="1" applyFill="1" applyBorder="1"/>
    <xf numFmtId="0" fontId="10" fillId="8" borderId="40" xfId="0" applyFont="1" applyFill="1" applyBorder="1"/>
    <xf numFmtId="0" fontId="117" fillId="0" borderId="0" xfId="0" applyFont="1" applyFill="1"/>
    <xf numFmtId="0" fontId="101" fillId="6" borderId="58" xfId="5" applyFont="1" applyFill="1" applyBorder="1"/>
    <xf numFmtId="10" fontId="101" fillId="4" borderId="20" xfId="5" applyNumberFormat="1" applyFont="1" applyFill="1" applyBorder="1"/>
    <xf numFmtId="0" fontId="101" fillId="0" borderId="20" xfId="5" applyFont="1" applyBorder="1"/>
    <xf numFmtId="3" fontId="101" fillId="0" borderId="21" xfId="5" applyNumberFormat="1" applyFont="1" applyBorder="1"/>
    <xf numFmtId="0" fontId="100" fillId="0" borderId="22" xfId="5" applyFont="1" applyBorder="1"/>
    <xf numFmtId="6" fontId="100" fillId="0" borderId="14" xfId="5" applyNumberFormat="1" applyFont="1" applyBorder="1"/>
    <xf numFmtId="0" fontId="101" fillId="4" borderId="16" xfId="5" applyFont="1" applyFill="1" applyBorder="1"/>
    <xf numFmtId="8" fontId="100" fillId="4" borderId="17" xfId="5" applyNumberFormat="1" applyFont="1" applyFill="1" applyBorder="1"/>
    <xf numFmtId="9" fontId="100" fillId="4" borderId="33" xfId="5" applyNumberFormat="1" applyFont="1" applyFill="1" applyBorder="1" applyAlignment="1">
      <alignment horizontal="right"/>
    </xf>
    <xf numFmtId="0" fontId="101" fillId="4" borderId="33" xfId="5" applyFont="1" applyFill="1" applyBorder="1"/>
    <xf numFmtId="8" fontId="100" fillId="4" borderId="34" xfId="5" applyNumberFormat="1" applyFont="1" applyFill="1" applyBorder="1" applyAlignment="1">
      <alignment horizontal="right"/>
    </xf>
    <xf numFmtId="10" fontId="101" fillId="6" borderId="5" xfId="5" applyNumberFormat="1" applyFont="1" applyFill="1" applyBorder="1"/>
    <xf numFmtId="0" fontId="101" fillId="6" borderId="5" xfId="5" applyFont="1" applyFill="1" applyBorder="1"/>
    <xf numFmtId="8" fontId="100" fillId="14" borderId="34" xfId="5" applyNumberFormat="1" applyFont="1" applyFill="1" applyBorder="1" applyAlignment="1">
      <alignment horizontal="right"/>
    </xf>
    <xf numFmtId="0" fontId="100" fillId="0" borderId="0" xfId="5" applyFont="1" applyFill="1" applyBorder="1"/>
    <xf numFmtId="9" fontId="100" fillId="0" borderId="0" xfId="5" applyNumberFormat="1" applyFont="1" applyFill="1" applyBorder="1"/>
    <xf numFmtId="8" fontId="100" fillId="0" borderId="0" xfId="5" applyNumberFormat="1" applyFont="1" applyFill="1" applyBorder="1" applyAlignment="1">
      <alignment horizontal="right"/>
    </xf>
    <xf numFmtId="0" fontId="101" fillId="0" borderId="0" xfId="5" applyFont="1"/>
    <xf numFmtId="0" fontId="103" fillId="3" borderId="9" xfId="5" applyFont="1" applyFill="1" applyBorder="1" applyAlignment="1">
      <alignment horizontal="center" wrapText="1"/>
    </xf>
    <xf numFmtId="0" fontId="103" fillId="3" borderId="37" xfId="5" applyFont="1" applyFill="1" applyBorder="1" applyAlignment="1">
      <alignment horizontal="center"/>
    </xf>
    <xf numFmtId="0" fontId="103" fillId="6" borderId="59" xfId="5" applyFont="1" applyFill="1" applyBorder="1" applyAlignment="1">
      <alignment horizontal="center"/>
    </xf>
    <xf numFmtId="0" fontId="103" fillId="3" borderId="16" xfId="5" applyFont="1" applyFill="1" applyBorder="1" applyAlignment="1">
      <alignment horizontal="center" wrapText="1"/>
    </xf>
    <xf numFmtId="0" fontId="103" fillId="3" borderId="60" xfId="5" applyFont="1" applyFill="1" applyBorder="1" applyAlignment="1">
      <alignment horizontal="center"/>
    </xf>
    <xf numFmtId="0" fontId="100" fillId="3" borderId="15" xfId="5" applyFont="1" applyFill="1" applyBorder="1" applyAlignment="1">
      <alignment horizontal="center" vertical="center" wrapText="1"/>
    </xf>
    <xf numFmtId="0" fontId="100" fillId="3" borderId="16" xfId="5" applyFont="1" applyFill="1" applyBorder="1" applyAlignment="1">
      <alignment horizontal="center" vertical="center" wrapText="1"/>
    </xf>
    <xf numFmtId="0" fontId="100" fillId="3" borderId="17" xfId="5" applyFont="1" applyFill="1" applyBorder="1" applyAlignment="1">
      <alignment horizontal="center" vertical="center" wrapText="1"/>
    </xf>
    <xf numFmtId="2" fontId="101" fillId="4" borderId="19" xfId="5" applyNumberFormat="1" applyFont="1" applyFill="1" applyBorder="1"/>
    <xf numFmtId="0" fontId="100" fillId="0" borderId="11" xfId="5" applyFont="1" applyBorder="1" applyAlignment="1">
      <alignment horizontal="left"/>
    </xf>
    <xf numFmtId="0" fontId="100" fillId="4" borderId="15" xfId="5" applyFont="1" applyFill="1" applyBorder="1"/>
    <xf numFmtId="0" fontId="100" fillId="4" borderId="32" xfId="5" applyFont="1" applyFill="1" applyBorder="1"/>
    <xf numFmtId="168" fontId="82" fillId="0" borderId="0" xfId="0" applyNumberFormat="1" applyFont="1" applyFill="1" applyBorder="1"/>
    <xf numFmtId="0" fontId="81" fillId="0" borderId="0" xfId="0" applyFont="1"/>
    <xf numFmtId="0" fontId="81" fillId="0" borderId="0" xfId="0" applyFont="1" applyAlignment="1"/>
    <xf numFmtId="0" fontId="81" fillId="0" borderId="0" xfId="0" applyFont="1" applyAlignment="1">
      <alignment horizontal="right"/>
    </xf>
    <xf numFmtId="10" fontId="81" fillId="0" borderId="0" xfId="81" applyNumberFormat="1" applyFont="1"/>
    <xf numFmtId="0" fontId="81" fillId="0" borderId="0" xfId="0" applyFont="1" applyFill="1"/>
    <xf numFmtId="166" fontId="101" fillId="0" borderId="0" xfId="79" applyNumberFormat="1" applyFont="1" applyAlignment="1">
      <alignment horizontal="center"/>
    </xf>
    <xf numFmtId="0" fontId="82" fillId="0" borderId="0" xfId="38" applyFont="1" applyFill="1" applyBorder="1" applyAlignment="1">
      <alignment wrapText="1"/>
    </xf>
    <xf numFmtId="2" fontId="82" fillId="0" borderId="0" xfId="38" applyNumberFormat="1" applyFont="1" applyFill="1" applyBorder="1" applyAlignment="1">
      <alignment horizontal="right" wrapText="1"/>
    </xf>
    <xf numFmtId="8" fontId="19" fillId="4" borderId="48" xfId="3" applyNumberFormat="1" applyFont="1" applyFill="1" applyBorder="1" applyAlignment="1">
      <alignment horizontal="center" wrapText="1"/>
    </xf>
    <xf numFmtId="10" fontId="11" fillId="0" borderId="16" xfId="0" applyNumberFormat="1" applyFont="1" applyFill="1" applyBorder="1" applyAlignment="1">
      <alignment horizontal="center"/>
    </xf>
    <xf numFmtId="6" fontId="101" fillId="0" borderId="16" xfId="0" applyNumberFormat="1" applyFont="1" applyFill="1" applyBorder="1"/>
    <xf numFmtId="6" fontId="101" fillId="0" borderId="16" xfId="0" applyNumberFormat="1" applyFont="1" applyFill="1" applyBorder="1" applyAlignment="1">
      <alignment horizontal="right"/>
    </xf>
    <xf numFmtId="6" fontId="101" fillId="0" borderId="20" xfId="0" applyNumberFormat="1" applyFont="1" applyFill="1" applyBorder="1" applyAlignment="1">
      <alignment horizontal="right"/>
    </xf>
    <xf numFmtId="165" fontId="108" fillId="0" borderId="22" xfId="0" applyNumberFormat="1" applyFont="1" applyFill="1" applyBorder="1" applyAlignment="1">
      <alignment horizontal="right" wrapText="1"/>
    </xf>
    <xf numFmtId="10" fontId="101" fillId="0" borderId="16" xfId="0" applyNumberFormat="1" applyFont="1" applyFill="1" applyBorder="1" applyAlignment="1">
      <alignment horizontal="right" wrapText="1"/>
    </xf>
    <xf numFmtId="10" fontId="108" fillId="0" borderId="16" xfId="0" applyNumberFormat="1" applyFont="1" applyFill="1" applyBorder="1" applyAlignment="1">
      <alignment horizontal="right" wrapText="1"/>
    </xf>
    <xf numFmtId="10" fontId="100" fillId="0" borderId="16" xfId="0" applyNumberFormat="1" applyFont="1" applyFill="1" applyBorder="1" applyAlignment="1">
      <alignment horizontal="right"/>
    </xf>
    <xf numFmtId="8" fontId="101" fillId="0" borderId="16" xfId="0" applyNumberFormat="1" applyFont="1" applyFill="1" applyBorder="1" applyAlignment="1">
      <alignment horizontal="right" wrapText="1"/>
    </xf>
    <xf numFmtId="8" fontId="81" fillId="0" borderId="16" xfId="0" applyNumberFormat="1" applyFont="1" applyFill="1" applyBorder="1" applyAlignment="1">
      <alignment horizontal="right"/>
    </xf>
    <xf numFmtId="0" fontId="101" fillId="0" borderId="30" xfId="0" applyFont="1" applyFill="1" applyBorder="1" applyAlignment="1">
      <alignment wrapText="1"/>
    </xf>
    <xf numFmtId="10" fontId="101" fillId="0" borderId="53" xfId="0" applyNumberFormat="1" applyFont="1" applyFill="1" applyBorder="1" applyAlignment="1">
      <alignment horizontal="right" wrapText="1"/>
    </xf>
    <xf numFmtId="0" fontId="110" fillId="0" borderId="53" xfId="0" applyFont="1" applyFill="1" applyBorder="1" applyAlignment="1">
      <alignment horizontal="right" wrapText="1"/>
    </xf>
    <xf numFmtId="6" fontId="100" fillId="0" borderId="54" xfId="27" applyNumberFormat="1" applyFont="1" applyFill="1" applyBorder="1" applyAlignment="1">
      <alignment horizontal="right" wrapText="1"/>
    </xf>
    <xf numFmtId="165" fontId="100" fillId="0" borderId="15" xfId="3" applyNumberFormat="1" applyFont="1" applyFill="1" applyBorder="1" applyAlignment="1">
      <alignment wrapText="1"/>
    </xf>
    <xf numFmtId="167" fontId="81" fillId="0" borderId="16" xfId="0" applyNumberFormat="1" applyFont="1" applyFill="1" applyBorder="1" applyAlignment="1">
      <alignment horizontal="right"/>
    </xf>
    <xf numFmtId="0" fontId="82" fillId="0" borderId="15" xfId="3" applyFont="1" applyFill="1" applyBorder="1" applyAlignment="1">
      <alignment wrapText="1"/>
    </xf>
    <xf numFmtId="0" fontId="82" fillId="0" borderId="15" xfId="3" applyFont="1" applyFill="1" applyBorder="1"/>
    <xf numFmtId="0" fontId="103" fillId="0" borderId="19" xfId="3" applyFont="1" applyFill="1" applyBorder="1" applyAlignment="1">
      <alignment wrapText="1"/>
    </xf>
    <xf numFmtId="6" fontId="101" fillId="0" borderId="20" xfId="0" applyNumberFormat="1" applyFont="1" applyFill="1" applyBorder="1"/>
    <xf numFmtId="167" fontId="81" fillId="0" borderId="20" xfId="0" applyNumberFormat="1" applyFont="1" applyFill="1" applyBorder="1" applyAlignment="1">
      <alignment horizontal="right"/>
    </xf>
    <xf numFmtId="0" fontId="100" fillId="0" borderId="11" xfId="0" applyFont="1" applyFill="1" applyBorder="1" applyAlignment="1">
      <alignment wrapText="1"/>
    </xf>
    <xf numFmtId="2" fontId="100" fillId="0" borderId="22" xfId="0" applyNumberFormat="1" applyFont="1" applyFill="1" applyBorder="1" applyAlignment="1">
      <alignment horizontal="right" wrapText="1"/>
    </xf>
    <xf numFmtId="0" fontId="101" fillId="0" borderId="20" xfId="3" applyFont="1" applyFill="1" applyBorder="1" applyAlignment="1">
      <alignment wrapText="1"/>
    </xf>
    <xf numFmtId="10" fontId="101" fillId="0" borderId="20" xfId="0" applyNumberFormat="1" applyFont="1" applyFill="1" applyBorder="1" applyAlignment="1">
      <alignment horizontal="right" wrapText="1"/>
    </xf>
    <xf numFmtId="0" fontId="110" fillId="0" borderId="20" xfId="0" applyFont="1" applyFill="1" applyBorder="1" applyAlignment="1">
      <alignment horizontal="right" wrapText="1"/>
    </xf>
    <xf numFmtId="6" fontId="100" fillId="0" borderId="20" xfId="27" applyNumberFormat="1" applyFont="1" applyFill="1" applyBorder="1" applyAlignment="1">
      <alignment horizontal="right" wrapText="1"/>
    </xf>
    <xf numFmtId="0" fontId="109" fillId="0" borderId="19" xfId="3" applyFont="1" applyFill="1" applyBorder="1" applyAlignment="1">
      <alignment wrapText="1"/>
    </xf>
    <xf numFmtId="6" fontId="100" fillId="0" borderId="21" xfId="27" applyNumberFormat="1" applyFont="1" applyFill="1" applyBorder="1" applyAlignment="1">
      <alignment horizontal="right" wrapText="1"/>
    </xf>
    <xf numFmtId="0" fontId="24" fillId="0" borderId="20" xfId="3" applyFont="1" applyFill="1" applyBorder="1" applyAlignment="1">
      <alignment wrapText="1"/>
    </xf>
    <xf numFmtId="10" fontId="17" fillId="0" borderId="20" xfId="3" applyNumberFormat="1" applyFont="1" applyFill="1" applyBorder="1" applyAlignment="1">
      <alignment horizontal="right" wrapText="1"/>
    </xf>
    <xf numFmtId="0" fontId="26" fillId="0" borderId="20" xfId="3" applyFont="1" applyFill="1" applyBorder="1" applyAlignment="1">
      <alignment horizontal="right" wrapText="1"/>
    </xf>
    <xf numFmtId="6" fontId="15" fillId="0" borderId="20" xfId="27" applyNumberFormat="1" applyFont="1" applyFill="1" applyBorder="1" applyAlignment="1">
      <alignment horizontal="right" wrapText="1"/>
    </xf>
    <xf numFmtId="0" fontId="19" fillId="0" borderId="23" xfId="3" applyFont="1" applyFill="1" applyBorder="1" applyAlignment="1">
      <alignment wrapText="1"/>
    </xf>
    <xf numFmtId="10" fontId="26" fillId="0" borderId="31" xfId="4" applyNumberFormat="1" applyFont="1" applyFill="1" applyBorder="1" applyAlignment="1">
      <alignment horizontal="right" wrapText="1"/>
    </xf>
    <xf numFmtId="10" fontId="25" fillId="0" borderId="31" xfId="4" applyNumberFormat="1" applyFont="1" applyFill="1" applyBorder="1" applyAlignment="1">
      <alignment horizontal="right" wrapText="1"/>
    </xf>
    <xf numFmtId="8" fontId="15" fillId="0" borderId="44" xfId="3" applyNumberFormat="1" applyFont="1" applyFill="1" applyBorder="1" applyAlignment="1">
      <alignment horizontal="right" wrapText="1"/>
    </xf>
    <xf numFmtId="6" fontId="101" fillId="0" borderId="16" xfId="3" applyNumberFormat="1" applyFont="1" applyFill="1" applyBorder="1"/>
    <xf numFmtId="167" fontId="81" fillId="0" borderId="16" xfId="3" applyNumberFormat="1" applyFont="1" applyFill="1" applyBorder="1" applyAlignment="1"/>
    <xf numFmtId="6" fontId="101" fillId="0" borderId="16" xfId="3" applyNumberFormat="1" applyFont="1" applyFill="1" applyBorder="1" applyAlignment="1">
      <alignment horizontal="right"/>
    </xf>
    <xf numFmtId="167" fontId="81" fillId="0" borderId="16" xfId="0" applyNumberFormat="1" applyFont="1" applyFill="1" applyBorder="1" applyAlignment="1"/>
    <xf numFmtId="6" fontId="101" fillId="0" borderId="20" xfId="3" applyNumberFormat="1" applyFont="1" applyFill="1" applyBorder="1" applyAlignment="1">
      <alignment horizontal="right"/>
    </xf>
    <xf numFmtId="165" fontId="108" fillId="0" borderId="22" xfId="3" applyNumberFormat="1" applyFont="1" applyFill="1" applyBorder="1" applyAlignment="1">
      <alignment horizontal="right" wrapText="1"/>
    </xf>
    <xf numFmtId="2" fontId="100" fillId="0" borderId="22" xfId="3" applyNumberFormat="1" applyFont="1" applyFill="1" applyBorder="1" applyAlignment="1">
      <alignment horizontal="right" wrapText="1"/>
    </xf>
    <xf numFmtId="10" fontId="101" fillId="0" borderId="16" xfId="3" applyNumberFormat="1" applyFont="1" applyFill="1" applyBorder="1" applyAlignment="1">
      <alignment horizontal="right" wrapText="1"/>
    </xf>
    <xf numFmtId="9" fontId="110" fillId="0" borderId="16" xfId="3" applyNumberFormat="1" applyFont="1" applyFill="1" applyBorder="1" applyAlignment="1">
      <alignment horizontal="right" wrapText="1"/>
    </xf>
    <xf numFmtId="10" fontId="108" fillId="0" borderId="16" xfId="3" applyNumberFormat="1" applyFont="1" applyFill="1" applyBorder="1" applyAlignment="1">
      <alignment horizontal="right" wrapText="1"/>
    </xf>
    <xf numFmtId="165" fontId="108" fillId="0" borderId="16" xfId="3" applyNumberFormat="1" applyFont="1" applyFill="1" applyBorder="1" applyAlignment="1">
      <alignment horizontal="right" wrapText="1"/>
    </xf>
    <xf numFmtId="10" fontId="100" fillId="0" borderId="16" xfId="3" applyNumberFormat="1" applyFont="1" applyFill="1" applyBorder="1" applyAlignment="1">
      <alignment horizontal="right" wrapText="1"/>
    </xf>
    <xf numFmtId="0" fontId="111" fillId="0" borderId="16" xfId="3" applyFont="1" applyFill="1" applyBorder="1" applyAlignment="1">
      <alignment horizontal="right" wrapText="1"/>
    </xf>
    <xf numFmtId="8" fontId="101" fillId="0" borderId="16" xfId="3" applyNumberFormat="1" applyFont="1" applyFill="1" applyBorder="1" applyAlignment="1">
      <alignment horizontal="right" wrapText="1"/>
    </xf>
    <xf numFmtId="39" fontId="112" fillId="0" borderId="16" xfId="3" applyNumberFormat="1" applyFont="1" applyFill="1" applyBorder="1" applyAlignment="1">
      <alignment horizontal="right" wrapText="1"/>
    </xf>
    <xf numFmtId="168" fontId="81" fillId="0" borderId="16" xfId="3" applyNumberFormat="1" applyFont="1" applyFill="1" applyBorder="1"/>
    <xf numFmtId="167" fontId="81" fillId="0" borderId="16" xfId="0" applyNumberFormat="1" applyFont="1" applyFill="1" applyBorder="1"/>
    <xf numFmtId="9" fontId="110" fillId="0" borderId="20" xfId="0" applyNumberFormat="1" applyFont="1" applyFill="1" applyBorder="1" applyAlignment="1">
      <alignment horizontal="right" wrapText="1"/>
    </xf>
    <xf numFmtId="10" fontId="108" fillId="0" borderId="22" xfId="0" applyNumberFormat="1" applyFont="1" applyFill="1" applyBorder="1" applyAlignment="1">
      <alignment horizontal="right" wrapText="1"/>
    </xf>
    <xf numFmtId="10" fontId="100" fillId="0" borderId="31" xfId="3" applyNumberFormat="1" applyFont="1" applyFill="1" applyBorder="1" applyAlignment="1">
      <alignment horizontal="right" wrapText="1"/>
    </xf>
    <xf numFmtId="44" fontId="1" fillId="0" borderId="16" xfId="80" applyFont="1" applyFill="1" applyBorder="1"/>
    <xf numFmtId="39" fontId="112" fillId="0" borderId="56" xfId="0" applyNumberFormat="1" applyFont="1" applyFill="1" applyBorder="1" applyAlignment="1">
      <alignment horizontal="right" wrapText="1"/>
    </xf>
    <xf numFmtId="168" fontId="1" fillId="0" borderId="16" xfId="80" applyNumberFormat="1" applyFont="1" applyFill="1" applyBorder="1"/>
    <xf numFmtId="0" fontId="109" fillId="0" borderId="30" xfId="3" applyFont="1" applyFill="1" applyBorder="1" applyAlignment="1">
      <alignment wrapText="1"/>
    </xf>
    <xf numFmtId="0" fontId="109" fillId="0" borderId="20" xfId="3" applyFont="1" applyFill="1" applyBorder="1" applyAlignment="1">
      <alignment wrapText="1"/>
    </xf>
    <xf numFmtId="10" fontId="101" fillId="0" borderId="20" xfId="3" applyNumberFormat="1" applyFont="1" applyFill="1" applyBorder="1" applyAlignment="1">
      <alignment horizontal="right" wrapText="1"/>
    </xf>
    <xf numFmtId="0" fontId="110" fillId="0" borderId="20" xfId="3" applyFont="1" applyFill="1" applyBorder="1" applyAlignment="1">
      <alignment horizontal="right" wrapText="1"/>
    </xf>
    <xf numFmtId="7" fontId="100" fillId="5" borderId="40" xfId="3" applyNumberFormat="1" applyFont="1" applyFill="1" applyBorder="1" applyAlignment="1">
      <alignment horizontal="right" wrapText="1"/>
    </xf>
    <xf numFmtId="8" fontId="100" fillId="5" borderId="52" xfId="3" applyNumberFormat="1" applyFont="1" applyFill="1" applyBorder="1" applyAlignment="1">
      <alignment horizontal="right" wrapText="1"/>
    </xf>
    <xf numFmtId="8" fontId="82" fillId="5" borderId="6" xfId="3" applyNumberFormat="1" applyFont="1" applyFill="1" applyBorder="1" applyAlignment="1">
      <alignment horizontal="right" wrapText="1"/>
    </xf>
    <xf numFmtId="0" fontId="106" fillId="0" borderId="15" xfId="0" applyFont="1" applyFill="1" applyBorder="1"/>
    <xf numFmtId="6" fontId="101" fillId="0" borderId="17" xfId="0" applyNumberFormat="1" applyFont="1" applyFill="1" applyBorder="1" applyAlignment="1">
      <alignment horizontal="right" wrapText="1"/>
    </xf>
    <xf numFmtId="40" fontId="101" fillId="0" borderId="16" xfId="0" applyNumberFormat="1" applyFont="1" applyFill="1" applyBorder="1" applyAlignment="1">
      <alignment horizontal="right"/>
    </xf>
    <xf numFmtId="0" fontId="107" fillId="0" borderId="19" xfId="0" applyFont="1" applyFill="1" applyBorder="1" applyAlignment="1">
      <alignment wrapText="1"/>
    </xf>
    <xf numFmtId="40" fontId="101" fillId="0" borderId="20" xfId="0" applyNumberFormat="1" applyFont="1" applyFill="1" applyBorder="1" applyAlignment="1">
      <alignment horizontal="right"/>
    </xf>
    <xf numFmtId="6" fontId="101" fillId="0" borderId="21" xfId="0" applyNumberFormat="1" applyFont="1" applyFill="1" applyBorder="1" applyAlignment="1">
      <alignment horizontal="right" wrapText="1"/>
    </xf>
    <xf numFmtId="0" fontId="105" fillId="0" borderId="11" xfId="0" applyFont="1" applyFill="1" applyBorder="1" applyAlignment="1">
      <alignment wrapText="1"/>
    </xf>
    <xf numFmtId="167" fontId="81" fillId="0" borderId="22" xfId="0" applyNumberFormat="1" applyFont="1" applyFill="1" applyBorder="1" applyAlignment="1">
      <alignment horizontal="right"/>
    </xf>
    <xf numFmtId="6" fontId="100" fillId="0" borderId="14" xfId="0" applyNumberFormat="1" applyFont="1" applyFill="1" applyBorder="1" applyAlignment="1">
      <alignment horizontal="right" wrapText="1"/>
    </xf>
    <xf numFmtId="0" fontId="109" fillId="0" borderId="15" xfId="0" applyFont="1" applyFill="1" applyBorder="1" applyAlignment="1">
      <alignment wrapText="1"/>
    </xf>
    <xf numFmtId="9" fontId="110" fillId="0" borderId="16" xfId="0" applyNumberFormat="1" applyFont="1" applyFill="1" applyBorder="1" applyAlignment="1">
      <alignment horizontal="right" wrapText="1"/>
    </xf>
    <xf numFmtId="0" fontId="105" fillId="0" borderId="19" xfId="0" applyFont="1" applyFill="1" applyBorder="1" applyAlignment="1">
      <alignment wrapText="1"/>
    </xf>
    <xf numFmtId="10" fontId="108" fillId="0" borderId="20" xfId="0" applyNumberFormat="1" applyFont="1" applyFill="1" applyBorder="1" applyAlignment="1">
      <alignment horizontal="right" wrapText="1"/>
    </xf>
    <xf numFmtId="165" fontId="108" fillId="0" borderId="20" xfId="0" applyNumberFormat="1" applyFont="1" applyFill="1" applyBorder="1" applyAlignment="1">
      <alignment horizontal="right" wrapText="1"/>
    </xf>
    <xf numFmtId="6" fontId="100" fillId="0" borderId="21" xfId="2" applyNumberFormat="1" applyFont="1" applyFill="1" applyBorder="1" applyAlignment="1">
      <alignment horizontal="right" wrapText="1"/>
    </xf>
    <xf numFmtId="10" fontId="100" fillId="0" borderId="22" xfId="0" applyNumberFormat="1" applyFont="1" applyFill="1" applyBorder="1" applyAlignment="1">
      <alignment horizontal="right"/>
    </xf>
    <xf numFmtId="0" fontId="111" fillId="0" borderId="22" xfId="0" applyFont="1" applyFill="1" applyBorder="1" applyAlignment="1">
      <alignment horizontal="right" wrapText="1"/>
    </xf>
    <xf numFmtId="42" fontId="100" fillId="0" borderId="14" xfId="0" applyNumberFormat="1" applyFont="1" applyFill="1" applyBorder="1" applyAlignment="1">
      <alignment horizontal="center" wrapText="1"/>
    </xf>
    <xf numFmtId="39" fontId="112" fillId="0" borderId="16" xfId="0" applyNumberFormat="1" applyFont="1" applyFill="1" applyBorder="1" applyAlignment="1">
      <alignment horizontal="right" wrapText="1"/>
    </xf>
    <xf numFmtId="6" fontId="101" fillId="0" borderId="17" xfId="2" applyNumberFormat="1" applyFont="1" applyFill="1" applyBorder="1" applyAlignment="1">
      <alignment horizontal="right" wrapText="1"/>
    </xf>
    <xf numFmtId="168" fontId="101" fillId="0" borderId="16" xfId="0" applyNumberFormat="1" applyFont="1" applyFill="1" applyBorder="1" applyAlignment="1">
      <alignment horizontal="right" wrapText="1"/>
    </xf>
    <xf numFmtId="0" fontId="109" fillId="0" borderId="23" xfId="3" applyFont="1" applyFill="1" applyBorder="1" applyAlignment="1">
      <alignment wrapText="1"/>
    </xf>
    <xf numFmtId="0" fontId="1" fillId="0" borderId="15" xfId="0" applyFont="1" applyFill="1" applyBorder="1"/>
    <xf numFmtId="0" fontId="10" fillId="0" borderId="17" xfId="0" applyFont="1" applyFill="1" applyBorder="1" applyAlignment="1">
      <alignment wrapText="1"/>
    </xf>
    <xf numFmtId="0" fontId="109" fillId="0" borderId="25" xfId="0" applyFont="1" applyFill="1" applyBorder="1" applyAlignment="1">
      <alignment wrapText="1"/>
    </xf>
    <xf numFmtId="168" fontId="101" fillId="0" borderId="26" xfId="0" applyNumberFormat="1" applyFont="1" applyFill="1" applyBorder="1" applyAlignment="1">
      <alignment horizontal="right" wrapText="1"/>
    </xf>
    <xf numFmtId="39" fontId="112" fillId="0" borderId="26" xfId="0" applyNumberFormat="1" applyFont="1" applyFill="1" applyBorder="1" applyAlignment="1">
      <alignment horizontal="right" wrapText="1"/>
    </xf>
    <xf numFmtId="6" fontId="101" fillId="0" borderId="21" xfId="2" applyNumberFormat="1" applyFont="1" applyFill="1" applyBorder="1" applyAlignment="1">
      <alignment horizontal="right" wrapText="1"/>
    </xf>
    <xf numFmtId="0" fontId="105" fillId="0" borderId="11" xfId="3" applyFont="1" applyFill="1" applyBorder="1" applyAlignment="1">
      <alignment wrapText="1"/>
    </xf>
    <xf numFmtId="10" fontId="110" fillId="0" borderId="22" xfId="0" applyNumberFormat="1" applyFont="1" applyFill="1" applyBorder="1" applyAlignment="1">
      <alignment horizontal="right" wrapText="1"/>
    </xf>
    <xf numFmtId="0" fontId="110" fillId="0" borderId="22" xfId="0" applyFont="1" applyFill="1" applyBorder="1" applyAlignment="1">
      <alignment horizontal="right" wrapText="1"/>
    </xf>
    <xf numFmtId="6" fontId="100" fillId="0" borderId="14" xfId="2" applyNumberFormat="1" applyFont="1" applyFill="1" applyBorder="1" applyAlignment="1">
      <alignment horizontal="right" wrapText="1"/>
    </xf>
    <xf numFmtId="6" fontId="100" fillId="0" borderId="54" xfId="2" applyNumberFormat="1" applyFont="1" applyFill="1" applyBorder="1" applyAlignment="1">
      <alignment horizontal="right" wrapText="1"/>
    </xf>
    <xf numFmtId="6" fontId="1" fillId="0" borderId="16" xfId="0" applyNumberFormat="1" applyFont="1" applyFill="1" applyBorder="1"/>
    <xf numFmtId="6" fontId="1" fillId="0" borderId="17" xfId="0" applyNumberFormat="1" applyFont="1" applyFill="1" applyBorder="1"/>
    <xf numFmtId="164" fontId="105" fillId="0" borderId="18" xfId="0" applyNumberFormat="1" applyFont="1" applyFill="1" applyBorder="1" applyAlignment="1">
      <alignment wrapText="1"/>
    </xf>
    <xf numFmtId="6" fontId="42" fillId="0" borderId="16" xfId="0" applyNumberFormat="1" applyFont="1" applyFill="1" applyBorder="1"/>
    <xf numFmtId="2" fontId="42" fillId="0" borderId="16" xfId="0" applyNumberFormat="1" applyFont="1" applyFill="1" applyBorder="1"/>
    <xf numFmtId="6" fontId="42" fillId="0" borderId="17" xfId="0" applyNumberFormat="1" applyFont="1" applyFill="1" applyBorder="1"/>
    <xf numFmtId="164" fontId="105" fillId="0" borderId="15" xfId="0" applyNumberFormat="1" applyFont="1" applyFill="1" applyBorder="1" applyAlignment="1">
      <alignment wrapText="1"/>
    </xf>
    <xf numFmtId="6" fontId="1" fillId="0" borderId="16" xfId="0" applyNumberFormat="1" applyFont="1" applyFill="1" applyBorder="1" applyAlignment="1">
      <alignment horizontal="right"/>
    </xf>
    <xf numFmtId="2" fontId="101" fillId="0" borderId="20" xfId="0" applyNumberFormat="1" applyFont="1" applyFill="1" applyBorder="1" applyAlignment="1">
      <alignment horizontal="right"/>
    </xf>
    <xf numFmtId="0" fontId="1" fillId="0" borderId="22" xfId="0" applyFont="1" applyFill="1" applyBorder="1"/>
    <xf numFmtId="2" fontId="10" fillId="0" borderId="22" xfId="0" applyNumberFormat="1" applyFont="1" applyFill="1" applyBorder="1"/>
    <xf numFmtId="6" fontId="10" fillId="0" borderId="14" xfId="0" applyNumberFormat="1" applyFont="1" applyFill="1" applyBorder="1"/>
    <xf numFmtId="0" fontId="113" fillId="0" borderId="15" xfId="0" applyFont="1" applyFill="1" applyBorder="1"/>
    <xf numFmtId="0" fontId="100" fillId="0" borderId="16" xfId="0" applyFont="1" applyFill="1" applyBorder="1" applyAlignment="1">
      <alignment horizontal="right" wrapText="1"/>
    </xf>
    <xf numFmtId="0" fontId="1" fillId="0" borderId="17" xfId="0" applyFont="1" applyFill="1" applyBorder="1"/>
    <xf numFmtId="0" fontId="10" fillId="0" borderId="20" xfId="0" applyFont="1" applyFill="1" applyBorder="1"/>
    <xf numFmtId="6" fontId="10" fillId="0" borderId="21" xfId="0" applyNumberFormat="1" applyFont="1" applyFill="1" applyBorder="1"/>
    <xf numFmtId="10" fontId="118" fillId="0" borderId="22" xfId="0" applyNumberFormat="1" applyFont="1" applyFill="1" applyBorder="1" applyAlignment="1">
      <alignment horizontal="right" wrapText="1"/>
    </xf>
    <xf numFmtId="42" fontId="100" fillId="0" borderId="22" xfId="0" applyNumberFormat="1" applyFont="1" applyFill="1" applyBorder="1" applyAlignment="1">
      <alignment horizontal="center" wrapText="1"/>
    </xf>
    <xf numFmtId="6" fontId="101" fillId="0" borderId="16" xfId="0" applyNumberFormat="1" applyFont="1" applyFill="1" applyBorder="1" applyAlignment="1">
      <alignment horizontal="right" wrapText="1"/>
    </xf>
    <xf numFmtId="6" fontId="119" fillId="0" borderId="16" xfId="0" applyNumberFormat="1" applyFont="1" applyFill="1" applyBorder="1"/>
    <xf numFmtId="0" fontId="101" fillId="0" borderId="19" xfId="0" applyFont="1" applyFill="1" applyBorder="1" applyAlignment="1">
      <alignment wrapText="1"/>
    </xf>
    <xf numFmtId="6" fontId="101" fillId="0" borderId="20" xfId="0" applyNumberFormat="1" applyFont="1" applyFill="1" applyBorder="1" applyAlignment="1">
      <alignment horizontal="right" wrapText="1"/>
    </xf>
    <xf numFmtId="6" fontId="119" fillId="0" borderId="20" xfId="0" applyNumberFormat="1" applyFont="1" applyFill="1" applyBorder="1"/>
    <xf numFmtId="6" fontId="42" fillId="0" borderId="21" xfId="0" applyNumberFormat="1" applyFont="1" applyFill="1" applyBorder="1"/>
    <xf numFmtId="10" fontId="1" fillId="0" borderId="53" xfId="0" applyNumberFormat="1" applyFont="1" applyFill="1" applyBorder="1"/>
    <xf numFmtId="0" fontId="1" fillId="0" borderId="53" xfId="0" applyFont="1" applyFill="1" applyBorder="1"/>
    <xf numFmtId="10" fontId="1" fillId="0" borderId="20" xfId="0" applyNumberFormat="1" applyFont="1" applyFill="1" applyBorder="1"/>
    <xf numFmtId="0" fontId="1" fillId="0" borderId="20" xfId="0" applyFont="1" applyFill="1" applyBorder="1"/>
    <xf numFmtId="0" fontId="101" fillId="0" borderId="15" xfId="5" applyFont="1" applyFill="1" applyBorder="1" applyAlignment="1">
      <alignment horizontal="left"/>
    </xf>
    <xf numFmtId="169" fontId="81" fillId="0" borderId="16" xfId="5" applyNumberFormat="1" applyFont="1" applyFill="1" applyBorder="1"/>
    <xf numFmtId="2" fontId="101" fillId="0" borderId="16" xfId="5" applyNumberFormat="1" applyFont="1" applyFill="1" applyBorder="1"/>
    <xf numFmtId="165" fontId="101" fillId="0" borderId="17" xfId="5" applyNumberFormat="1" applyFont="1" applyFill="1" applyBorder="1"/>
    <xf numFmtId="169" fontId="101" fillId="0" borderId="16" xfId="5" applyNumberFormat="1" applyFont="1" applyFill="1" applyBorder="1"/>
    <xf numFmtId="0" fontId="101" fillId="0" borderId="11" xfId="5" applyFont="1" applyFill="1" applyBorder="1" applyAlignment="1">
      <alignment horizontal="left"/>
    </xf>
    <xf numFmtId="169" fontId="101" fillId="0" borderId="22" xfId="5" applyNumberFormat="1" applyFont="1" applyFill="1" applyBorder="1"/>
    <xf numFmtId="0" fontId="101" fillId="0" borderId="32" xfId="5" applyFont="1" applyFill="1" applyBorder="1" applyAlignment="1">
      <alignment horizontal="left"/>
    </xf>
    <xf numFmtId="169" fontId="101" fillId="0" borderId="33" xfId="5" applyNumberFormat="1" applyFont="1" applyFill="1" applyBorder="1"/>
    <xf numFmtId="2" fontId="101" fillId="0" borderId="33" xfId="5" applyNumberFormat="1" applyFont="1" applyFill="1" applyBorder="1"/>
    <xf numFmtId="165" fontId="101" fillId="0" borderId="34" xfId="5" applyNumberFormat="1" applyFont="1" applyFill="1" applyBorder="1"/>
    <xf numFmtId="0" fontId="100" fillId="0" borderId="25" xfId="5" applyFont="1" applyFill="1" applyBorder="1" applyAlignment="1">
      <alignment horizontal="left"/>
    </xf>
    <xf numFmtId="165" fontId="81" fillId="0" borderId="26" xfId="5" applyNumberFormat="1" applyFont="1" applyFill="1" applyBorder="1"/>
    <xf numFmtId="2" fontId="101" fillId="0" borderId="61" xfId="5" applyNumberFormat="1" applyFont="1" applyFill="1" applyBorder="1"/>
    <xf numFmtId="165" fontId="101" fillId="0" borderId="43" xfId="5" applyNumberFormat="1" applyFont="1" applyFill="1" applyBorder="1"/>
    <xf numFmtId="9" fontId="100" fillId="0" borderId="25" xfId="5" applyNumberFormat="1" applyFont="1" applyFill="1" applyBorder="1" applyAlignment="1">
      <alignment horizontal="left" wrapText="1"/>
    </xf>
    <xf numFmtId="10" fontId="101" fillId="0" borderId="26" xfId="5" applyNumberFormat="1" applyFont="1" applyFill="1" applyBorder="1" applyAlignment="1">
      <alignment horizontal="right" wrapText="1"/>
    </xf>
    <xf numFmtId="0" fontId="100" fillId="0" borderId="26" xfId="5" applyFont="1" applyFill="1" applyBorder="1" applyAlignment="1">
      <alignment horizontal="right"/>
    </xf>
    <xf numFmtId="3" fontId="101" fillId="0" borderId="43" xfId="5" applyNumberFormat="1" applyFont="1" applyFill="1" applyBorder="1" applyAlignment="1">
      <alignment horizontal="right"/>
    </xf>
    <xf numFmtId="0" fontId="100" fillId="0" borderId="11" xfId="5" applyFont="1" applyFill="1" applyBorder="1"/>
    <xf numFmtId="2" fontId="100" fillId="0" borderId="22" xfId="5" applyNumberFormat="1" applyFont="1" applyFill="1" applyBorder="1"/>
    <xf numFmtId="38" fontId="100" fillId="0" borderId="14" xfId="5" applyNumberFormat="1" applyFont="1" applyFill="1" applyBorder="1" applyAlignment="1">
      <alignment horizontal="right"/>
    </xf>
    <xf numFmtId="8" fontId="101" fillId="0" borderId="16" xfId="5" applyNumberFormat="1" applyFont="1" applyFill="1" applyBorder="1" applyAlignment="1">
      <alignment horizontal="right" wrapText="1"/>
    </xf>
    <xf numFmtId="0" fontId="100" fillId="0" borderId="16" xfId="5" applyFont="1" applyFill="1" applyBorder="1"/>
    <xf numFmtId="38" fontId="101" fillId="0" borderId="17" xfId="5" applyNumberFormat="1" applyFont="1" applyFill="1" applyBorder="1" applyAlignment="1">
      <alignment horizontal="right"/>
    </xf>
    <xf numFmtId="0" fontId="101" fillId="0" borderId="15" xfId="5" applyFont="1" applyFill="1" applyBorder="1"/>
    <xf numFmtId="0" fontId="101" fillId="0" borderId="19" xfId="5" applyFont="1" applyFill="1" applyBorder="1" applyAlignment="1">
      <alignment horizontal="left" wrapText="1"/>
    </xf>
    <xf numFmtId="8" fontId="101" fillId="0" borderId="20" xfId="5" applyNumberFormat="1" applyFont="1" applyFill="1" applyBorder="1" applyAlignment="1">
      <alignment horizontal="right" wrapText="1"/>
    </xf>
    <xf numFmtId="0" fontId="100" fillId="0" borderId="20" xfId="5" applyFont="1" applyFill="1" applyBorder="1"/>
    <xf numFmtId="38" fontId="101" fillId="0" borderId="44" xfId="5" applyNumberFormat="1" applyFont="1" applyFill="1" applyBorder="1" applyAlignment="1">
      <alignment horizontal="right"/>
    </xf>
    <xf numFmtId="0" fontId="100" fillId="0" borderId="23" xfId="5" applyFont="1" applyFill="1" applyBorder="1" applyAlignment="1">
      <alignment horizontal="left"/>
    </xf>
    <xf numFmtId="2" fontId="100" fillId="0" borderId="31" xfId="5" applyNumberFormat="1" applyFont="1" applyFill="1" applyBorder="1"/>
    <xf numFmtId="3" fontId="100" fillId="0" borderId="16" xfId="5" applyNumberFormat="1" applyFont="1" applyFill="1" applyBorder="1"/>
    <xf numFmtId="0" fontId="101" fillId="0" borderId="23" xfId="5" applyFont="1" applyFill="1" applyBorder="1" applyAlignment="1">
      <alignment horizontal="left"/>
    </xf>
    <xf numFmtId="10" fontId="101" fillId="0" borderId="31" xfId="81" applyNumberFormat="1" applyFont="1" applyFill="1" applyBorder="1"/>
    <xf numFmtId="3" fontId="101" fillId="0" borderId="54" xfId="5" applyNumberFormat="1" applyFont="1" applyFill="1" applyBorder="1"/>
    <xf numFmtId="9" fontId="17" fillId="0" borderId="15" xfId="65" applyFont="1" applyFill="1" applyBorder="1" applyAlignment="1">
      <alignment horizontal="left" wrapText="1"/>
    </xf>
    <xf numFmtId="2" fontId="16" fillId="0" borderId="16" xfId="35" applyNumberFormat="1" applyFont="1" applyFill="1" applyBorder="1" applyAlignment="1">
      <alignment horizontal="center"/>
    </xf>
    <xf numFmtId="169" fontId="17" fillId="0" borderId="16" xfId="65" applyNumberFormat="1" applyFont="1" applyFill="1" applyBorder="1"/>
    <xf numFmtId="169" fontId="17" fillId="0" borderId="17" xfId="65" applyNumberFormat="1" applyFont="1" applyFill="1" applyBorder="1" applyAlignment="1">
      <alignment horizontal="right"/>
    </xf>
    <xf numFmtId="9" fontId="17" fillId="0" borderId="15" xfId="5" applyNumberFormat="1" applyFont="1" applyFill="1" applyBorder="1" applyAlignment="1">
      <alignment horizontal="left"/>
    </xf>
    <xf numFmtId="6" fontId="17" fillId="0" borderId="16" xfId="5" applyNumberFormat="1" applyFont="1" applyFill="1" applyBorder="1"/>
    <xf numFmtId="6" fontId="17" fillId="0" borderId="17" xfId="5" applyNumberFormat="1" applyFont="1" applyFill="1" applyBorder="1"/>
    <xf numFmtId="0" fontId="17" fillId="0" borderId="15" xfId="5" applyFont="1" applyFill="1" applyBorder="1" applyAlignment="1">
      <alignment horizontal="left"/>
    </xf>
    <xf numFmtId="0" fontId="17" fillId="0" borderId="15" xfId="5" applyFont="1" applyFill="1" applyBorder="1" applyAlignment="1">
      <alignment horizontal="left" wrapText="1"/>
    </xf>
    <xf numFmtId="169" fontId="17" fillId="0" borderId="0" xfId="65" applyNumberFormat="1" applyFont="1" applyFill="1" applyBorder="1"/>
    <xf numFmtId="6" fontId="17" fillId="0" borderId="0" xfId="5" applyNumberFormat="1" applyFont="1" applyFill="1" applyBorder="1"/>
    <xf numFmtId="0" fontId="17" fillId="0" borderId="15" xfId="5" applyFont="1" applyFill="1" applyBorder="1" applyAlignment="1">
      <alignment wrapText="1"/>
    </xf>
    <xf numFmtId="9" fontId="17" fillId="0" borderId="19" xfId="65" applyFont="1" applyFill="1" applyBorder="1" applyAlignment="1">
      <alignment horizontal="left" wrapText="1"/>
    </xf>
    <xf numFmtId="169" fontId="17" fillId="0" borderId="20" xfId="65" applyNumberFormat="1" applyFont="1" applyFill="1" applyBorder="1"/>
    <xf numFmtId="169" fontId="17" fillId="0" borderId="21" xfId="65" applyNumberFormat="1" applyFont="1" applyFill="1" applyBorder="1" applyAlignment="1">
      <alignment horizontal="right"/>
    </xf>
    <xf numFmtId="0" fontId="17" fillId="0" borderId="19" xfId="5" applyFont="1" applyFill="1" applyBorder="1" applyAlignment="1">
      <alignment horizontal="left" wrapText="1"/>
    </xf>
    <xf numFmtId="6" fontId="17" fillId="0" borderId="20" xfId="5" applyNumberFormat="1" applyFont="1" applyFill="1" applyBorder="1"/>
    <xf numFmtId="6" fontId="17" fillId="0" borderId="21" xfId="5" applyNumberFormat="1" applyFont="1" applyFill="1" applyBorder="1"/>
    <xf numFmtId="9" fontId="17" fillId="0" borderId="30" xfId="65" applyFont="1" applyFill="1" applyBorder="1" applyAlignment="1">
      <alignment horizontal="left" wrapText="1"/>
    </xf>
    <xf numFmtId="10" fontId="17" fillId="0" borderId="53" xfId="65" applyNumberFormat="1" applyFont="1" applyFill="1" applyBorder="1" applyAlignment="1">
      <alignment horizontal="right"/>
    </xf>
    <xf numFmtId="9" fontId="17" fillId="0" borderId="53" xfId="65" applyFont="1" applyFill="1" applyBorder="1" applyAlignment="1">
      <alignment horizontal="left"/>
    </xf>
    <xf numFmtId="169" fontId="17" fillId="0" borderId="54" xfId="65" applyNumberFormat="1" applyFont="1" applyFill="1" applyBorder="1" applyAlignment="1">
      <alignment horizontal="right"/>
    </xf>
    <xf numFmtId="9" fontId="17" fillId="0" borderId="30" xfId="5" applyNumberFormat="1" applyFont="1" applyFill="1" applyBorder="1" applyAlignment="1">
      <alignment horizontal="left"/>
    </xf>
    <xf numFmtId="10" fontId="17" fillId="0" borderId="53" xfId="5" applyNumberFormat="1" applyFont="1" applyFill="1" applyBorder="1" applyAlignment="1">
      <alignment horizontal="right"/>
    </xf>
    <xf numFmtId="0" fontId="17" fillId="0" borderId="53" xfId="5" applyFont="1" applyFill="1" applyBorder="1" applyAlignment="1">
      <alignment horizontal="left"/>
    </xf>
    <xf numFmtId="6" fontId="17" fillId="0" borderId="54" xfId="5" applyNumberFormat="1" applyFont="1" applyFill="1" applyBorder="1" applyAlignment="1">
      <alignment horizontal="right"/>
    </xf>
    <xf numFmtId="0" fontId="15" fillId="0" borderId="53" xfId="5" applyFont="1" applyFill="1" applyBorder="1" applyAlignment="1">
      <alignment horizontal="center"/>
    </xf>
    <xf numFmtId="6" fontId="15" fillId="0" borderId="54" xfId="5" applyNumberFormat="1" applyFont="1" applyFill="1" applyBorder="1" applyAlignment="1">
      <alignment horizontal="right"/>
    </xf>
    <xf numFmtId="8" fontId="15" fillId="5" borderId="52" xfId="3" applyNumberFormat="1" applyFont="1" applyFill="1" applyBorder="1" applyAlignment="1">
      <alignment horizontal="right" wrapText="1"/>
    </xf>
    <xf numFmtId="0" fontId="78" fillId="17" borderId="2" xfId="0" applyFont="1" applyFill="1" applyBorder="1" applyAlignment="1">
      <alignment horizontal="center"/>
    </xf>
    <xf numFmtId="0" fontId="78" fillId="17" borderId="3" xfId="0" applyFont="1" applyFill="1" applyBorder="1" applyAlignment="1">
      <alignment horizontal="center"/>
    </xf>
    <xf numFmtId="0" fontId="73" fillId="0" borderId="0" xfId="82" applyFont="1" applyFill="1" applyBorder="1" applyAlignment="1">
      <alignment horizontal="center"/>
    </xf>
    <xf numFmtId="165" fontId="67" fillId="18" borderId="4" xfId="82" applyNumberFormat="1" applyFont="1" applyFill="1" applyBorder="1" applyAlignment="1">
      <alignment horizontal="center"/>
    </xf>
    <xf numFmtId="165" fontId="67" fillId="18" borderId="5" xfId="82" applyNumberFormat="1" applyFont="1" applyFill="1" applyBorder="1" applyAlignment="1">
      <alignment horizontal="center"/>
    </xf>
    <xf numFmtId="165" fontId="67" fillId="18" borderId="6" xfId="82" applyNumberFormat="1" applyFont="1" applyFill="1" applyBorder="1" applyAlignment="1">
      <alignment horizontal="center"/>
    </xf>
    <xf numFmtId="0" fontId="41" fillId="10" borderId="1" xfId="0" applyFont="1" applyFill="1" applyBorder="1" applyAlignment="1">
      <alignment horizontal="center"/>
    </xf>
    <xf numFmtId="0" fontId="41" fillId="10" borderId="2" xfId="0" applyFont="1" applyFill="1" applyBorder="1" applyAlignment="1">
      <alignment horizontal="center"/>
    </xf>
    <xf numFmtId="0" fontId="41" fillId="10" borderId="3" xfId="0" applyFont="1" applyFill="1" applyBorder="1" applyAlignment="1">
      <alignment horizontal="center"/>
    </xf>
    <xf numFmtId="0" fontId="100" fillId="4" borderId="9" xfId="0" applyFont="1" applyFill="1" applyBorder="1" applyAlignment="1">
      <alignment horizontal="center" wrapText="1"/>
    </xf>
    <xf numFmtId="165" fontId="100" fillId="4" borderId="55" xfId="0" applyNumberFormat="1" applyFont="1" applyFill="1" applyBorder="1" applyAlignment="1">
      <alignment horizontal="center" wrapText="1"/>
    </xf>
    <xf numFmtId="0" fontId="1" fillId="0" borderId="56" xfId="0" applyFont="1" applyBorder="1" applyAlignment="1">
      <alignment horizontal="center"/>
    </xf>
    <xf numFmtId="0" fontId="40" fillId="40" borderId="4" xfId="0" applyFont="1" applyFill="1" applyBorder="1" applyAlignment="1">
      <alignment horizontal="center" vertical="center"/>
    </xf>
    <xf numFmtId="0" fontId="40" fillId="40" borderId="5" xfId="0" applyFont="1" applyFill="1" applyBorder="1" applyAlignment="1">
      <alignment horizontal="center" vertical="center"/>
    </xf>
    <xf numFmtId="0" fontId="40" fillId="40" borderId="6" xfId="0" applyFont="1" applyFill="1" applyBorder="1" applyAlignment="1">
      <alignment horizontal="center" vertical="center"/>
    </xf>
    <xf numFmtId="0" fontId="100" fillId="4" borderId="12" xfId="0" applyFont="1" applyFill="1" applyBorder="1" applyAlignment="1">
      <alignment horizontal="center" wrapText="1"/>
    </xf>
    <xf numFmtId="0" fontId="100" fillId="4" borderId="13" xfId="0" applyFont="1" applyFill="1" applyBorder="1" applyAlignment="1">
      <alignment horizontal="center" wrapText="1"/>
    </xf>
    <xf numFmtId="165" fontId="100" fillId="4" borderId="16" xfId="3" applyNumberFormat="1" applyFont="1" applyFill="1" applyBorder="1" applyAlignment="1">
      <alignment wrapText="1"/>
    </xf>
    <xf numFmtId="0" fontId="1" fillId="0" borderId="16" xfId="3" applyFont="1" applyBorder="1" applyAlignment="1"/>
    <xf numFmtId="165" fontId="15" fillId="4" borderId="16" xfId="3" applyNumberFormat="1" applyFont="1" applyFill="1" applyBorder="1" applyAlignment="1">
      <alignment wrapText="1"/>
    </xf>
    <xf numFmtId="0" fontId="11" fillId="0" borderId="16" xfId="3" applyBorder="1" applyAlignment="1"/>
    <xf numFmtId="9" fontId="19" fillId="4" borderId="50" xfId="4" applyNumberFormat="1" applyFont="1" applyFill="1" applyBorder="1" applyAlignment="1">
      <alignment horizontal="left" wrapText="1"/>
    </xf>
    <xf numFmtId="0" fontId="33" fillId="4" borderId="51" xfId="0" applyFont="1" applyFill="1" applyBorder="1" applyAlignment="1">
      <alignment horizontal="left" wrapText="1"/>
    </xf>
    <xf numFmtId="0" fontId="40" fillId="40" borderId="4" xfId="0" applyFont="1" applyFill="1" applyBorder="1" applyAlignment="1">
      <alignment horizontal="center" vertical="center" wrapText="1"/>
    </xf>
    <xf numFmtId="0" fontId="40" fillId="40" borderId="5" xfId="0" applyFont="1" applyFill="1" applyBorder="1" applyAlignment="1">
      <alignment horizontal="center" vertical="center" wrapText="1"/>
    </xf>
    <xf numFmtId="0" fontId="40" fillId="40" borderId="6" xfId="0" applyFont="1" applyFill="1" applyBorder="1" applyAlignment="1">
      <alignment horizontal="center" vertical="center" wrapText="1"/>
    </xf>
    <xf numFmtId="0" fontId="40" fillId="40" borderId="4" xfId="0" applyFont="1" applyFill="1" applyBorder="1" applyAlignment="1">
      <alignment horizontal="center" wrapText="1"/>
    </xf>
    <xf numFmtId="0" fontId="40" fillId="40" borderId="5" xfId="0" applyFont="1" applyFill="1" applyBorder="1" applyAlignment="1">
      <alignment horizontal="center" wrapText="1"/>
    </xf>
    <xf numFmtId="0" fontId="40" fillId="40" borderId="6" xfId="0" applyFont="1" applyFill="1" applyBorder="1" applyAlignment="1">
      <alignment horizontal="center" wrapText="1"/>
    </xf>
    <xf numFmtId="0" fontId="15" fillId="4" borderId="12" xfId="0" applyFont="1" applyFill="1" applyBorder="1" applyAlignment="1">
      <alignment horizontal="center" wrapText="1"/>
    </xf>
    <xf numFmtId="0" fontId="15" fillId="4" borderId="13" xfId="0" applyFont="1" applyFill="1" applyBorder="1" applyAlignment="1">
      <alignment horizontal="center" wrapText="1"/>
    </xf>
    <xf numFmtId="9" fontId="105" fillId="4" borderId="50" xfId="4" applyNumberFormat="1" applyFont="1" applyFill="1" applyBorder="1" applyAlignment="1">
      <alignment horizontal="left" wrapText="1"/>
    </xf>
    <xf numFmtId="0" fontId="113" fillId="4" borderId="51" xfId="0" applyFont="1" applyFill="1" applyBorder="1" applyAlignment="1">
      <alignment horizontal="left" wrapText="1"/>
    </xf>
    <xf numFmtId="165" fontId="100" fillId="4" borderId="16" xfId="0" applyNumberFormat="1" applyFont="1" applyFill="1" applyBorder="1" applyAlignment="1">
      <alignment wrapText="1"/>
    </xf>
    <xf numFmtId="0" fontId="1" fillId="0" borderId="16" xfId="0" applyFont="1" applyBorder="1" applyAlignment="1"/>
    <xf numFmtId="0" fontId="67" fillId="8" borderId="35" xfId="0" applyFont="1" applyFill="1" applyBorder="1" applyAlignment="1">
      <alignment horizontal="left" wrapText="1"/>
    </xf>
    <xf numFmtId="0" fontId="67" fillId="8" borderId="36" xfId="0" applyFont="1" applyFill="1" applyBorder="1" applyAlignment="1">
      <alignment horizontal="left" wrapText="1"/>
    </xf>
    <xf numFmtId="0" fontId="67" fillId="8" borderId="37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00" fillId="3" borderId="1" xfId="0" applyFont="1" applyFill="1" applyBorder="1" applyAlignment="1">
      <alignment horizontal="center"/>
    </xf>
    <xf numFmtId="0" fontId="100" fillId="3" borderId="2" xfId="0" applyFont="1" applyFill="1" applyBorder="1" applyAlignment="1">
      <alignment horizontal="center"/>
    </xf>
    <xf numFmtId="0" fontId="100" fillId="3" borderId="3" xfId="0" applyFont="1" applyFill="1" applyBorder="1" applyAlignment="1">
      <alignment horizontal="center"/>
    </xf>
    <xf numFmtId="0" fontId="100" fillId="3" borderId="4" xfId="0" applyFont="1" applyFill="1" applyBorder="1" applyAlignment="1">
      <alignment horizontal="center"/>
    </xf>
    <xf numFmtId="0" fontId="100" fillId="3" borderId="5" xfId="0" applyFont="1" applyFill="1" applyBorder="1" applyAlignment="1">
      <alignment horizontal="center"/>
    </xf>
    <xf numFmtId="0" fontId="100" fillId="3" borderId="6" xfId="0" applyFont="1" applyFill="1" applyBorder="1" applyAlignment="1">
      <alignment horizontal="center"/>
    </xf>
    <xf numFmtId="165" fontId="100" fillId="4" borderId="12" xfId="0" applyNumberFormat="1" applyFont="1" applyFill="1" applyBorder="1" applyAlignment="1">
      <alignment wrapText="1"/>
    </xf>
    <xf numFmtId="165" fontId="100" fillId="4" borderId="13" xfId="0" applyNumberFormat="1" applyFont="1" applyFill="1" applyBorder="1" applyAlignment="1">
      <alignment wrapText="1"/>
    </xf>
    <xf numFmtId="0" fontId="45" fillId="11" borderId="39" xfId="5" applyFont="1" applyFill="1" applyBorder="1" applyAlignment="1">
      <alignment horizontal="center" vertical="center"/>
    </xf>
    <xf numFmtId="0" fontId="104" fillId="6" borderId="1" xfId="5" applyFont="1" applyFill="1" applyBorder="1" applyAlignment="1">
      <alignment horizontal="center" vertical="center"/>
    </xf>
    <xf numFmtId="0" fontId="104" fillId="6" borderId="57" xfId="5" applyFont="1" applyFill="1" applyBorder="1" applyAlignment="1">
      <alignment horizontal="center" vertical="center"/>
    </xf>
    <xf numFmtId="0" fontId="14" fillId="12" borderId="4" xfId="0" applyFont="1" applyFill="1" applyBorder="1" applyAlignment="1">
      <alignment horizontal="center" vertical="center"/>
    </xf>
    <xf numFmtId="0" fontId="14" fillId="12" borderId="5" xfId="0" applyFont="1" applyFill="1" applyBorder="1" applyAlignment="1">
      <alignment horizontal="center" vertical="center"/>
    </xf>
    <xf numFmtId="0" fontId="14" fillId="12" borderId="6" xfId="0" applyFont="1" applyFill="1" applyBorder="1" applyAlignment="1">
      <alignment horizontal="center" vertical="center"/>
    </xf>
    <xf numFmtId="0" fontId="56" fillId="12" borderId="1" xfId="5" applyFont="1" applyFill="1" applyBorder="1" applyAlignment="1">
      <alignment horizontal="center" vertical="center"/>
    </xf>
    <xf numFmtId="0" fontId="56" fillId="12" borderId="57" xfId="5" applyFont="1" applyFill="1" applyBorder="1" applyAlignment="1">
      <alignment horizontal="center" vertical="center"/>
    </xf>
    <xf numFmtId="9" fontId="56" fillId="12" borderId="58" xfId="65" applyFont="1" applyFill="1" applyBorder="1" applyAlignment="1">
      <alignment horizontal="center" vertical="center"/>
    </xf>
    <xf numFmtId="9" fontId="56" fillId="12" borderId="63" xfId="65" applyFont="1" applyFill="1" applyBorder="1" applyAlignment="1">
      <alignment horizontal="center" vertical="center"/>
    </xf>
    <xf numFmtId="0" fontId="56" fillId="12" borderId="58" xfId="5" applyFont="1" applyFill="1" applyBorder="1" applyAlignment="1">
      <alignment horizontal="center" vertical="center"/>
    </xf>
    <xf numFmtId="0" fontId="56" fillId="12" borderId="63" xfId="5" applyFont="1" applyFill="1" applyBorder="1" applyAlignment="1">
      <alignment horizontal="center" vertical="center"/>
    </xf>
    <xf numFmtId="0" fontId="54" fillId="0" borderId="0" xfId="5" applyFont="1" applyAlignment="1">
      <alignment horizontal="center"/>
    </xf>
    <xf numFmtId="9" fontId="56" fillId="12" borderId="1" xfId="65" applyFont="1" applyFill="1" applyBorder="1" applyAlignment="1">
      <alignment horizontal="center" vertical="center"/>
    </xf>
    <xf numFmtId="9" fontId="56" fillId="12" borderId="57" xfId="65" applyFont="1" applyFill="1" applyBorder="1" applyAlignment="1">
      <alignment horizontal="center" vertical="center"/>
    </xf>
  </cellXfs>
  <cellStyles count="162">
    <cellStyle name="20% - Accent1 2" xfId="94"/>
    <cellStyle name="20% - Accent2 2" xfId="95"/>
    <cellStyle name="20% - Accent3 2" xfId="96"/>
    <cellStyle name="20% - Accent4 2" xfId="97"/>
    <cellStyle name="20% - Accent5 2" xfId="98"/>
    <cellStyle name="20% - Accent6 2" xfId="99"/>
    <cellStyle name="40% - Accent1 2" xfId="100"/>
    <cellStyle name="40% - Accent2 2" xfId="101"/>
    <cellStyle name="40% - Accent3 2" xfId="102"/>
    <cellStyle name="40% - Accent4 2" xfId="103"/>
    <cellStyle name="40% - Accent5 2" xfId="104"/>
    <cellStyle name="40% - Accent6 2" xfId="105"/>
    <cellStyle name="60% - Accent1 2" xfId="106"/>
    <cellStyle name="60% - Accent2 2" xfId="107"/>
    <cellStyle name="60% - Accent3 2" xfId="108"/>
    <cellStyle name="60% - Accent4 2" xfId="109"/>
    <cellStyle name="60% - Accent5 2" xfId="110"/>
    <cellStyle name="60% - Accent6 2" xfId="111"/>
    <cellStyle name="Accent1 2" xfId="112"/>
    <cellStyle name="Accent2 2" xfId="113"/>
    <cellStyle name="Accent3 2" xfId="114"/>
    <cellStyle name="Accent4 2" xfId="115"/>
    <cellStyle name="Accent5 2" xfId="116"/>
    <cellStyle name="Accent6 2" xfId="117"/>
    <cellStyle name="Bad 2" xfId="118"/>
    <cellStyle name="Calculation 2" xfId="119"/>
    <cellStyle name="Check Cell 2" xfId="120"/>
    <cellStyle name="Comma" xfId="79" builtinId="3"/>
    <cellStyle name="Comma 10" xfId="121"/>
    <cellStyle name="Comma 11" xfId="158"/>
    <cellStyle name="Comma 2" xfId="1"/>
    <cellStyle name="Comma 2 2" xfId="6"/>
    <cellStyle name="Comma 3" xfId="7"/>
    <cellStyle name="Comma 3 2" xfId="8"/>
    <cellStyle name="Comma 3 3" xfId="9"/>
    <cellStyle name="Comma 4" xfId="10"/>
    <cellStyle name="Comma 4 2" xfId="11"/>
    <cellStyle name="Comma 5" xfId="12"/>
    <cellStyle name="Comma 5 2" xfId="13"/>
    <cellStyle name="Comma 6" xfId="14"/>
    <cellStyle name="Comma 6 2" xfId="15"/>
    <cellStyle name="Comma 7" xfId="16"/>
    <cellStyle name="Comma 7 2" xfId="122"/>
    <cellStyle name="Comma 8" xfId="17"/>
    <cellStyle name="Comma 9" xfId="83"/>
    <cellStyle name="Currency" xfId="80" builtinId="4"/>
    <cellStyle name="Currency [0] 2" xfId="18"/>
    <cellStyle name="Currency 2" xfId="19"/>
    <cellStyle name="Currency 2 2" xfId="20"/>
    <cellStyle name="Currency 2 3" xfId="123"/>
    <cellStyle name="Currency 2 4" xfId="124"/>
    <cellStyle name="Currency 3" xfId="21"/>
    <cellStyle name="Currency 3 2" xfId="22"/>
    <cellStyle name="Currency 3 3" xfId="125"/>
    <cellStyle name="Currency 4" xfId="23"/>
    <cellStyle name="Currency 4 2" xfId="24"/>
    <cellStyle name="Currency 4 2 2" xfId="25"/>
    <cellStyle name="Currency 4 3" xfId="26"/>
    <cellStyle name="Currency 4 4" xfId="126"/>
    <cellStyle name="Currency 5" xfId="27"/>
    <cellStyle name="Currency 5 2" xfId="28"/>
    <cellStyle name="Currency 5 2 2" xfId="2"/>
    <cellStyle name="Currency 5 3" xfId="29"/>
    <cellStyle name="Currency 5 3 2" xfId="30"/>
    <cellStyle name="Currency 5 3 3" xfId="87"/>
    <cellStyle name="Currency 5 4" xfId="31"/>
    <cellStyle name="Currency 5 5" xfId="127"/>
    <cellStyle name="Currency 5 6" xfId="128"/>
    <cellStyle name="Currency 6" xfId="32"/>
    <cellStyle name="Currency 6 2" xfId="33"/>
    <cellStyle name="Currency 7" xfId="34"/>
    <cellStyle name="Currency 8" xfId="85"/>
    <cellStyle name="Currency 9" xfId="159"/>
    <cellStyle name="Explanatory Text 2" xfId="129"/>
    <cellStyle name="Good 2" xfId="130"/>
    <cellStyle name="Heading 1 2" xfId="131"/>
    <cellStyle name="Heading 2 2" xfId="132"/>
    <cellStyle name="Heading 3 2" xfId="133"/>
    <cellStyle name="Heading 4 2" xfId="134"/>
    <cellStyle name="Hyperlink 2" xfId="135"/>
    <cellStyle name="Input 2" xfId="136"/>
    <cellStyle name="Linked Cell 2" xfId="137"/>
    <cellStyle name="Neutral 2" xfId="138"/>
    <cellStyle name="Normal" xfId="0" builtinId="0"/>
    <cellStyle name="Normal 10" xfId="35"/>
    <cellStyle name="Normal 10 2" xfId="36"/>
    <cellStyle name="Normal 10 3" xfId="72"/>
    <cellStyle name="Normal 10 3 2" xfId="161"/>
    <cellStyle name="Normal 11" xfId="37"/>
    <cellStyle name="Normal 11 2" xfId="38"/>
    <cellStyle name="Normal 11 2 2" xfId="160"/>
    <cellStyle name="Normal 12" xfId="39"/>
    <cellStyle name="Normal 13" xfId="40"/>
    <cellStyle name="Normal 13 2" xfId="41"/>
    <cellStyle name="Normal 14" xfId="42"/>
    <cellStyle name="Normal 14 2" xfId="139"/>
    <cellStyle name="Normal 15" xfId="43"/>
    <cellStyle name="Normal 16" xfId="44"/>
    <cellStyle name="Normal 17" xfId="77"/>
    <cellStyle name="Normal 17 2" xfId="155"/>
    <cellStyle name="Normal 18" xfId="93"/>
    <cellStyle name="Normal 19" xfId="156"/>
    <cellStyle name="Normal 2" xfId="5"/>
    <cellStyle name="Normal 2 2" xfId="45"/>
    <cellStyle name="Normal 2 2 2" xfId="73"/>
    <cellStyle name="Normal 2 3" xfId="46"/>
    <cellStyle name="Normal 2 4" xfId="3"/>
    <cellStyle name="Normal 2 5" xfId="47"/>
    <cellStyle name="Normal 2 5 2" xfId="48"/>
    <cellStyle name="Normal 3" xfId="49"/>
    <cellStyle name="Normal 3 2" xfId="50"/>
    <cellStyle name="Normal 3 3" xfId="51"/>
    <cellStyle name="Normal 3 4" xfId="140"/>
    <cellStyle name="Normal 3 5" xfId="141"/>
    <cellStyle name="Normal 4" xfId="52"/>
    <cellStyle name="Normal 4 2" xfId="53"/>
    <cellStyle name="Normal 4 2 2" xfId="82"/>
    <cellStyle name="Normal 4 2 2 2" xfId="88"/>
    <cellStyle name="Normal 4 2 3" xfId="142"/>
    <cellStyle name="Normal 4 3" xfId="143"/>
    <cellStyle name="Normal 5" xfId="54"/>
    <cellStyle name="Normal 5 2" xfId="74"/>
    <cellStyle name="Normal 6" xfId="55"/>
    <cellStyle name="Normal 6 2" xfId="78"/>
    <cellStyle name="Normal 6 2 2" xfId="144"/>
    <cellStyle name="Normal 6 3" xfId="89"/>
    <cellStyle name="Normal 7" xfId="56"/>
    <cellStyle name="Normal 7 2" xfId="57"/>
    <cellStyle name="Normal 8" xfId="58"/>
    <cellStyle name="Normal 8 2" xfId="59"/>
    <cellStyle name="Normal 8 3" xfId="60"/>
    <cellStyle name="Normal 8 4" xfId="61"/>
    <cellStyle name="Normal 8 5" xfId="62"/>
    <cellStyle name="Normal 9" xfId="63"/>
    <cellStyle name="Normal 9 2" xfId="84"/>
    <cellStyle name="Normal 9 2 2" xfId="90"/>
    <cellStyle name="Normal 9 2 3" xfId="154"/>
    <cellStyle name="Normal 9 3" xfId="91"/>
    <cellStyle name="Note 2" xfId="75"/>
    <cellStyle name="Output 2" xfId="145"/>
    <cellStyle name="Percent" xfId="81" builtinId="5"/>
    <cellStyle name="Percent 10" xfId="157"/>
    <cellStyle name="Percent 2" xfId="4"/>
    <cellStyle name="Percent 2 2" xfId="76"/>
    <cellStyle name="Percent 3" xfId="64"/>
    <cellStyle name="Percent 3 2" xfId="146"/>
    <cellStyle name="Percent 4" xfId="65"/>
    <cellStyle name="Percent 4 2" xfId="66"/>
    <cellStyle name="Percent 5" xfId="67"/>
    <cellStyle name="Percent 5 2" xfId="86"/>
    <cellStyle name="Percent 5 2 2" xfId="92"/>
    <cellStyle name="Percent 5 3" xfId="147"/>
    <cellStyle name="Percent 6" xfId="68"/>
    <cellStyle name="Percent 6 2" xfId="69"/>
    <cellStyle name="Percent 6 3" xfId="70"/>
    <cellStyle name="Percent 7" xfId="71"/>
    <cellStyle name="Percent 7 2" xfId="148"/>
    <cellStyle name="Percent 8" xfId="149"/>
    <cellStyle name="Percent 9" xfId="150"/>
    <cellStyle name="Title 2" xfId="151"/>
    <cellStyle name="Total 2" xfId="152"/>
    <cellStyle name="Warning Text 2" xfId="15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39</xdr:row>
      <xdr:rowOff>21166</xdr:rowOff>
    </xdr:from>
    <xdr:ext cx="184731" cy="264560"/>
    <xdr:sp macro="" textlink="">
      <xdr:nvSpPr>
        <xdr:cNvPr id="3" name="TextBox 2"/>
        <xdr:cNvSpPr txBox="1"/>
      </xdr:nvSpPr>
      <xdr:spPr>
        <a:xfrm>
          <a:off x="10061575" y="106986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31750</xdr:colOff>
      <xdr:row>18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16367760" y="104529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31750</xdr:colOff>
      <xdr:row>43</xdr:row>
      <xdr:rowOff>21166</xdr:rowOff>
    </xdr:from>
    <xdr:ext cx="184731" cy="264560"/>
    <xdr:sp macro="" textlink="">
      <xdr:nvSpPr>
        <xdr:cNvPr id="3" name="TextBox 2"/>
        <xdr:cNvSpPr txBox="1"/>
      </xdr:nvSpPr>
      <xdr:spPr>
        <a:xfrm>
          <a:off x="9429750" y="110278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DOCUME~1\ADeeker\LOCALS~1\Temp\7zO79.tmp\Second%20Offender%20Models%20from%20CV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06\workgroups\W_Pricing\SubAbuse\2012\Data\Outpatient%20Counseling%20&amp;%20Other%20Related\Counseling%20Rate%20Options%20MARCH%20181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Administrative%20Services-POS%20Policy%20Office\Rate%20Setting\Rate%20Projects\DPH%20-%20BSAS%20Residential\5.%20Final%20Rate%20Documents\POST-HEARING%20PROPOSAL%20Adult%20Resi_PP_Jail%20Div_2nd%20Off%20Model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W_Pricing\SubAbuse\2013\Resi%20Rehab\Data\Resi%20Rehab%203386&amp;3401%20122613%20330pm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HNaciri\Downloads\Resi%20Rehab%203386&amp;3401%20122613%20330pm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W_Pricing\SubAbuse\2013\Resi%20Rehab\Data\Resi%20Rehab%20_All%20Codes%20Analysis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E\X\Data%20&amp;%20Reporting%20Tools\STARR%20Utilization\STARR%20Utilization%20Tool%20FY10%20Jun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Administrative%20Services-POS%20Policy%20Office\Rate%20Setting\Rate%20Projects\DPH%20-%20BSAS%20Residential\5.%20Final%20Rate%20Documents\POST-HEARING%20PROPOSAL%20Resi%20Rehab%20Family%20Model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W_Pricing\SubAbuse\2013\Jail%20Diversion%20Prog%20-%204958\Jail%20Diversion%20FY12%20UFR%20Da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Users\Villacorta\Downloads\FINAL%20ANALYSIS%20Counseling%20Rate%20Options%20071913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Villacorta\Downloads\FINAL%20ANALYSIS%20Counseling%20Rate%20Options%20071913.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W_Pricing\SubAbuse\2013\Resi%20Rehab\Data\Resi%20Rehab%203386&amp;3401%20121613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Documents%20and%20Settings\cvillacorta\Desktop\March%2019\General%20Analysis%20Template%20338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a-fs01\Groups\ALLDHCFP\Shared%20Files\OSD\Carla\4951\General%20Analysis%20Template%20V6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Administrative%20Services-POS%20Policy%20Office\Rate%20Setting\Rate%20Projects\BSAS%20-%20DPH\3.%20Proposal,%20Hearing,%20&amp;%20Sign%20Off%20-%20Resi%20Rehab\BSAS%20Adult%20Residential%20FINAL%20FILES\CV%20models%20-%20Family%20program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Users\HNaciri\AppData\Local\Microsoft\Windows\Temporary%20Internet%20Files\Content.IE5\2Y6PUCY1\Copy%20of%20Resi%20Rehab%20_All%20Codes%20AnalysisFTSS_JUST%20COPY%203380%20TAB%20AND%20THEN%20DELETE%200115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chmarks"/>
      <sheetName val="2nd OFFENDER MODELS"/>
      <sheetName val="ALLCleanData"/>
      <sheetName val="2ndOffSource"/>
    </sheetNames>
    <sheetDataSet>
      <sheetData sheetId="0">
        <row r="5">
          <cell r="B5">
            <v>54283.52126981342</v>
          </cell>
        </row>
      </sheetData>
      <sheetData sheetId="1"/>
      <sheetData sheetId="2">
        <row r="82">
          <cell r="BN82">
            <v>57558.733912013478</v>
          </cell>
        </row>
      </sheetData>
      <sheetData sheetId="3">
        <row r="40">
          <cell r="FJ40">
            <v>183069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new CAF"/>
      <sheetName val="for pres"/>
      <sheetName val="Source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chmark Table"/>
      <sheetName val="ADULT RESI MODELS"/>
      <sheetName val="JAIL DIVERSION MODELS"/>
      <sheetName val="2nd OFFENDER MODELS"/>
      <sheetName val="updated CAF"/>
      <sheetName val="FTE Chart"/>
      <sheetName val="Salaries Resi"/>
      <sheetName val="Travel noPP"/>
      <sheetName val="Occupancy "/>
      <sheetName val="OthProgExp&amp;Meals "/>
      <sheetName val="RecSp"/>
      <sheetName val="Counselor"/>
      <sheetName val="CleanData3386&amp;3401"/>
      <sheetName val="RawDataCalcs3386&amp;3401"/>
      <sheetName val="Source3386&amp;3401"/>
      <sheetName val="Preg&amp;PostP Source"/>
      <sheetName val="All Others (WomenNoPP+Men)"/>
      <sheetName val="JailD Travel"/>
      <sheetName val="Source4958"/>
      <sheetName val="2ndOffSource"/>
      <sheetName val="AdminAnlys"/>
      <sheetName val="CAF"/>
      <sheetName val="ALLCleanData"/>
    </sheetNames>
    <sheetDataSet>
      <sheetData sheetId="0" refreshError="1">
        <row r="5">
          <cell r="B5">
            <v>57434</v>
          </cell>
        </row>
        <row r="23">
          <cell r="B23">
            <v>0.22499987275605302</v>
          </cell>
        </row>
      </sheetData>
      <sheetData sheetId="1" refreshError="1"/>
      <sheetData sheetId="2" refreshError="1">
        <row r="7">
          <cell r="H7">
            <v>0</v>
          </cell>
        </row>
        <row r="8">
          <cell r="C8">
            <v>1</v>
          </cell>
          <cell r="H8">
            <v>0.2</v>
          </cell>
        </row>
        <row r="9">
          <cell r="C9">
            <v>0.8</v>
          </cell>
          <cell r="H9">
            <v>2.5</v>
          </cell>
        </row>
        <row r="10">
          <cell r="C10">
            <v>1</v>
          </cell>
          <cell r="H10">
            <v>0</v>
          </cell>
        </row>
        <row r="11">
          <cell r="C11">
            <v>4</v>
          </cell>
          <cell r="H11">
            <v>0.38461538461538464</v>
          </cell>
        </row>
        <row r="12">
          <cell r="C12">
            <v>16.399999999999999</v>
          </cell>
        </row>
        <row r="13">
          <cell r="C13">
            <v>6.9749999999999996</v>
          </cell>
        </row>
        <row r="14">
          <cell r="C14">
            <v>2.523076923076923</v>
          </cell>
        </row>
      </sheetData>
      <sheetData sheetId="3" refreshError="1">
        <row r="7">
          <cell r="C7">
            <v>1</v>
          </cell>
        </row>
        <row r="8">
          <cell r="C8">
            <v>1</v>
          </cell>
        </row>
        <row r="9">
          <cell r="C9">
            <v>1</v>
          </cell>
        </row>
        <row r="10">
          <cell r="C10">
            <v>3</v>
          </cell>
        </row>
        <row r="11">
          <cell r="C11">
            <v>4</v>
          </cell>
        </row>
        <row r="12">
          <cell r="C12">
            <v>9</v>
          </cell>
        </row>
        <row r="13">
          <cell r="C13">
            <v>6</v>
          </cell>
        </row>
        <row r="14">
          <cell r="C14">
            <v>1.3846153846153846</v>
          </cell>
        </row>
      </sheetData>
      <sheetData sheetId="4" refreshError="1"/>
      <sheetData sheetId="5" refreshError="1">
        <row r="5">
          <cell r="B5">
            <v>1</v>
          </cell>
        </row>
        <row r="6">
          <cell r="B6">
            <v>1</v>
          </cell>
        </row>
        <row r="7">
          <cell r="B7">
            <v>3.3249999999999997</v>
          </cell>
        </row>
        <row r="8">
          <cell r="B8">
            <v>4.1999999999999993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65">
          <cell r="L65">
            <v>0</v>
          </cell>
          <cell r="M65">
            <v>0.60401394157367827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27001.321817500786</v>
          </cell>
          <cell r="AA65">
            <v>17680</v>
          </cell>
          <cell r="AB65">
            <v>17680</v>
          </cell>
          <cell r="AC65">
            <v>18070.851702516127</v>
          </cell>
          <cell r="AD65">
            <v>0</v>
          </cell>
          <cell r="AE65">
            <v>0</v>
          </cell>
          <cell r="AF65">
            <v>17680</v>
          </cell>
          <cell r="AG65">
            <v>17680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17680</v>
          </cell>
          <cell r="AX65">
            <v>17680</v>
          </cell>
          <cell r="AY65">
            <v>0</v>
          </cell>
          <cell r="AZ65">
            <v>17680</v>
          </cell>
          <cell r="BA65">
            <v>17680</v>
          </cell>
          <cell r="BB65">
            <v>38683.69077867044</v>
          </cell>
          <cell r="BC65">
            <v>17680</v>
          </cell>
          <cell r="BD65">
            <v>17680</v>
          </cell>
          <cell r="BE65">
            <v>17680</v>
          </cell>
          <cell r="BF65">
            <v>17680</v>
          </cell>
          <cell r="BG65">
            <v>17680</v>
          </cell>
          <cell r="BH65">
            <v>20933.577544700503</v>
          </cell>
          <cell r="BI65">
            <v>18113.272969175363</v>
          </cell>
          <cell r="BJ65">
            <v>17680</v>
          </cell>
          <cell r="BK65">
            <v>0</v>
          </cell>
          <cell r="BL65">
            <v>20636.434820465383</v>
          </cell>
          <cell r="BM65">
            <v>17680</v>
          </cell>
          <cell r="BN65">
            <v>25004.04305351575</v>
          </cell>
          <cell r="BO65">
            <v>17680</v>
          </cell>
          <cell r="BP65">
            <v>17680</v>
          </cell>
          <cell r="BQ65">
            <v>0</v>
          </cell>
          <cell r="BR65">
            <v>17680</v>
          </cell>
          <cell r="BS65">
            <v>18141.222518283183</v>
          </cell>
          <cell r="BT65">
            <v>-41676.244265701374</v>
          </cell>
          <cell r="BU65">
            <v>8.7288553321896611E-2</v>
          </cell>
          <cell r="BV65">
            <v>-7668.9054664861869</v>
          </cell>
          <cell r="BW65">
            <v>-42994.589046928275</v>
          </cell>
          <cell r="BX65">
            <v>-31114.543559342434</v>
          </cell>
          <cell r="BY65">
            <v>-56549.921023847928</v>
          </cell>
          <cell r="BZ65">
            <v>-97003.786231626596</v>
          </cell>
          <cell r="CA65">
            <v>-313429.46542299842</v>
          </cell>
          <cell r="CB65">
            <v>-8.2635046624321695E-2</v>
          </cell>
          <cell r="CC65">
            <v>-43306.662961698195</v>
          </cell>
          <cell r="CD65">
            <v>-12782.185157235559</v>
          </cell>
          <cell r="CE65">
            <v>-49503.565553759647</v>
          </cell>
          <cell r="CF65">
            <v>0</v>
          </cell>
          <cell r="CG65">
            <v>-163357.23525071022</v>
          </cell>
          <cell r="CH65">
            <v>-92717.288808833691</v>
          </cell>
          <cell r="CI65">
            <v>-174238.57910238783</v>
          </cell>
          <cell r="CJ65">
            <v>-42994.589046928275</v>
          </cell>
          <cell r="CK65">
            <v>-63601.184466556078</v>
          </cell>
          <cell r="CL65">
            <v>-56549.921023847928</v>
          </cell>
          <cell r="CM65">
            <v>-24625.24467496722</v>
          </cell>
          <cell r="CN65">
            <v>-97003.786231626596</v>
          </cell>
          <cell r="CO65">
            <v>-351019.03335486259</v>
          </cell>
          <cell r="CP65">
            <v>0.29484957486879515</v>
          </cell>
          <cell r="CQ65">
            <v>5.4246351913831613E-2</v>
          </cell>
          <cell r="CR65">
            <v>4.5873466392117951E-2</v>
          </cell>
          <cell r="CS65">
            <v>3.5437273933393951E-2</v>
          </cell>
          <cell r="CT65">
            <v>-1.2333323520703935E-2</v>
          </cell>
          <cell r="CU65">
            <v>2.2913027561376476E-3</v>
          </cell>
          <cell r="CV65">
            <v>-2001.7395150477046</v>
          </cell>
          <cell r="CW65">
            <v>-449.92512739559015</v>
          </cell>
          <cell r="CX65">
            <v>-669.49380618456928</v>
          </cell>
          <cell r="CY65">
            <v>-742.75307693203445</v>
          </cell>
          <cell r="CZ65">
            <v>-28.06467652645356</v>
          </cell>
          <cell r="DA65">
            <v>-1831.0673764395974</v>
          </cell>
          <cell r="DB65">
            <v>-5722.7534056118502</v>
          </cell>
        </row>
        <row r="66">
          <cell r="L66">
            <v>68.638763831408127</v>
          </cell>
          <cell r="M66">
            <v>1.1713867216116371</v>
          </cell>
          <cell r="N66">
            <v>3.5436133878559533</v>
          </cell>
          <cell r="O66">
            <v>0.95881574526748314</v>
          </cell>
          <cell r="P66">
            <v>2.9922523651988402</v>
          </cell>
          <cell r="Q66">
            <v>0</v>
          </cell>
          <cell r="R66">
            <v>22.160404778842953</v>
          </cell>
          <cell r="S66">
            <v>7.4242654635805723</v>
          </cell>
          <cell r="T66">
            <v>2.8643600293925418</v>
          </cell>
          <cell r="U66">
            <v>5.1022146796734415E-3</v>
          </cell>
          <cell r="V66">
            <v>12.069142094975193</v>
          </cell>
          <cell r="W66">
            <v>0</v>
          </cell>
          <cell r="X66">
            <v>9.5889565937970307</v>
          </cell>
          <cell r="Y66">
            <v>7.3186088533890681</v>
          </cell>
          <cell r="Z66">
            <v>89011.525515165966</v>
          </cell>
          <cell r="AA66">
            <v>124711.18739604187</v>
          </cell>
          <cell r="AB66">
            <v>61892.043668045008</v>
          </cell>
          <cell r="AC66">
            <v>87195.593448715823</v>
          </cell>
          <cell r="AD66">
            <v>0</v>
          </cell>
          <cell r="AE66">
            <v>0</v>
          </cell>
          <cell r="AF66">
            <v>167549.29408607361</v>
          </cell>
          <cell r="AG66">
            <v>79437.240789242293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115332.99841003475</v>
          </cell>
          <cell r="AX66">
            <v>90839.543238665152</v>
          </cell>
          <cell r="AY66">
            <v>0</v>
          </cell>
          <cell r="AZ66">
            <v>59076.726041829606</v>
          </cell>
          <cell r="BA66">
            <v>55600.502579381842</v>
          </cell>
          <cell r="BB66">
            <v>46993.941797087129</v>
          </cell>
          <cell r="BC66">
            <v>47942.60200592941</v>
          </cell>
          <cell r="BD66">
            <v>85121.186442077829</v>
          </cell>
          <cell r="BE66">
            <v>60150.264866991725</v>
          </cell>
          <cell r="BF66">
            <v>37107.840583638354</v>
          </cell>
          <cell r="BG66">
            <v>34103.875436210852</v>
          </cell>
          <cell r="BH66">
            <v>43390.477411873391</v>
          </cell>
          <cell r="BI66">
            <v>42074.135709455113</v>
          </cell>
          <cell r="BJ66">
            <v>36682.268470282579</v>
          </cell>
          <cell r="BK66">
            <v>0</v>
          </cell>
          <cell r="BL66">
            <v>44994.274591165755</v>
          </cell>
          <cell r="BM66">
            <v>97222.235686431435</v>
          </cell>
          <cell r="BN66">
            <v>90762.603215714815</v>
          </cell>
          <cell r="BO66">
            <v>119552.2873416293</v>
          </cell>
          <cell r="BP66">
            <v>75684.090495463184</v>
          </cell>
          <cell r="BQ66">
            <v>0</v>
          </cell>
          <cell r="BR66">
            <v>46682.215048048798</v>
          </cell>
          <cell r="BS66">
            <v>41691.468549205456</v>
          </cell>
          <cell r="BT66">
            <v>215813.24914156343</v>
          </cell>
          <cell r="BU66">
            <v>0.38712105109997308</v>
          </cell>
          <cell r="BV66">
            <v>12566.14239091755</v>
          </cell>
          <cell r="BW66">
            <v>212234.356998359</v>
          </cell>
          <cell r="BX66">
            <v>46071.344248997601</v>
          </cell>
          <cell r="BY66">
            <v>226902.57309281343</v>
          </cell>
          <cell r="BZ66">
            <v>349599.7084215752</v>
          </cell>
          <cell r="CA66">
            <v>1685831.3957882223</v>
          </cell>
          <cell r="CB66">
            <v>0.48343558589893837</v>
          </cell>
          <cell r="CC66">
            <v>173231.84261687062</v>
          </cell>
          <cell r="CD66">
            <v>15056.319295166595</v>
          </cell>
          <cell r="CE66">
            <v>70578.736588242406</v>
          </cell>
          <cell r="CF66">
            <v>0</v>
          </cell>
          <cell r="CG66">
            <v>643703.17145760683</v>
          </cell>
          <cell r="CH66">
            <v>168723.38432607506</v>
          </cell>
          <cell r="CI66">
            <v>883865.09565411182</v>
          </cell>
          <cell r="CJ66">
            <v>212234.356998359</v>
          </cell>
          <cell r="CK66">
            <v>311211.60929414228</v>
          </cell>
          <cell r="CL66">
            <v>226902.57309281343</v>
          </cell>
          <cell r="CM66">
            <v>64778.990192208599</v>
          </cell>
          <cell r="CN66">
            <v>349599.7084215752</v>
          </cell>
          <cell r="CO66">
            <v>1940598.0624617594</v>
          </cell>
          <cell r="CP66">
            <v>0.59656020338447291</v>
          </cell>
          <cell r="CQ66">
            <v>0.1566637906768488</v>
          </cell>
          <cell r="CR66">
            <v>0.27180008495921093</v>
          </cell>
          <cell r="CS66">
            <v>0.17157983368640611</v>
          </cell>
          <cell r="CT66">
            <v>6.7111788746459594E-2</v>
          </cell>
          <cell r="CU66">
            <v>0.32064193368800842</v>
          </cell>
          <cell r="CV66">
            <v>2362.7914588359358</v>
          </cell>
          <cell r="CW66">
            <v>531.92173452915699</v>
          </cell>
          <cell r="CX66">
            <v>790.78617106937202</v>
          </cell>
          <cell r="CY66">
            <v>866.65490806017237</v>
          </cell>
          <cell r="CZ66">
            <v>36.082840081274462</v>
          </cell>
          <cell r="DA66">
            <v>2121.643831764482</v>
          </cell>
          <cell r="DB66">
            <v>6709.5907714262949</v>
          </cell>
        </row>
      </sheetData>
      <sheetData sheetId="14" refreshError="1"/>
      <sheetData sheetId="15" refreshError="1">
        <row r="24">
          <cell r="E24">
            <v>0.54919387907355521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chmarks"/>
      <sheetName val="FAMILY SOBER LIVING MODEL"/>
      <sheetName val="FAMILY RESI MODELS"/>
      <sheetName val="updated CAF"/>
      <sheetName val="ALLCleanData"/>
      <sheetName val="Source"/>
      <sheetName val="Staffing charts"/>
      <sheetName val="No.FamilyUnits"/>
      <sheetName val="ALLRawDataCalcs"/>
      <sheetName val="Lookups"/>
      <sheetName val="AdminAnlys"/>
      <sheetName val="CAF"/>
      <sheetName val="ALLCleanDataAllResi"/>
    </sheetNames>
    <sheetDataSet>
      <sheetData sheetId="0" refreshError="1">
        <row r="5">
          <cell r="B5">
            <v>0.11497078061714675</v>
          </cell>
        </row>
        <row r="7">
          <cell r="B7">
            <v>0.22499987275605302</v>
          </cell>
        </row>
      </sheetData>
      <sheetData sheetId="1" refreshError="1"/>
      <sheetData sheetId="2" refreshError="1">
        <row r="13">
          <cell r="B13">
            <v>1.3076923076923077</v>
          </cell>
          <cell r="G13">
            <v>1.3076923076923077</v>
          </cell>
          <cell r="L13">
            <v>1.3076923076923077</v>
          </cell>
          <cell r="Q13">
            <v>1.3076923076923077</v>
          </cell>
          <cell r="V13">
            <v>1.3076923076923077</v>
          </cell>
          <cell r="AA13">
            <v>1.3076923076923077</v>
          </cell>
        </row>
      </sheetData>
      <sheetData sheetId="3" refreshError="1"/>
      <sheetData sheetId="4" refreshError="1"/>
      <sheetData sheetId="5" refreshError="1"/>
      <sheetData sheetId="6" refreshError="1">
        <row r="7">
          <cell r="B7">
            <v>1</v>
          </cell>
        </row>
        <row r="8">
          <cell r="B8">
            <v>1</v>
          </cell>
        </row>
        <row r="9">
          <cell r="B9">
            <v>1</v>
          </cell>
        </row>
        <row r="10">
          <cell r="B10">
            <v>1</v>
          </cell>
        </row>
        <row r="11">
          <cell r="B11">
            <v>1</v>
          </cell>
        </row>
        <row r="12">
          <cell r="C12">
            <v>2.2000000000000002</v>
          </cell>
          <cell r="D12">
            <v>2.4</v>
          </cell>
          <cell r="E12">
            <v>2.6</v>
          </cell>
          <cell r="F12">
            <v>2.8</v>
          </cell>
          <cell r="G12">
            <v>3</v>
          </cell>
          <cell r="H12">
            <v>3.2</v>
          </cell>
        </row>
        <row r="13">
          <cell r="C13">
            <v>6.3</v>
          </cell>
          <cell r="D13">
            <v>6.1</v>
          </cell>
          <cell r="E13">
            <v>5.9</v>
          </cell>
          <cell r="F13">
            <v>5.7</v>
          </cell>
          <cell r="G13">
            <v>5.5</v>
          </cell>
          <cell r="H13">
            <v>5.3</v>
          </cell>
        </row>
        <row r="20">
          <cell r="B20">
            <v>0.5</v>
          </cell>
        </row>
        <row r="21">
          <cell r="B21">
            <v>0.1</v>
          </cell>
        </row>
        <row r="22">
          <cell r="B22">
            <v>1</v>
          </cell>
        </row>
        <row r="23">
          <cell r="B23">
            <v>1</v>
          </cell>
        </row>
        <row r="24">
          <cell r="B24">
            <v>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il Diversion062414"/>
      <sheetName val="TotalHrs PhII"/>
      <sheetName val="Total Spend"/>
      <sheetName val="TotalFTEs"/>
      <sheetName val="Jail Diversion061014"/>
      <sheetName val="Jail Diversion060314"/>
      <sheetName val="REvised FTE"/>
      <sheetName val="Travel"/>
      <sheetName val="ResiRehab vs 4958"/>
      <sheetName val="Sxn35"/>
      <sheetName val="Source4958"/>
      <sheetName val="ALLCleanData"/>
      <sheetName val="Sheet1"/>
      <sheetName val="Jail Diversion063014"/>
      <sheetName val="JDiv Template"/>
      <sheetName val="Single &amp; JD&amp;2ndOff 051414"/>
      <sheetName val="F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H &amp;Rec H Models"/>
      <sheetName val="Resi Rehab Model 121713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Profit.Loss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67">
          <cell r="L67">
            <v>0</v>
          </cell>
          <cell r="M67">
            <v>0.59068392171641693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26527.68121461595</v>
          </cell>
          <cell r="AA67">
            <v>17680</v>
          </cell>
          <cell r="AB67">
            <v>17680</v>
          </cell>
          <cell r="AC67">
            <v>19099.315900375481</v>
          </cell>
          <cell r="AD67">
            <v>0</v>
          </cell>
          <cell r="AE67">
            <v>0</v>
          </cell>
          <cell r="AF67">
            <v>17680</v>
          </cell>
          <cell r="AG67">
            <v>17680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17680</v>
          </cell>
          <cell r="AX67">
            <v>17680</v>
          </cell>
          <cell r="AY67">
            <v>0</v>
          </cell>
          <cell r="AZ67">
            <v>17680</v>
          </cell>
          <cell r="BA67">
            <v>17680</v>
          </cell>
          <cell r="BB67">
            <v>38683.69077867044</v>
          </cell>
          <cell r="BC67">
            <v>17680</v>
          </cell>
          <cell r="BD67">
            <v>17680</v>
          </cell>
          <cell r="BE67">
            <v>17680</v>
          </cell>
          <cell r="BF67">
            <v>17680</v>
          </cell>
          <cell r="BG67">
            <v>17680</v>
          </cell>
          <cell r="BH67">
            <v>21208.250614987781</v>
          </cell>
          <cell r="BI67">
            <v>18302.844755665763</v>
          </cell>
          <cell r="BJ67">
            <v>17680</v>
          </cell>
          <cell r="BK67">
            <v>0</v>
          </cell>
          <cell r="BL67">
            <v>20810.881199325933</v>
          </cell>
          <cell r="BM67">
            <v>17680</v>
          </cell>
          <cell r="BN67">
            <v>25397.432561362915</v>
          </cell>
          <cell r="BO67">
            <v>17680</v>
          </cell>
          <cell r="BP67">
            <v>17680</v>
          </cell>
          <cell r="BQ67">
            <v>0</v>
          </cell>
          <cell r="BR67">
            <v>17680</v>
          </cell>
          <cell r="BS67">
            <v>18232.338228803575</v>
          </cell>
          <cell r="BT67">
            <v>-42550.687950826352</v>
          </cell>
          <cell r="BU67">
            <v>8.652163905831961E-2</v>
          </cell>
          <cell r="BV67">
            <v>-7616.999138663984</v>
          </cell>
          <cell r="BW67">
            <v>-43818.929209827998</v>
          </cell>
          <cell r="BX67">
            <v>-30554.007648360752</v>
          </cell>
          <cell r="BY67">
            <v>-58479.095566488322</v>
          </cell>
          <cell r="BZ67">
            <v>-96556.524084525838</v>
          </cell>
          <cell r="CA67">
            <v>-329569.06461271434</v>
          </cell>
          <cell r="CB67">
            <v>-8.0745589370006365E-2</v>
          </cell>
          <cell r="CC67">
            <v>-46885.961465194952</v>
          </cell>
          <cell r="CD67">
            <v>-12538.182073636108</v>
          </cell>
          <cell r="CE67">
            <v>-48951.5820783167</v>
          </cell>
          <cell r="CF67">
            <v>0</v>
          </cell>
          <cell r="CG67">
            <v>-163744.54899083133</v>
          </cell>
          <cell r="CH67">
            <v>-94885.029709410606</v>
          </cell>
          <cell r="CI67">
            <v>-184507.06873868097</v>
          </cell>
          <cell r="CJ67">
            <v>-43818.929209827998</v>
          </cell>
          <cell r="CK67">
            <v>-64927.473441856419</v>
          </cell>
          <cell r="CL67">
            <v>-58479.095566488322</v>
          </cell>
          <cell r="CM67">
            <v>-24613.841244434949</v>
          </cell>
          <cell r="CN67">
            <v>-96556.524084525838</v>
          </cell>
          <cell r="CO67">
            <v>-365068.254659759</v>
          </cell>
          <cell r="CP67">
            <v>0.29681106769735199</v>
          </cell>
          <cell r="CQ67">
            <v>5.3746632650024953E-2</v>
          </cell>
          <cell r="CR67">
            <v>4.6880522747650838E-2</v>
          </cell>
          <cell r="CS67">
            <v>3.4371250114883858E-2</v>
          </cell>
          <cell r="CT67">
            <v>-1.1937734412416745E-2</v>
          </cell>
          <cell r="CU67">
            <v>2.5026522486507607E-3</v>
          </cell>
          <cell r="CV67">
            <v>-1984.6459961091846</v>
          </cell>
          <cell r="CW67">
            <v>-446.11698371304965</v>
          </cell>
          <cell r="CX67">
            <v>-663.80028923534428</v>
          </cell>
          <cell r="CY67">
            <v>-736.42099763219619</v>
          </cell>
          <cell r="CZ67">
            <v>-27.820620746879666</v>
          </cell>
          <cell r="DA67">
            <v>-1815.6217292770787</v>
          </cell>
          <cell r="DB67">
            <v>-5674.138795166923</v>
          </cell>
        </row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GeogVar"/>
      <sheetName val="CostDrivers"/>
      <sheetName val="CostSummary"/>
      <sheetName val="RateOptions"/>
      <sheetName val="model"/>
      <sheetName val="CleanData"/>
      <sheetName val="RawDataCalcs"/>
      <sheetName val="Source"/>
      <sheetName val="Source_2"/>
      <sheetName val="CAF"/>
      <sheetName val="prod std"/>
      <sheetName val="for p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8">
          <cell r="L58">
            <v>0</v>
          </cell>
          <cell r="M58">
            <v>0</v>
          </cell>
          <cell r="N58">
            <v>0.02</v>
          </cell>
          <cell r="O58">
            <v>2.5641025641025602E-3</v>
          </cell>
          <cell r="P58">
            <v>0.496</v>
          </cell>
          <cell r="Q58">
            <v>0.48185096153846202</v>
          </cell>
          <cell r="R58">
            <v>2E-3</v>
          </cell>
          <cell r="S58">
            <v>0.01</v>
          </cell>
          <cell r="T58">
            <v>4.5067292258303498E-4</v>
          </cell>
          <cell r="U58">
            <v>8.656673939853904E-4</v>
          </cell>
          <cell r="V58">
            <v>7.1312939600312597E-3</v>
          </cell>
          <cell r="W58">
            <v>0</v>
          </cell>
          <cell r="X58">
            <v>1.5773552290406225E-3</v>
          </cell>
          <cell r="Y58">
            <v>3.4626695759415617E-4</v>
          </cell>
          <cell r="Z58">
            <v>27641.726305154858</v>
          </cell>
          <cell r="AA58">
            <v>32836.050497113931</v>
          </cell>
          <cell r="AB58">
            <v>18352.484996347543</v>
          </cell>
          <cell r="AC58">
            <v>23043.385398739982</v>
          </cell>
          <cell r="AD58">
            <v>88786.823601071985</v>
          </cell>
          <cell r="AE58">
            <v>70452.062881299134</v>
          </cell>
          <cell r="AF58">
            <v>48383.449111213202</v>
          </cell>
          <cell r="AG58">
            <v>17680</v>
          </cell>
          <cell r="AH58">
            <v>25680.99995655704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41635.320796103239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37793.970923453351</v>
          </cell>
          <cell r="AU58">
            <v>26767.032828776781</v>
          </cell>
          <cell r="AV58">
            <v>21976.093811248928</v>
          </cell>
          <cell r="AW58">
            <v>18559.572286750285</v>
          </cell>
          <cell r="AX58">
            <v>22630.711099393586</v>
          </cell>
          <cell r="AY58">
            <v>0</v>
          </cell>
          <cell r="AZ58">
            <v>17680</v>
          </cell>
          <cell r="BA58">
            <v>17680</v>
          </cell>
          <cell r="BB58">
            <v>33977.415363675616</v>
          </cell>
          <cell r="BC58">
            <v>17680</v>
          </cell>
          <cell r="BD58">
            <v>17680</v>
          </cell>
          <cell r="BE58">
            <v>30167.461694271238</v>
          </cell>
          <cell r="BF58">
            <v>17680</v>
          </cell>
          <cell r="BG58">
            <v>17680</v>
          </cell>
          <cell r="BH58">
            <v>17680</v>
          </cell>
          <cell r="BI58">
            <v>17680</v>
          </cell>
          <cell r="BJ58">
            <v>0</v>
          </cell>
          <cell r="BK58">
            <v>0</v>
          </cell>
          <cell r="BL58">
            <v>19563.207229381598</v>
          </cell>
          <cell r="BM58">
            <v>17680</v>
          </cell>
          <cell r="BN58">
            <v>33774.396364962013</v>
          </cell>
          <cell r="BO58">
            <v>21445.964522420298</v>
          </cell>
          <cell r="BP58">
            <v>26343.293203479567</v>
          </cell>
          <cell r="BQ58">
            <v>0</v>
          </cell>
          <cell r="BR58">
            <v>17680</v>
          </cell>
          <cell r="BS58">
            <v>17680</v>
          </cell>
          <cell r="BT58">
            <v>17680</v>
          </cell>
          <cell r="BU58">
            <v>2.2143494410400977E-2</v>
          </cell>
          <cell r="BV58">
            <v>-2321.1156453669296</v>
          </cell>
          <cell r="BW58">
            <v>-217413.40433120826</v>
          </cell>
          <cell r="BX58">
            <v>-109026.51234073262</v>
          </cell>
          <cell r="BY58">
            <v>-11764.5911644155</v>
          </cell>
          <cell r="BZ58">
            <v>-177108.40528236149</v>
          </cell>
          <cell r="CA58">
            <v>-1296871.3853693125</v>
          </cell>
          <cell r="CB58">
            <v>8.3585263578274754E-2</v>
          </cell>
          <cell r="CC58">
            <v>-178462.04568049865</v>
          </cell>
          <cell r="CD58">
            <v>-447686.41937923897</v>
          </cell>
          <cell r="CE58">
            <v>-647688.45871463022</v>
          </cell>
          <cell r="CF58">
            <v>-5221.9570617917125</v>
          </cell>
          <cell r="CG58">
            <v>-222480.9228641901</v>
          </cell>
          <cell r="CH58">
            <v>-107454.07986984923</v>
          </cell>
          <cell r="CI58">
            <v>-996346.11987869907</v>
          </cell>
          <cell r="CJ58">
            <v>-217413.40433120826</v>
          </cell>
          <cell r="CK58">
            <v>-122231.07925823829</v>
          </cell>
          <cell r="CL58">
            <v>-36656.975037308279</v>
          </cell>
          <cell r="CM58">
            <v>-6733.3655311137481</v>
          </cell>
          <cell r="CN58">
            <v>-175440.31190510734</v>
          </cell>
          <cell r="CO58">
            <v>1008.1552786940142</v>
          </cell>
          <cell r="CP58">
            <v>0.41012581600787701</v>
          </cell>
          <cell r="CQ58">
            <v>3.7723135602154637E-2</v>
          </cell>
          <cell r="CR58">
            <v>-3.4734731024141041E-2</v>
          </cell>
          <cell r="CS58">
            <v>-3.9503052113428652E-2</v>
          </cell>
          <cell r="CT58">
            <v>-2.8037763543885652E-2</v>
          </cell>
          <cell r="CU58">
            <v>4.7699631343473783E-2</v>
          </cell>
          <cell r="CV58">
            <v>2.8296000000000001</v>
          </cell>
          <cell r="CW58">
            <v>0.36538461538461536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6.0659099510422774</v>
          </cell>
        </row>
        <row r="59">
          <cell r="L59">
            <v>141.6136801833679</v>
          </cell>
          <cell r="M59">
            <v>1.6218947100638736</v>
          </cell>
          <cell r="N59">
            <v>5.4436872518308785</v>
          </cell>
          <cell r="O59">
            <v>5.8494333667980261</v>
          </cell>
          <cell r="P59">
            <v>7.973679688456393</v>
          </cell>
          <cell r="Q59">
            <v>0</v>
          </cell>
          <cell r="R59">
            <v>10.757704478819267</v>
          </cell>
          <cell r="S59">
            <v>8.5081080798533222</v>
          </cell>
          <cell r="T59">
            <v>0.48554714593680004</v>
          </cell>
          <cell r="U59">
            <v>4.0601206067016934E-2</v>
          </cell>
          <cell r="V59">
            <v>0.64123642319902618</v>
          </cell>
          <cell r="W59">
            <v>0</v>
          </cell>
          <cell r="X59">
            <v>0.42360809894791268</v>
          </cell>
          <cell r="Y59">
            <v>0.39285368681219757</v>
          </cell>
          <cell r="Z59">
            <v>104008.48285209059</v>
          </cell>
          <cell r="AA59">
            <v>123308.07113439904</v>
          </cell>
          <cell r="AB59">
            <v>79830.634615322211</v>
          </cell>
          <cell r="AC59">
            <v>87281.245053623308</v>
          </cell>
          <cell r="AD59">
            <v>274645.34033369785</v>
          </cell>
          <cell r="AE59">
            <v>126908.19352895727</v>
          </cell>
          <cell r="AF59">
            <v>156727.6456519507</v>
          </cell>
          <cell r="AG59">
            <v>143332.78155517689</v>
          </cell>
          <cell r="AH59">
            <v>98487.17847800997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90054.432328579147</v>
          </cell>
          <cell r="AU59">
            <v>74181.756315803374</v>
          </cell>
          <cell r="AV59">
            <v>85117.994850241957</v>
          </cell>
          <cell r="AW59">
            <v>87156.125746421603</v>
          </cell>
          <cell r="AX59">
            <v>81280.396563965711</v>
          </cell>
          <cell r="AY59">
            <v>0</v>
          </cell>
          <cell r="AZ59">
            <v>97315.578828107362</v>
          </cell>
          <cell r="BA59">
            <v>93224.244220774446</v>
          </cell>
          <cell r="BB59">
            <v>44612.240694392494</v>
          </cell>
          <cell r="BC59">
            <v>67110.530381856501</v>
          </cell>
          <cell r="BD59">
            <v>113001.58094659542</v>
          </cell>
          <cell r="BE59">
            <v>50740.864246182166</v>
          </cell>
          <cell r="BF59">
            <v>54471.957125726592</v>
          </cell>
          <cell r="BG59">
            <v>48613.623532704645</v>
          </cell>
          <cell r="BH59">
            <v>42778.442986765098</v>
          </cell>
          <cell r="BI59">
            <v>50759.159620607548</v>
          </cell>
          <cell r="BJ59">
            <v>0</v>
          </cell>
          <cell r="BK59">
            <v>0</v>
          </cell>
          <cell r="BL59">
            <v>73672.505994364212</v>
          </cell>
          <cell r="BM59">
            <v>51669.816889658236</v>
          </cell>
          <cell r="BN59">
            <v>103682.90968566973</v>
          </cell>
          <cell r="BO59">
            <v>235618.48779344739</v>
          </cell>
          <cell r="BP59">
            <v>75451.365807486844</v>
          </cell>
          <cell r="BQ59">
            <v>0</v>
          </cell>
          <cell r="BR59">
            <v>79304.014884011631</v>
          </cell>
          <cell r="BS59">
            <v>45001.100804000715</v>
          </cell>
          <cell r="BT59">
            <v>404311.88869091216</v>
          </cell>
          <cell r="BU59">
            <v>0.37277939772914137</v>
          </cell>
          <cell r="BV59">
            <v>8338.9529249013012</v>
          </cell>
          <cell r="BW59">
            <v>402406.55499678425</v>
          </cell>
          <cell r="BX59">
            <v>223268.05274060456</v>
          </cell>
          <cell r="BY59">
            <v>63225.942413552642</v>
          </cell>
          <cell r="BZ59">
            <v>383193.51206416771</v>
          </cell>
          <cell r="CA59">
            <v>2540672.8717030552</v>
          </cell>
          <cell r="CB59">
            <v>0.37138515872982336</v>
          </cell>
          <cell r="CC59">
            <v>329557.21382497036</v>
          </cell>
          <cell r="CD59">
            <v>764977.86278271698</v>
          </cell>
          <cell r="CE59">
            <v>1233069.7625433854</v>
          </cell>
          <cell r="CF59">
            <v>6013.8009582452287</v>
          </cell>
          <cell r="CG59">
            <v>414925.32459893846</v>
          </cell>
          <cell r="CH59">
            <v>223240.59616463169</v>
          </cell>
          <cell r="CI59">
            <v>1899534.8941179821</v>
          </cell>
          <cell r="CJ59">
            <v>402406.55499678425</v>
          </cell>
          <cell r="CK59">
            <v>241272.96632719072</v>
          </cell>
          <cell r="CL59">
            <v>62602.569863923723</v>
          </cell>
          <cell r="CM59">
            <v>86597.478139386687</v>
          </cell>
          <cell r="CN59">
            <v>389937.05569841585</v>
          </cell>
          <cell r="CO59">
            <v>7067636.7478</v>
          </cell>
          <cell r="CP59">
            <v>0.79532089330540467</v>
          </cell>
          <cell r="CQ59">
            <v>0.20336519368898737</v>
          </cell>
          <cell r="CR59">
            <v>0.2017424829076844</v>
          </cell>
          <cell r="CS59">
            <v>8.4629195340857499E-2</v>
          </cell>
          <cell r="CT59">
            <v>0.10835841562711321</v>
          </cell>
          <cell r="CU59">
            <v>0.24393615821932862</v>
          </cell>
          <cell r="CV59">
            <v>163.8884046278385</v>
          </cell>
          <cell r="CW59">
            <v>22.064391719783622</v>
          </cell>
          <cell r="CX59">
            <v>29.113607498382176</v>
          </cell>
          <cell r="CY59">
            <v>8.9854155965987683</v>
          </cell>
          <cell r="CZ59">
            <v>13.193105039195039</v>
          </cell>
          <cell r="DA59">
            <v>42.495434313703299</v>
          </cell>
          <cell r="DB59">
            <v>270.94572430658764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RateOptions"/>
      <sheetName val="GeogVar"/>
      <sheetName val="CostDrivers"/>
      <sheetName val="CostSummary"/>
      <sheetName val="CleanData"/>
      <sheetName val="RawDataCalcs"/>
      <sheetName val="CleanData (2)"/>
      <sheetName val="RawDataCalcs (2)"/>
      <sheetName val="Lookups"/>
      <sheetName val="Source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</row>
        <row r="9"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chmarks"/>
      <sheetName val="4919 model"/>
      <sheetName val="3380 models"/>
      <sheetName val="ALLCleanData"/>
      <sheetName val="Source"/>
      <sheetName val="Staffing charts"/>
      <sheetName val="CAF calc"/>
      <sheetName val="UFRBedSizes"/>
      <sheetName val="ALLRawDataCalcs"/>
      <sheetName val="ALLCleanData (2)"/>
      <sheetName val="ALLRawDataCalcs (2)"/>
      <sheetName val="Lookups"/>
      <sheetName val="Reli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1">
          <cell r="B21">
            <v>1</v>
          </cell>
        </row>
      </sheetData>
      <sheetData sheetId="6" refreshError="1"/>
      <sheetData sheetId="7" refreshError="1"/>
      <sheetData sheetId="8">
        <row r="16">
          <cell r="L16">
            <v>0</v>
          </cell>
          <cell r="M16">
            <v>0.44260542800743741</v>
          </cell>
          <cell r="N16">
            <v>3.4703517563273945E-2</v>
          </cell>
          <cell r="O16">
            <v>0</v>
          </cell>
          <cell r="P16">
            <v>0</v>
          </cell>
          <cell r="Q16">
            <v>0</v>
          </cell>
          <cell r="R16">
            <v>3.8811690264377194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36871.266947806929</v>
          </cell>
          <cell r="AA16">
            <v>19472.924941039913</v>
          </cell>
          <cell r="AB16">
            <v>0</v>
          </cell>
          <cell r="AC16">
            <v>18911.129936021498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23859.120535267313</v>
          </cell>
          <cell r="AS16">
            <v>0</v>
          </cell>
          <cell r="AT16">
            <v>0</v>
          </cell>
          <cell r="AU16">
            <v>0</v>
          </cell>
          <cell r="AV16">
            <v>35824.024853390765</v>
          </cell>
          <cell r="AW16">
            <v>0</v>
          </cell>
          <cell r="AX16">
            <v>29498.522150873039</v>
          </cell>
          <cell r="AY16">
            <v>0</v>
          </cell>
          <cell r="AZ16">
            <v>0</v>
          </cell>
          <cell r="BA16">
            <v>22887.74671547029</v>
          </cell>
          <cell r="BB16">
            <v>0</v>
          </cell>
          <cell r="BC16">
            <v>17845.068078169807</v>
          </cell>
          <cell r="BD16">
            <v>35107.824614120371</v>
          </cell>
          <cell r="BE16">
            <v>17680</v>
          </cell>
          <cell r="BF16">
            <v>17680</v>
          </cell>
          <cell r="BG16">
            <v>20717.453135949465</v>
          </cell>
          <cell r="BH16">
            <v>17680</v>
          </cell>
          <cell r="BI16">
            <v>17680</v>
          </cell>
          <cell r="BJ16">
            <v>0</v>
          </cell>
          <cell r="BK16">
            <v>0</v>
          </cell>
          <cell r="BL16">
            <v>26732.034994854777</v>
          </cell>
          <cell r="BM16">
            <v>17680</v>
          </cell>
          <cell r="BN16">
            <v>43421.949487830992</v>
          </cell>
          <cell r="BO16">
            <v>0</v>
          </cell>
          <cell r="BP16">
            <v>22136.25755456202</v>
          </cell>
          <cell r="BQ16">
            <v>0</v>
          </cell>
          <cell r="BR16">
            <v>24907.442344182902</v>
          </cell>
          <cell r="BS16">
            <v>17680</v>
          </cell>
          <cell r="BT16">
            <v>37873.756643520283</v>
          </cell>
          <cell r="BU16">
            <v>0.1962538851207932</v>
          </cell>
          <cell r="BV16">
            <v>-2048.3637679322801</v>
          </cell>
          <cell r="BW16">
            <v>36041.832848080041</v>
          </cell>
          <cell r="BX16">
            <v>-7504.1609699028268</v>
          </cell>
          <cell r="BY16">
            <v>-3776.4644232221181</v>
          </cell>
          <cell r="BZ16">
            <v>52778.632679188158</v>
          </cell>
          <cell r="CA16">
            <v>312372.22942269017</v>
          </cell>
          <cell r="CB16">
            <v>7.4348837914167062E-2</v>
          </cell>
          <cell r="CC16">
            <v>6018.4808292826419</v>
          </cell>
          <cell r="CD16">
            <v>-2847.7777777777778</v>
          </cell>
          <cell r="CE16">
            <v>-32209.376018407071</v>
          </cell>
          <cell r="CF16">
            <v>0</v>
          </cell>
          <cell r="CG16">
            <v>127867.31522740918</v>
          </cell>
          <cell r="CH16">
            <v>-11999.492971220081</v>
          </cell>
          <cell r="CI16">
            <v>151843.13772652898</v>
          </cell>
          <cell r="CJ16">
            <v>36041.832848080041</v>
          </cell>
          <cell r="CK16">
            <v>28268.893070438382</v>
          </cell>
          <cell r="CL16">
            <v>-3776.4644232221181</v>
          </cell>
          <cell r="CM16">
            <v>1091.8250228639808</v>
          </cell>
          <cell r="CN16">
            <v>52778.632679188158</v>
          </cell>
          <cell r="CO16">
            <v>367473.58550724579</v>
          </cell>
          <cell r="CP16">
            <v>0.37974321409825734</v>
          </cell>
          <cell r="CQ16">
            <v>9.0568024781908674E-2</v>
          </cell>
          <cell r="CR16">
            <v>4.2658818779575294E-2</v>
          </cell>
          <cell r="CS16">
            <v>1.0942215249647447E-2</v>
          </cell>
          <cell r="CT16">
            <v>-5.5289095085270593E-4</v>
          </cell>
          <cell r="CU16">
            <v>7.7018707951299115E-2</v>
          </cell>
          <cell r="CV16">
            <v>-2709.292411049797</v>
          </cell>
          <cell r="CW16">
            <v>-650.94578809479276</v>
          </cell>
          <cell r="CX16">
            <v>-1555.9288157744643</v>
          </cell>
          <cell r="CY16">
            <v>-555.67005365157775</v>
          </cell>
          <cell r="CZ16">
            <v>-52.681813325173835</v>
          </cell>
          <cell r="DA16">
            <v>-1308.517887138544</v>
          </cell>
          <cell r="DB16">
            <v>-6832.6623888544373</v>
          </cell>
        </row>
        <row r="17">
          <cell r="L17">
            <v>20.733371597246556</v>
          </cell>
          <cell r="M17">
            <v>1.207291074609621</v>
          </cell>
          <cell r="N17">
            <v>2.5235280953399521</v>
          </cell>
          <cell r="O17">
            <v>0</v>
          </cell>
          <cell r="P17">
            <v>1.9120786752901677</v>
          </cell>
          <cell r="Q17">
            <v>0</v>
          </cell>
          <cell r="R17">
            <v>14.374245916091015</v>
          </cell>
          <cell r="S17">
            <v>1.142182068728063</v>
          </cell>
          <cell r="T17">
            <v>5.2316004673250323</v>
          </cell>
          <cell r="U17">
            <v>0</v>
          </cell>
          <cell r="V17">
            <v>8.1824576893038348</v>
          </cell>
          <cell r="W17">
            <v>0</v>
          </cell>
          <cell r="X17">
            <v>32.812800359427158</v>
          </cell>
          <cell r="Y17">
            <v>0.78400692365729419</v>
          </cell>
          <cell r="Z17">
            <v>84494.553049931492</v>
          </cell>
          <cell r="AA17">
            <v>112515.62287412578</v>
          </cell>
          <cell r="AB17">
            <v>0</v>
          </cell>
          <cell r="AC17">
            <v>130894.63138085094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30239.396853710758</v>
          </cell>
          <cell r="AS17">
            <v>0</v>
          </cell>
          <cell r="AT17">
            <v>0</v>
          </cell>
          <cell r="AU17">
            <v>0</v>
          </cell>
          <cell r="AV17">
            <v>45069.282838916923</v>
          </cell>
          <cell r="AW17">
            <v>0</v>
          </cell>
          <cell r="AX17">
            <v>50018.124831324101</v>
          </cell>
          <cell r="AY17">
            <v>0</v>
          </cell>
          <cell r="AZ17">
            <v>0</v>
          </cell>
          <cell r="BA17">
            <v>43243.515538680484</v>
          </cell>
          <cell r="BB17">
            <v>0</v>
          </cell>
          <cell r="BC17">
            <v>46099.477087225619</v>
          </cell>
          <cell r="BD17">
            <v>44742.573534027775</v>
          </cell>
          <cell r="BE17">
            <v>58565.934241190407</v>
          </cell>
          <cell r="BF17">
            <v>41677.93929005992</v>
          </cell>
          <cell r="BG17">
            <v>32212.491469763518</v>
          </cell>
          <cell r="BH17">
            <v>50687.540251228871</v>
          </cell>
          <cell r="BI17">
            <v>50219.096795763806</v>
          </cell>
          <cell r="BJ17">
            <v>0</v>
          </cell>
          <cell r="BK17">
            <v>0</v>
          </cell>
          <cell r="BL17">
            <v>38581.611408010533</v>
          </cell>
          <cell r="BM17">
            <v>44302.279554927998</v>
          </cell>
          <cell r="BN17">
            <v>83276.888189519072</v>
          </cell>
          <cell r="BO17">
            <v>0</v>
          </cell>
          <cell r="BP17">
            <v>55044.43535575617</v>
          </cell>
          <cell r="BQ17">
            <v>0</v>
          </cell>
          <cell r="BR17">
            <v>36552.638527880532</v>
          </cell>
          <cell r="BS17">
            <v>47424.660579208445</v>
          </cell>
          <cell r="BT17">
            <v>150755.23668981303</v>
          </cell>
          <cell r="BU17">
            <v>0.32069388824974293</v>
          </cell>
          <cell r="BV17">
            <v>2912.2289192118897</v>
          </cell>
          <cell r="BW17">
            <v>151723.29533397366</v>
          </cell>
          <cell r="BX17">
            <v>16570.598747680604</v>
          </cell>
          <cell r="BY17">
            <v>118585.45997877767</v>
          </cell>
          <cell r="BZ17">
            <v>147257.39407209147</v>
          </cell>
          <cell r="CA17">
            <v>978326.10320380819</v>
          </cell>
          <cell r="CB17">
            <v>0.25042601822107141</v>
          </cell>
          <cell r="CC17">
            <v>128091.30805960626</v>
          </cell>
          <cell r="CD17">
            <v>3986.8888888888891</v>
          </cell>
          <cell r="CE17">
            <v>75440.504907295966</v>
          </cell>
          <cell r="CF17">
            <v>0</v>
          </cell>
          <cell r="CG17">
            <v>380176.03143925738</v>
          </cell>
          <cell r="CH17">
            <v>22663.535193442302</v>
          </cell>
          <cell r="CI17">
            <v>545344.28005124885</v>
          </cell>
          <cell r="CJ17">
            <v>151723.29533397366</v>
          </cell>
          <cell r="CK17">
            <v>197734.42915178384</v>
          </cell>
          <cell r="CL17">
            <v>118585.45997877767</v>
          </cell>
          <cell r="CM17">
            <v>29890.479421580461</v>
          </cell>
          <cell r="CN17">
            <v>147257.39407209147</v>
          </cell>
          <cell r="CO17">
            <v>1089309.6094260877</v>
          </cell>
          <cell r="CP17">
            <v>0.57264289117447187</v>
          </cell>
          <cell r="CQ17">
            <v>0.16444868462466383</v>
          </cell>
          <cell r="CR17">
            <v>0.27256857639882115</v>
          </cell>
          <cell r="CS17">
            <v>0.13894155704156949</v>
          </cell>
          <cell r="CT17">
            <v>4.4168145997336816E-2</v>
          </cell>
          <cell r="CU17">
            <v>0.20685205485330183</v>
          </cell>
          <cell r="CV17">
            <v>4201.7815704036766</v>
          </cell>
          <cell r="CW17">
            <v>1014.3870834167021</v>
          </cell>
          <cell r="CX17">
            <v>2337.4128583093789</v>
          </cell>
          <cell r="CY17">
            <v>847.79171190878606</v>
          </cell>
          <cell r="CZ17">
            <v>88.544805820073805</v>
          </cell>
          <cell r="DA17">
            <v>1985.0592580678128</v>
          </cell>
          <cell r="DB17">
            <v>10474.602907746519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80 model shells 011514"/>
      <sheetName val="4919 Models011414"/>
      <sheetName val="4919 Models123113"/>
      <sheetName val="Orig FY08 3380"/>
      <sheetName val="Cats3380&amp;4919only"/>
      <sheetName val="ALLCleanData"/>
      <sheetName val="Profit.Loss"/>
      <sheetName val="Per Day Templte"/>
      <sheetName val="CAF123113"/>
      <sheetName val="MMARS"/>
      <sheetName val="UFRBedSizes"/>
      <sheetName val="RateOptions"/>
      <sheetName val="CostSummary"/>
      <sheetName val="Categories Template"/>
      <sheetName val="ALLRawDataCalcs"/>
      <sheetName val="ALLCleanData (2)"/>
      <sheetName val="ALLRawDataCalcs (2)"/>
      <sheetName val="Lookups"/>
      <sheetName val="Source"/>
      <sheetName val="AdminAnlys"/>
      <sheetName val="Relief"/>
      <sheetName val="CAF"/>
      <sheetName val="Resi Rehab Models112213"/>
    </sheetNames>
    <sheetDataSet>
      <sheetData sheetId="0"/>
      <sheetData sheetId="1"/>
      <sheetData sheetId="2"/>
      <sheetData sheetId="3"/>
      <sheetData sheetId="4"/>
      <sheetData sheetId="5">
        <row r="19">
          <cell r="BU19">
            <v>0.25847388668526805</v>
          </cell>
        </row>
      </sheetData>
      <sheetData sheetId="6"/>
      <sheetData sheetId="7"/>
      <sheetData sheetId="8">
        <row r="20">
          <cell r="L20">
            <v>2.0472364727519208E-2</v>
          </cell>
        </row>
      </sheetData>
      <sheetData sheetId="9"/>
      <sheetData sheetId="10"/>
      <sheetData sheetId="11"/>
      <sheetData sheetId="12"/>
      <sheetData sheetId="13"/>
      <sheetData sheetId="14">
        <row r="16">
          <cell r="L16">
            <v>0</v>
          </cell>
          <cell r="M16">
            <v>0.44260542800743741</v>
          </cell>
          <cell r="N16">
            <v>3.4703517563273945E-2</v>
          </cell>
          <cell r="O16">
            <v>0</v>
          </cell>
          <cell r="P16">
            <v>0</v>
          </cell>
          <cell r="Q16">
            <v>0</v>
          </cell>
          <cell r="R16">
            <v>3.8811690264377194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36871.266947806929</v>
          </cell>
          <cell r="AA16">
            <v>19472.924941039913</v>
          </cell>
          <cell r="AB16">
            <v>0</v>
          </cell>
          <cell r="AC16">
            <v>18911.129936021498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23859.120535267313</v>
          </cell>
          <cell r="AS16">
            <v>0</v>
          </cell>
          <cell r="AT16">
            <v>0</v>
          </cell>
          <cell r="AU16">
            <v>0</v>
          </cell>
          <cell r="AV16">
            <v>35824.024853390765</v>
          </cell>
          <cell r="AW16">
            <v>0</v>
          </cell>
          <cell r="AX16">
            <v>29498.522150873039</v>
          </cell>
          <cell r="AY16">
            <v>0</v>
          </cell>
          <cell r="AZ16">
            <v>0</v>
          </cell>
          <cell r="BA16">
            <v>22887.74671547029</v>
          </cell>
          <cell r="BB16">
            <v>0</v>
          </cell>
          <cell r="BC16">
            <v>17845.068078169807</v>
          </cell>
          <cell r="BD16">
            <v>35107.824614120371</v>
          </cell>
          <cell r="BE16">
            <v>17680</v>
          </cell>
          <cell r="BF16">
            <v>17680</v>
          </cell>
          <cell r="BG16">
            <v>20717.453135949465</v>
          </cell>
          <cell r="BH16">
            <v>17680</v>
          </cell>
          <cell r="BI16">
            <v>17680</v>
          </cell>
          <cell r="BJ16">
            <v>0</v>
          </cell>
          <cell r="BK16">
            <v>0</v>
          </cell>
          <cell r="BL16">
            <v>26732.034994854777</v>
          </cell>
          <cell r="BM16">
            <v>17680</v>
          </cell>
          <cell r="BN16">
            <v>43421.949487830992</v>
          </cell>
          <cell r="BO16">
            <v>0</v>
          </cell>
          <cell r="BP16">
            <v>22136.25755456202</v>
          </cell>
          <cell r="BQ16">
            <v>0</v>
          </cell>
          <cell r="BR16">
            <v>24907.442344182902</v>
          </cell>
          <cell r="BS16">
            <v>17680</v>
          </cell>
          <cell r="BT16">
            <v>37873.756643520283</v>
          </cell>
          <cell r="BU16">
            <v>0.1962538851207932</v>
          </cell>
          <cell r="BV16">
            <v>-2048.3637679322801</v>
          </cell>
          <cell r="BW16">
            <v>36041.832848080041</v>
          </cell>
          <cell r="BX16">
            <v>-7504.1609699028268</v>
          </cell>
          <cell r="BY16">
            <v>-3776.4644232221181</v>
          </cell>
          <cell r="BZ16">
            <v>52778.632679188158</v>
          </cell>
          <cell r="CA16">
            <v>312372.22942269017</v>
          </cell>
          <cell r="CB16">
            <v>7.4348837914167062E-2</v>
          </cell>
          <cell r="CC16">
            <v>6018.4808292826419</v>
          </cell>
          <cell r="CD16">
            <v>-2847.7777777777778</v>
          </cell>
          <cell r="CE16">
            <v>-32209.376018407071</v>
          </cell>
          <cell r="CF16">
            <v>0</v>
          </cell>
          <cell r="CG16">
            <v>127867.31522740918</v>
          </cell>
          <cell r="CH16">
            <v>-11999.492971220081</v>
          </cell>
          <cell r="CI16">
            <v>151843.13772652898</v>
          </cell>
          <cell r="CJ16">
            <v>36041.832848080041</v>
          </cell>
          <cell r="CK16">
            <v>28268.893070438382</v>
          </cell>
          <cell r="CL16">
            <v>-3776.4644232221181</v>
          </cell>
          <cell r="CM16">
            <v>1091.8250228639808</v>
          </cell>
          <cell r="CN16">
            <v>52778.632679188158</v>
          </cell>
          <cell r="CO16">
            <v>367473.58550724579</v>
          </cell>
          <cell r="CP16">
            <v>0.37974321409825734</v>
          </cell>
          <cell r="CQ16">
            <v>9.0568024781908674E-2</v>
          </cell>
          <cell r="CR16">
            <v>4.2658818779575294E-2</v>
          </cell>
          <cell r="CS16">
            <v>1.0942215249647447E-2</v>
          </cell>
          <cell r="CT16">
            <v>-5.5289095085270593E-4</v>
          </cell>
          <cell r="CU16">
            <v>7.7018707951299115E-2</v>
          </cell>
          <cell r="CV16">
            <v>-2709.292411049797</v>
          </cell>
          <cell r="CW16">
            <v>-650.94578809479276</v>
          </cell>
          <cell r="CX16">
            <v>-1555.9288157744643</v>
          </cell>
          <cell r="CY16">
            <v>-555.67005365157775</v>
          </cell>
          <cell r="CZ16">
            <v>-52.681813325173835</v>
          </cell>
          <cell r="DA16">
            <v>-1308.517887138544</v>
          </cell>
          <cell r="DB16">
            <v>-6832.6623888544373</v>
          </cell>
        </row>
        <row r="17">
          <cell r="L17">
            <v>20.733371597246556</v>
          </cell>
          <cell r="M17">
            <v>1.207291074609621</v>
          </cell>
          <cell r="N17">
            <v>2.5235280953399521</v>
          </cell>
          <cell r="O17">
            <v>0</v>
          </cell>
          <cell r="P17">
            <v>1.9120786752901677</v>
          </cell>
          <cell r="Q17">
            <v>0</v>
          </cell>
          <cell r="R17">
            <v>14.374245916091015</v>
          </cell>
          <cell r="S17">
            <v>1.142182068728063</v>
          </cell>
          <cell r="T17">
            <v>5.2316004673250323</v>
          </cell>
          <cell r="U17">
            <v>0</v>
          </cell>
          <cell r="V17">
            <v>8.1824576893038348</v>
          </cell>
          <cell r="W17">
            <v>0</v>
          </cell>
          <cell r="X17">
            <v>32.812800359427158</v>
          </cell>
          <cell r="Y17">
            <v>0.78400692365729419</v>
          </cell>
          <cell r="Z17">
            <v>84494.553049931492</v>
          </cell>
          <cell r="AA17">
            <v>112515.62287412578</v>
          </cell>
          <cell r="AB17">
            <v>0</v>
          </cell>
          <cell r="AC17">
            <v>130894.63138085094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30239.396853710758</v>
          </cell>
          <cell r="AS17">
            <v>0</v>
          </cell>
          <cell r="AT17">
            <v>0</v>
          </cell>
          <cell r="AU17">
            <v>0</v>
          </cell>
          <cell r="AV17">
            <v>45069.282838916923</v>
          </cell>
          <cell r="AW17">
            <v>0</v>
          </cell>
          <cell r="AX17">
            <v>50018.124831324101</v>
          </cell>
          <cell r="AY17">
            <v>0</v>
          </cell>
          <cell r="AZ17">
            <v>0</v>
          </cell>
          <cell r="BA17">
            <v>43243.515538680484</v>
          </cell>
          <cell r="BB17">
            <v>0</v>
          </cell>
          <cell r="BC17">
            <v>46099.477087225619</v>
          </cell>
          <cell r="BD17">
            <v>44742.573534027775</v>
          </cell>
          <cell r="BE17">
            <v>58565.934241190407</v>
          </cell>
          <cell r="BF17">
            <v>41677.93929005992</v>
          </cell>
          <cell r="BG17">
            <v>32212.491469763518</v>
          </cell>
          <cell r="BH17">
            <v>50687.540251228871</v>
          </cell>
          <cell r="BI17">
            <v>50219.096795763806</v>
          </cell>
          <cell r="BJ17">
            <v>0</v>
          </cell>
          <cell r="BK17">
            <v>0</v>
          </cell>
          <cell r="BL17">
            <v>38581.611408010533</v>
          </cell>
          <cell r="BM17">
            <v>44302.279554927998</v>
          </cell>
          <cell r="BN17">
            <v>83276.888189519072</v>
          </cell>
          <cell r="BO17">
            <v>0</v>
          </cell>
          <cell r="BP17">
            <v>55044.43535575617</v>
          </cell>
          <cell r="BQ17">
            <v>0</v>
          </cell>
          <cell r="BR17">
            <v>36552.638527880532</v>
          </cell>
          <cell r="BS17">
            <v>47424.660579208445</v>
          </cell>
          <cell r="BT17">
            <v>150755.23668981303</v>
          </cell>
          <cell r="BU17">
            <v>0.32069388824974293</v>
          </cell>
          <cell r="BV17">
            <v>2912.2289192118897</v>
          </cell>
          <cell r="BW17">
            <v>151723.29533397366</v>
          </cell>
          <cell r="BX17">
            <v>16570.598747680604</v>
          </cell>
          <cell r="BY17">
            <v>118585.45997877767</v>
          </cell>
          <cell r="BZ17">
            <v>147257.39407209147</v>
          </cell>
          <cell r="CA17">
            <v>978326.10320380819</v>
          </cell>
          <cell r="CB17">
            <v>0.25042601822107141</v>
          </cell>
          <cell r="CC17">
            <v>128091.30805960626</v>
          </cell>
          <cell r="CD17">
            <v>3986.8888888888891</v>
          </cell>
          <cell r="CE17">
            <v>75440.504907295966</v>
          </cell>
          <cell r="CF17">
            <v>0</v>
          </cell>
          <cell r="CG17">
            <v>380176.03143925738</v>
          </cell>
          <cell r="CH17">
            <v>22663.535193442302</v>
          </cell>
          <cell r="CI17">
            <v>545344.28005124885</v>
          </cell>
          <cell r="CJ17">
            <v>151723.29533397366</v>
          </cell>
          <cell r="CK17">
            <v>197734.42915178384</v>
          </cell>
          <cell r="CL17">
            <v>118585.45997877767</v>
          </cell>
          <cell r="CM17">
            <v>29890.479421580461</v>
          </cell>
          <cell r="CN17">
            <v>147257.39407209147</v>
          </cell>
          <cell r="CO17">
            <v>1089309.6094260877</v>
          </cell>
          <cell r="CP17">
            <v>0.57264289117447187</v>
          </cell>
          <cell r="CQ17">
            <v>0.16444868462466383</v>
          </cell>
          <cell r="CR17">
            <v>0.27256857639882115</v>
          </cell>
          <cell r="CS17">
            <v>0.13894155704156949</v>
          </cell>
          <cell r="CT17">
            <v>4.4168145997336816E-2</v>
          </cell>
          <cell r="CU17">
            <v>0.20685205485330183</v>
          </cell>
          <cell r="CV17">
            <v>4201.7815704036766</v>
          </cell>
          <cell r="CW17">
            <v>1014.3870834167021</v>
          </cell>
          <cell r="CX17">
            <v>2337.4128583093789</v>
          </cell>
          <cell r="CY17">
            <v>847.79171190878606</v>
          </cell>
          <cell r="CZ17">
            <v>88.544805820073805</v>
          </cell>
          <cell r="DA17">
            <v>1985.0592580678128</v>
          </cell>
          <cell r="DB17">
            <v>10474.602907746519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2:M66"/>
  <sheetViews>
    <sheetView topLeftCell="A50" zoomScaleNormal="100" workbookViewId="0">
      <selection activeCell="F79" sqref="F79"/>
    </sheetView>
  </sheetViews>
  <sheetFormatPr defaultColWidth="9.140625" defaultRowHeight="15"/>
  <cols>
    <col min="1" max="1" width="5.85546875" style="348" customWidth="1"/>
    <col min="2" max="2" width="33.28515625" style="348" customWidth="1"/>
    <col min="3" max="3" width="19.42578125" style="352" bestFit="1" customWidth="1"/>
    <col min="4" max="4" width="16.42578125" style="352" hidden="1" customWidth="1"/>
    <col min="5" max="5" width="10.5703125" style="348" customWidth="1"/>
    <col min="6" max="6" width="57.85546875" style="348" customWidth="1"/>
    <col min="7" max="7" width="9.140625" style="348"/>
    <col min="8" max="8" width="21.140625" style="348" customWidth="1"/>
    <col min="9" max="9" width="11.5703125" style="348" bestFit="1" customWidth="1"/>
    <col min="10" max="10" width="14.28515625" style="348" bestFit="1" customWidth="1"/>
    <col min="11" max="16384" width="9.140625" style="348"/>
  </cols>
  <sheetData>
    <row r="2" spans="2:13" ht="18.75" hidden="1">
      <c r="B2" s="21" t="s">
        <v>47</v>
      </c>
      <c r="C2" s="22"/>
      <c r="D2" s="23"/>
      <c r="F2" s="460"/>
    </row>
    <row r="3" spans="2:13" hidden="1">
      <c r="B3" s="25"/>
      <c r="C3" s="26" t="s">
        <v>49</v>
      </c>
      <c r="D3" s="27" t="s">
        <v>50</v>
      </c>
      <c r="E3" s="437"/>
      <c r="F3" s="437"/>
    </row>
    <row r="4" spans="2:13" hidden="1">
      <c r="B4" s="25" t="s">
        <v>52</v>
      </c>
      <c r="C4" s="26">
        <v>2080</v>
      </c>
      <c r="D4" s="27">
        <v>365</v>
      </c>
      <c r="E4" s="1066"/>
      <c r="F4" s="1066"/>
    </row>
    <row r="5" spans="2:13" hidden="1">
      <c r="B5" s="25" t="s">
        <v>53</v>
      </c>
      <c r="C5" s="26">
        <f>D5*8</f>
        <v>80</v>
      </c>
      <c r="D5" s="27">
        <v>10</v>
      </c>
      <c r="E5" s="375"/>
      <c r="F5" s="375"/>
    </row>
    <row r="6" spans="2:13" hidden="1">
      <c r="B6" s="25" t="s">
        <v>55</v>
      </c>
      <c r="C6" s="26">
        <f>D6*8</f>
        <v>80</v>
      </c>
      <c r="D6" s="27">
        <v>10</v>
      </c>
      <c r="E6" s="375"/>
      <c r="F6" s="375"/>
    </row>
    <row r="7" spans="2:13" hidden="1">
      <c r="B7" s="25" t="s">
        <v>57</v>
      </c>
      <c r="C7" s="26">
        <f>D7*8</f>
        <v>80</v>
      </c>
      <c r="D7" s="27">
        <v>10</v>
      </c>
      <c r="E7" s="375"/>
      <c r="F7" s="375"/>
    </row>
    <row r="8" spans="2:13" hidden="1">
      <c r="B8" s="32" t="s">
        <v>59</v>
      </c>
      <c r="C8" s="26">
        <f>D8*8</f>
        <v>80</v>
      </c>
      <c r="D8" s="33">
        <v>10</v>
      </c>
      <c r="E8" s="375"/>
      <c r="F8" s="375"/>
    </row>
    <row r="9" spans="2:13" hidden="1">
      <c r="B9" s="34" t="s">
        <v>61</v>
      </c>
      <c r="C9" s="35">
        <f>SUM(C5:C8)</f>
        <v>320</v>
      </c>
      <c r="D9" s="36"/>
      <c r="E9" s="375"/>
      <c r="F9" s="375"/>
      <c r="K9" s="350"/>
      <c r="L9" s="350"/>
      <c r="M9" s="350"/>
    </row>
    <row r="10" spans="2:13" ht="15.75" hidden="1" thickBot="1">
      <c r="B10" s="37" t="s">
        <v>63</v>
      </c>
      <c r="C10" s="38">
        <f>C9/C4</f>
        <v>0.15384615384615385</v>
      </c>
      <c r="D10" s="39"/>
      <c r="E10" s="375"/>
      <c r="F10" s="375"/>
      <c r="K10" s="350"/>
      <c r="L10" s="350"/>
      <c r="M10" s="350"/>
    </row>
    <row r="11" spans="2:13">
      <c r="B11" s="438"/>
      <c r="C11" s="363"/>
      <c r="D11" s="376"/>
      <c r="E11" s="375"/>
      <c r="F11" s="375"/>
      <c r="K11" s="350"/>
      <c r="L11" s="350"/>
      <c r="M11" s="350"/>
    </row>
    <row r="12" spans="2:13" ht="15.75" thickBot="1">
      <c r="B12" s="375"/>
      <c r="C12" s="357"/>
      <c r="D12" s="377"/>
      <c r="E12" s="375"/>
      <c r="F12" s="375"/>
    </row>
    <row r="13" spans="2:13" ht="15.75" thickBot="1">
      <c r="B13" s="1067" t="s">
        <v>234</v>
      </c>
      <c r="C13" s="1068"/>
      <c r="D13" s="1068"/>
      <c r="E13" s="1068"/>
      <c r="F13" s="1069"/>
    </row>
    <row r="14" spans="2:13">
      <c r="B14" s="455"/>
      <c r="C14" s="456"/>
      <c r="D14" s="457" t="s">
        <v>235</v>
      </c>
      <c r="E14" s="458"/>
      <c r="F14" s="459" t="s">
        <v>273</v>
      </c>
      <c r="H14" s="351"/>
    </row>
    <row r="15" spans="2:13">
      <c r="B15" s="396" t="s">
        <v>256</v>
      </c>
      <c r="C15" s="439">
        <v>62995</v>
      </c>
      <c r="D15" s="363" t="s">
        <v>242</v>
      </c>
      <c r="E15" s="351"/>
      <c r="F15" s="451"/>
    </row>
    <row r="16" spans="2:13">
      <c r="B16" s="396" t="s">
        <v>129</v>
      </c>
      <c r="C16" s="439">
        <v>57412</v>
      </c>
      <c r="D16" s="363"/>
      <c r="E16" s="351"/>
      <c r="F16" s="451" t="s">
        <v>274</v>
      </c>
      <c r="H16" s="379"/>
    </row>
    <row r="17" spans="2:10">
      <c r="B17" s="364" t="s">
        <v>239</v>
      </c>
      <c r="C17" s="441">
        <v>55868</v>
      </c>
      <c r="D17" s="363" t="s">
        <v>253</v>
      </c>
      <c r="E17" s="365"/>
      <c r="F17" s="463" t="s">
        <v>287</v>
      </c>
      <c r="I17" s="380"/>
      <c r="J17" s="380"/>
    </row>
    <row r="18" spans="2:10">
      <c r="B18" s="364" t="s">
        <v>12</v>
      </c>
      <c r="C18" s="441">
        <v>55868</v>
      </c>
      <c r="D18" s="363"/>
      <c r="E18" s="365"/>
      <c r="F18" s="463" t="s">
        <v>286</v>
      </c>
      <c r="I18" s="379"/>
      <c r="J18" s="379"/>
    </row>
    <row r="19" spans="2:10">
      <c r="B19" s="364" t="s">
        <v>257</v>
      </c>
      <c r="C19" s="441">
        <v>55868</v>
      </c>
      <c r="D19" s="363"/>
      <c r="E19" s="365"/>
      <c r="F19" s="463" t="s">
        <v>288</v>
      </c>
      <c r="I19" s="378"/>
      <c r="J19" s="378"/>
    </row>
    <row r="20" spans="2:10">
      <c r="B20" s="366" t="s">
        <v>240</v>
      </c>
      <c r="C20" s="441">
        <v>70936</v>
      </c>
      <c r="D20" s="363" t="s">
        <v>244</v>
      </c>
      <c r="E20" s="365"/>
      <c r="F20" s="451"/>
      <c r="I20" s="378"/>
      <c r="J20" s="378"/>
    </row>
    <row r="21" spans="2:10">
      <c r="B21" s="366" t="s">
        <v>13</v>
      </c>
      <c r="C21" s="440">
        <v>33792</v>
      </c>
      <c r="D21" s="363"/>
      <c r="E21" s="365"/>
      <c r="F21" s="451"/>
      <c r="I21" s="378"/>
      <c r="J21" s="378"/>
    </row>
    <row r="22" spans="2:10">
      <c r="B22" s="366" t="s">
        <v>130</v>
      </c>
      <c r="C22" s="440">
        <v>54841</v>
      </c>
      <c r="D22" s="363"/>
      <c r="E22" s="365"/>
      <c r="F22" s="451" t="s">
        <v>275</v>
      </c>
      <c r="I22" s="378"/>
      <c r="J22" s="378"/>
    </row>
    <row r="23" spans="2:10">
      <c r="B23" s="366" t="s">
        <v>15</v>
      </c>
      <c r="C23" s="441">
        <v>41972</v>
      </c>
      <c r="D23" s="363"/>
      <c r="E23" s="365"/>
      <c r="F23" s="451"/>
      <c r="H23" s="379"/>
      <c r="J23" s="349"/>
    </row>
    <row r="24" spans="2:10">
      <c r="B24" s="443" t="s">
        <v>15</v>
      </c>
      <c r="C24" s="441">
        <v>40562</v>
      </c>
      <c r="D24" s="363" t="s">
        <v>245</v>
      </c>
      <c r="E24" s="365"/>
      <c r="F24" s="451"/>
      <c r="H24" s="379"/>
      <c r="J24" s="349"/>
    </row>
    <row r="25" spans="2:10">
      <c r="B25" s="444" t="s">
        <v>241</v>
      </c>
      <c r="C25" s="440">
        <v>40562</v>
      </c>
      <c r="D25" s="363" t="s">
        <v>247</v>
      </c>
      <c r="E25" s="365"/>
      <c r="F25" s="451"/>
      <c r="J25" s="353"/>
    </row>
    <row r="26" spans="2:10">
      <c r="B26" s="367" t="s">
        <v>248</v>
      </c>
      <c r="C26" s="440">
        <v>36128</v>
      </c>
      <c r="D26" s="363" t="s">
        <v>249</v>
      </c>
      <c r="E26" s="365"/>
      <c r="F26" s="451"/>
      <c r="I26" s="380"/>
      <c r="J26" s="380"/>
    </row>
    <row r="27" spans="2:10">
      <c r="B27" s="367" t="s">
        <v>277</v>
      </c>
      <c r="C27" s="441">
        <v>36128</v>
      </c>
      <c r="D27" s="363" t="s">
        <v>255</v>
      </c>
      <c r="E27" s="365"/>
      <c r="F27" s="451"/>
    </row>
    <row r="28" spans="2:10">
      <c r="B28" s="367" t="s">
        <v>76</v>
      </c>
      <c r="C28" s="441">
        <v>35695</v>
      </c>
      <c r="D28" s="363"/>
      <c r="E28" s="365"/>
      <c r="F28" s="451"/>
    </row>
    <row r="29" spans="2:10">
      <c r="B29" s="367" t="s">
        <v>254</v>
      </c>
      <c r="C29" s="441">
        <v>33979</v>
      </c>
      <c r="D29" s="363"/>
      <c r="E29" s="365"/>
      <c r="F29" s="452"/>
      <c r="H29" s="464"/>
    </row>
    <row r="30" spans="2:10">
      <c r="B30" s="367" t="s">
        <v>133</v>
      </c>
      <c r="C30" s="441">
        <v>30480</v>
      </c>
      <c r="D30" s="363"/>
      <c r="E30" s="365"/>
      <c r="F30" s="452"/>
    </row>
    <row r="31" spans="2:10">
      <c r="B31" s="367" t="s">
        <v>74</v>
      </c>
      <c r="C31" s="441">
        <v>30480</v>
      </c>
      <c r="D31" s="363" t="s">
        <v>252</v>
      </c>
      <c r="E31" s="365"/>
      <c r="F31" s="452"/>
    </row>
    <row r="32" spans="2:10">
      <c r="B32" s="367" t="s">
        <v>75</v>
      </c>
      <c r="C32" s="441">
        <v>30480</v>
      </c>
      <c r="D32" s="363"/>
      <c r="E32" s="365"/>
      <c r="F32" s="452"/>
    </row>
    <row r="33" spans="2:9">
      <c r="B33" s="367" t="s">
        <v>236</v>
      </c>
      <c r="C33" s="441">
        <v>30480</v>
      </c>
      <c r="D33" s="363" t="s">
        <v>250</v>
      </c>
      <c r="E33" s="365"/>
      <c r="F33" s="452"/>
      <c r="H33" s="465"/>
      <c r="I33" s="446"/>
    </row>
    <row r="34" spans="2:9">
      <c r="B34" s="367" t="s">
        <v>14</v>
      </c>
      <c r="C34" s="441">
        <v>30480</v>
      </c>
      <c r="D34" s="363" t="s">
        <v>243</v>
      </c>
      <c r="E34" s="365"/>
      <c r="F34" s="452"/>
    </row>
    <row r="35" spans="2:9">
      <c r="B35" s="367" t="s">
        <v>76</v>
      </c>
      <c r="C35" s="441">
        <v>30480</v>
      </c>
      <c r="D35" s="363" t="s">
        <v>251</v>
      </c>
      <c r="E35" s="365"/>
      <c r="F35" s="452"/>
      <c r="G35" s="358"/>
    </row>
    <row r="36" spans="2:9" ht="1.5" customHeight="1">
      <c r="B36" s="409"/>
      <c r="C36" s="442"/>
      <c r="D36" s="407"/>
      <c r="E36" s="408"/>
      <c r="F36" s="432"/>
    </row>
    <row r="37" spans="2:9" ht="0.75" customHeight="1">
      <c r="B37" s="367"/>
      <c r="C37" s="405"/>
      <c r="D37" s="405"/>
      <c r="E37" s="406"/>
      <c r="F37" s="453"/>
    </row>
    <row r="38" spans="2:9" ht="31.5" customHeight="1">
      <c r="B38" s="368"/>
      <c r="C38" s="369"/>
      <c r="D38" s="449" t="s">
        <v>24</v>
      </c>
      <c r="E38" s="450" t="s">
        <v>237</v>
      </c>
      <c r="F38" s="453"/>
    </row>
    <row r="39" spans="2:9">
      <c r="B39" s="368" t="s">
        <v>304</v>
      </c>
      <c r="C39" s="369"/>
      <c r="D39" s="369"/>
      <c r="E39" s="495">
        <v>6.3E-3</v>
      </c>
      <c r="F39" s="454"/>
    </row>
    <row r="40" spans="2:9">
      <c r="B40" s="368" t="s">
        <v>25</v>
      </c>
      <c r="C40" s="369"/>
      <c r="D40" s="369"/>
      <c r="E40" s="370">
        <v>13.208721912893836</v>
      </c>
      <c r="F40" s="371" t="s">
        <v>259</v>
      </c>
    </row>
    <row r="41" spans="2:9">
      <c r="B41" s="368" t="s">
        <v>25</v>
      </c>
      <c r="C41" s="369"/>
      <c r="D41" s="369"/>
      <c r="E41" s="370">
        <v>13.500493901243001</v>
      </c>
      <c r="F41" s="371" t="s">
        <v>258</v>
      </c>
    </row>
    <row r="42" spans="2:9">
      <c r="B42" s="368" t="s">
        <v>25</v>
      </c>
      <c r="C42" s="369"/>
      <c r="D42" s="369"/>
      <c r="E42" s="370">
        <v>26.83</v>
      </c>
      <c r="F42" s="371" t="s">
        <v>278</v>
      </c>
    </row>
    <row r="43" spans="2:9">
      <c r="B43" s="368" t="s">
        <v>27</v>
      </c>
      <c r="C43" s="369"/>
      <c r="D43" s="369"/>
      <c r="E43" s="370">
        <v>8.36</v>
      </c>
      <c r="F43" s="371" t="s">
        <v>280</v>
      </c>
      <c r="G43" s="446"/>
    </row>
    <row r="44" spans="2:9">
      <c r="B44" s="368" t="s">
        <v>27</v>
      </c>
      <c r="C44" s="369"/>
      <c r="D44" s="369"/>
      <c r="E44" s="370">
        <v>8.68</v>
      </c>
      <c r="F44" s="371" t="s">
        <v>278</v>
      </c>
    </row>
    <row r="45" spans="2:9">
      <c r="B45" s="368" t="s">
        <v>29</v>
      </c>
      <c r="C45" s="369"/>
      <c r="D45" s="369"/>
      <c r="E45" s="370">
        <v>0.56999999999999995</v>
      </c>
      <c r="F45" s="371" t="s">
        <v>282</v>
      </c>
    </row>
    <row r="46" spans="2:9">
      <c r="B46" s="368" t="s">
        <v>29</v>
      </c>
      <c r="C46" s="369"/>
      <c r="D46" s="369"/>
      <c r="E46" s="370">
        <v>1.3407125376974285</v>
      </c>
      <c r="F46" s="371" t="s">
        <v>259</v>
      </c>
    </row>
    <row r="47" spans="2:9">
      <c r="B47" s="368" t="s">
        <v>29</v>
      </c>
      <c r="C47" s="369"/>
      <c r="D47" s="369"/>
      <c r="E47" s="370">
        <v>1.4817285866755505</v>
      </c>
      <c r="F47" s="371" t="s">
        <v>258</v>
      </c>
    </row>
    <row r="48" spans="2:9">
      <c r="B48" s="368" t="s">
        <v>29</v>
      </c>
      <c r="C48" s="369"/>
      <c r="D48" s="369"/>
      <c r="E48" s="370">
        <v>1.7727697839554795</v>
      </c>
      <c r="F48" s="415" t="s">
        <v>262</v>
      </c>
      <c r="G48" s="349"/>
    </row>
    <row r="49" spans="2:7">
      <c r="B49" s="368" t="s">
        <v>29</v>
      </c>
      <c r="C49" s="369"/>
      <c r="D49" s="369"/>
      <c r="E49" s="370">
        <v>1.78</v>
      </c>
      <c r="F49" s="415" t="s">
        <v>279</v>
      </c>
      <c r="G49" s="349"/>
    </row>
    <row r="50" spans="2:7">
      <c r="B50" s="368" t="s">
        <v>97</v>
      </c>
      <c r="C50" s="369"/>
      <c r="D50" s="369"/>
      <c r="E50" s="370">
        <v>0.26</v>
      </c>
      <c r="F50" s="415" t="s">
        <v>282</v>
      </c>
      <c r="G50" s="349"/>
    </row>
    <row r="51" spans="2:7">
      <c r="B51" s="368" t="s">
        <v>97</v>
      </c>
      <c r="C51" s="369"/>
      <c r="D51" s="369"/>
      <c r="E51" s="370">
        <v>0.59</v>
      </c>
      <c r="F51" s="371" t="s">
        <v>259</v>
      </c>
      <c r="G51" s="349"/>
    </row>
    <row r="52" spans="2:7">
      <c r="B52" s="368" t="s">
        <v>97</v>
      </c>
      <c r="C52" s="369"/>
      <c r="D52" s="369"/>
      <c r="E52" s="370">
        <v>1.3</v>
      </c>
      <c r="F52" s="371" t="s">
        <v>258</v>
      </c>
    </row>
    <row r="53" spans="2:7">
      <c r="B53" s="368" t="s">
        <v>97</v>
      </c>
      <c r="C53" s="369"/>
      <c r="D53" s="369"/>
      <c r="E53" s="370">
        <v>2.5123785782363015</v>
      </c>
      <c r="F53" s="371" t="s">
        <v>263</v>
      </c>
    </row>
    <row r="54" spans="2:7">
      <c r="B54" s="368" t="s">
        <v>10</v>
      </c>
      <c r="C54" s="369"/>
      <c r="D54" s="369"/>
      <c r="E54" s="370">
        <v>1.9</v>
      </c>
      <c r="F54" s="371" t="s">
        <v>278</v>
      </c>
    </row>
    <row r="55" spans="2:7">
      <c r="B55" s="368" t="s">
        <v>34</v>
      </c>
      <c r="C55" s="369"/>
      <c r="D55" s="369"/>
      <c r="E55" s="370">
        <v>0.36</v>
      </c>
      <c r="F55" s="371" t="s">
        <v>282</v>
      </c>
    </row>
    <row r="56" spans="2:7">
      <c r="B56" s="368" t="s">
        <v>34</v>
      </c>
      <c r="C56" s="369"/>
      <c r="D56" s="369"/>
      <c r="E56" s="372">
        <v>1.3437732898179298</v>
      </c>
      <c r="F56" s="371" t="s">
        <v>260</v>
      </c>
    </row>
    <row r="57" spans="2:7">
      <c r="B57" s="368" t="s">
        <v>34</v>
      </c>
      <c r="C57" s="369"/>
      <c r="D57" s="369"/>
      <c r="E57" s="372">
        <v>1.9398903684458961</v>
      </c>
      <c r="F57" s="371" t="s">
        <v>261</v>
      </c>
    </row>
    <row r="58" spans="2:7">
      <c r="B58" s="368" t="s">
        <v>34</v>
      </c>
      <c r="C58" s="369"/>
      <c r="D58" s="369"/>
      <c r="E58" s="372">
        <v>2.8951829223868373</v>
      </c>
      <c r="F58" s="415" t="s">
        <v>262</v>
      </c>
    </row>
    <row r="59" spans="2:7" ht="15.75" thickBot="1">
      <c r="B59" s="373" t="s">
        <v>34</v>
      </c>
      <c r="C59" s="374"/>
      <c r="D59" s="374"/>
      <c r="E59" s="372">
        <v>3.15</v>
      </c>
      <c r="F59" s="445" t="s">
        <v>279</v>
      </c>
    </row>
    <row r="60" spans="2:7" ht="15.75" thickBot="1">
      <c r="B60" s="354" t="s">
        <v>324</v>
      </c>
      <c r="C60" s="356">
        <f>C65</f>
        <v>2.3531493276716206E-2</v>
      </c>
      <c r="D60" s="355" t="s">
        <v>238</v>
      </c>
      <c r="E60" s="360"/>
      <c r="F60" s="359"/>
    </row>
    <row r="62" spans="2:7" ht="19.5" thickBot="1">
      <c r="B62" s="419" t="s">
        <v>264</v>
      </c>
      <c r="C62" s="417"/>
      <c r="D62" s="418"/>
    </row>
    <row r="63" spans="2:7">
      <c r="B63" s="420" t="s">
        <v>265</v>
      </c>
      <c r="C63" s="421" t="s">
        <v>266</v>
      </c>
      <c r="D63" s="1064" t="s">
        <v>267</v>
      </c>
      <c r="E63" s="1064"/>
      <c r="F63" s="1065"/>
    </row>
    <row r="64" spans="2:7">
      <c r="B64" s="422" t="s">
        <v>268</v>
      </c>
      <c r="C64" s="870">
        <v>0.12</v>
      </c>
      <c r="D64" s="433" t="s">
        <v>321</v>
      </c>
      <c r="E64" s="408"/>
      <c r="F64" s="432"/>
    </row>
    <row r="65" spans="2:6">
      <c r="B65" s="425" t="s">
        <v>269</v>
      </c>
      <c r="C65" s="423">
        <f>'CAF Fall 2018'!BQ23</f>
        <v>2.3531493276716206E-2</v>
      </c>
      <c r="D65" s="424" t="s">
        <v>271</v>
      </c>
      <c r="E65" s="434"/>
      <c r="F65" s="435"/>
    </row>
    <row r="66" spans="2:6" ht="15.75" thickBot="1">
      <c r="B66" s="426" t="s">
        <v>20</v>
      </c>
      <c r="C66" s="427">
        <v>0.22500000000000001</v>
      </c>
      <c r="D66" s="436" t="s">
        <v>270</v>
      </c>
      <c r="E66" s="430"/>
      <c r="F66" s="431"/>
    </row>
  </sheetData>
  <customSheetViews>
    <customSheetView guid="{B5837528-F556-4927-BE56-326C83C78B54}" fitToPage="1" topLeftCell="A43">
      <selection activeCell="F33" sqref="F33"/>
      <pageMargins left="0.2" right="0.2" top="0.25" bottom="0.25" header="0.3" footer="0.3"/>
      <pageSetup scale="59" orientation="landscape" r:id="rId1"/>
    </customSheetView>
    <customSheetView guid="{0E99B8F5-2809-4D97-8227-3422E522E04C}" fitToPage="1" topLeftCell="A52">
      <selection activeCell="C63" sqref="C63"/>
      <pageMargins left="0.2" right="0.2" top="0.25" bottom="0.25" header="0.3" footer="0.3"/>
      <pageSetup scale="59" orientation="landscape" r:id="rId2"/>
    </customSheetView>
  </customSheetViews>
  <mergeCells count="3">
    <mergeCell ref="D63:F63"/>
    <mergeCell ref="E4:F4"/>
    <mergeCell ref="B13:F13"/>
  </mergeCells>
  <pageMargins left="0.2" right="0.2" top="0.25" bottom="0.25" header="0.3" footer="0.3"/>
  <pageSetup scale="69" orientation="landscape" r:id="rId3"/>
  <headerFooter>
    <oddHeader>&amp;CMaster Lookup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B1:K46"/>
  <sheetViews>
    <sheetView topLeftCell="A16" zoomScale="90" zoomScaleNormal="90" workbookViewId="0">
      <selection activeCell="M17" sqref="M17"/>
    </sheetView>
  </sheetViews>
  <sheetFormatPr defaultRowHeight="15"/>
  <cols>
    <col min="1" max="1" width="5.7109375" customWidth="1"/>
    <col min="2" max="2" width="38" customWidth="1"/>
    <col min="3" max="3" width="14.7109375" bestFit="1" customWidth="1"/>
    <col min="4" max="4" width="12.7109375" customWidth="1"/>
    <col min="5" max="5" width="19.7109375" customWidth="1"/>
    <col min="6" max="6" width="3" customWidth="1"/>
    <col min="7" max="7" width="22.85546875" customWidth="1"/>
    <col min="8" max="8" width="12.140625" customWidth="1"/>
    <col min="9" max="9" width="12.28515625" customWidth="1"/>
    <col min="11" max="11" width="11.5703125" bestFit="1" customWidth="1"/>
    <col min="245" max="245" width="29.42578125" customWidth="1"/>
    <col min="255" max="255" width="29.42578125" customWidth="1"/>
    <col min="256" max="256" width="11.28515625" customWidth="1"/>
    <col min="258" max="258" width="12.42578125" customWidth="1"/>
    <col min="259" max="259" width="2.5703125" customWidth="1"/>
    <col min="260" max="260" width="2.140625" customWidth="1"/>
    <col min="261" max="261" width="22.85546875" customWidth="1"/>
    <col min="262" max="262" width="10.85546875" bestFit="1" customWidth="1"/>
    <col min="263" max="263" width="12.28515625" customWidth="1"/>
    <col min="501" max="501" width="29.42578125" customWidth="1"/>
    <col min="511" max="511" width="29.42578125" customWidth="1"/>
    <col min="512" max="512" width="11.28515625" customWidth="1"/>
    <col min="514" max="514" width="12.42578125" customWidth="1"/>
    <col min="515" max="515" width="2.5703125" customWidth="1"/>
    <col min="516" max="516" width="2.140625" customWidth="1"/>
    <col min="517" max="517" width="22.85546875" customWidth="1"/>
    <col min="518" max="518" width="10.85546875" bestFit="1" customWidth="1"/>
    <col min="519" max="519" width="12.28515625" customWidth="1"/>
    <col min="757" max="757" width="29.42578125" customWidth="1"/>
    <col min="767" max="767" width="29.42578125" customWidth="1"/>
    <col min="768" max="768" width="11.28515625" customWidth="1"/>
    <col min="770" max="770" width="12.42578125" customWidth="1"/>
    <col min="771" max="771" width="2.5703125" customWidth="1"/>
    <col min="772" max="772" width="2.140625" customWidth="1"/>
    <col min="773" max="773" width="22.85546875" customWidth="1"/>
    <col min="774" max="774" width="10.85546875" bestFit="1" customWidth="1"/>
    <col min="775" max="775" width="12.28515625" customWidth="1"/>
    <col min="1013" max="1013" width="29.42578125" customWidth="1"/>
    <col min="1023" max="1023" width="29.42578125" customWidth="1"/>
    <col min="1024" max="1024" width="11.28515625" customWidth="1"/>
    <col min="1026" max="1026" width="12.42578125" customWidth="1"/>
    <col min="1027" max="1027" width="2.5703125" customWidth="1"/>
    <col min="1028" max="1028" width="2.140625" customWidth="1"/>
    <col min="1029" max="1029" width="22.85546875" customWidth="1"/>
    <col min="1030" max="1030" width="10.85546875" bestFit="1" customWidth="1"/>
    <col min="1031" max="1031" width="12.28515625" customWidth="1"/>
    <col min="1269" max="1269" width="29.42578125" customWidth="1"/>
    <col min="1279" max="1279" width="29.42578125" customWidth="1"/>
    <col min="1280" max="1280" width="11.28515625" customWidth="1"/>
    <col min="1282" max="1282" width="12.42578125" customWidth="1"/>
    <col min="1283" max="1283" width="2.5703125" customWidth="1"/>
    <col min="1284" max="1284" width="2.140625" customWidth="1"/>
    <col min="1285" max="1285" width="22.85546875" customWidth="1"/>
    <col min="1286" max="1286" width="10.85546875" bestFit="1" customWidth="1"/>
    <col min="1287" max="1287" width="12.28515625" customWidth="1"/>
    <col min="1525" max="1525" width="29.42578125" customWidth="1"/>
    <col min="1535" max="1535" width="29.42578125" customWidth="1"/>
    <col min="1536" max="1536" width="11.28515625" customWidth="1"/>
    <col min="1538" max="1538" width="12.42578125" customWidth="1"/>
    <col min="1539" max="1539" width="2.5703125" customWidth="1"/>
    <col min="1540" max="1540" width="2.140625" customWidth="1"/>
    <col min="1541" max="1541" width="22.85546875" customWidth="1"/>
    <col min="1542" max="1542" width="10.85546875" bestFit="1" customWidth="1"/>
    <col min="1543" max="1543" width="12.28515625" customWidth="1"/>
    <col min="1781" max="1781" width="29.42578125" customWidth="1"/>
    <col min="1791" max="1791" width="29.42578125" customWidth="1"/>
    <col min="1792" max="1792" width="11.28515625" customWidth="1"/>
    <col min="1794" max="1794" width="12.42578125" customWidth="1"/>
    <col min="1795" max="1795" width="2.5703125" customWidth="1"/>
    <col min="1796" max="1796" width="2.140625" customWidth="1"/>
    <col min="1797" max="1797" width="22.85546875" customWidth="1"/>
    <col min="1798" max="1798" width="10.85546875" bestFit="1" customWidth="1"/>
    <col min="1799" max="1799" width="12.28515625" customWidth="1"/>
    <col min="2037" max="2037" width="29.42578125" customWidth="1"/>
    <col min="2047" max="2047" width="29.42578125" customWidth="1"/>
    <col min="2048" max="2048" width="11.28515625" customWidth="1"/>
    <col min="2050" max="2050" width="12.42578125" customWidth="1"/>
    <col min="2051" max="2051" width="2.5703125" customWidth="1"/>
    <col min="2052" max="2052" width="2.140625" customWidth="1"/>
    <col min="2053" max="2053" width="22.85546875" customWidth="1"/>
    <col min="2054" max="2054" width="10.85546875" bestFit="1" customWidth="1"/>
    <col min="2055" max="2055" width="12.28515625" customWidth="1"/>
    <col min="2293" max="2293" width="29.42578125" customWidth="1"/>
    <col min="2303" max="2303" width="29.42578125" customWidth="1"/>
    <col min="2304" max="2304" width="11.28515625" customWidth="1"/>
    <col min="2306" max="2306" width="12.42578125" customWidth="1"/>
    <col min="2307" max="2307" width="2.5703125" customWidth="1"/>
    <col min="2308" max="2308" width="2.140625" customWidth="1"/>
    <col min="2309" max="2309" width="22.85546875" customWidth="1"/>
    <col min="2310" max="2310" width="10.85546875" bestFit="1" customWidth="1"/>
    <col min="2311" max="2311" width="12.28515625" customWidth="1"/>
    <col min="2549" max="2549" width="29.42578125" customWidth="1"/>
    <col min="2559" max="2559" width="29.42578125" customWidth="1"/>
    <col min="2560" max="2560" width="11.28515625" customWidth="1"/>
    <col min="2562" max="2562" width="12.42578125" customWidth="1"/>
    <col min="2563" max="2563" width="2.5703125" customWidth="1"/>
    <col min="2564" max="2564" width="2.140625" customWidth="1"/>
    <col min="2565" max="2565" width="22.85546875" customWidth="1"/>
    <col min="2566" max="2566" width="10.85546875" bestFit="1" customWidth="1"/>
    <col min="2567" max="2567" width="12.28515625" customWidth="1"/>
    <col min="2805" max="2805" width="29.42578125" customWidth="1"/>
    <col min="2815" max="2815" width="29.42578125" customWidth="1"/>
    <col min="2816" max="2816" width="11.28515625" customWidth="1"/>
    <col min="2818" max="2818" width="12.42578125" customWidth="1"/>
    <col min="2819" max="2819" width="2.5703125" customWidth="1"/>
    <col min="2820" max="2820" width="2.140625" customWidth="1"/>
    <col min="2821" max="2821" width="22.85546875" customWidth="1"/>
    <col min="2822" max="2822" width="10.85546875" bestFit="1" customWidth="1"/>
    <col min="2823" max="2823" width="12.28515625" customWidth="1"/>
    <col min="3061" max="3061" width="29.42578125" customWidth="1"/>
    <col min="3071" max="3071" width="29.42578125" customWidth="1"/>
    <col min="3072" max="3072" width="11.28515625" customWidth="1"/>
    <col min="3074" max="3074" width="12.42578125" customWidth="1"/>
    <col min="3075" max="3075" width="2.5703125" customWidth="1"/>
    <col min="3076" max="3076" width="2.140625" customWidth="1"/>
    <col min="3077" max="3077" width="22.85546875" customWidth="1"/>
    <col min="3078" max="3078" width="10.85546875" bestFit="1" customWidth="1"/>
    <col min="3079" max="3079" width="12.28515625" customWidth="1"/>
    <col min="3317" max="3317" width="29.42578125" customWidth="1"/>
    <col min="3327" max="3327" width="29.42578125" customWidth="1"/>
    <col min="3328" max="3328" width="11.28515625" customWidth="1"/>
    <col min="3330" max="3330" width="12.42578125" customWidth="1"/>
    <col min="3331" max="3331" width="2.5703125" customWidth="1"/>
    <col min="3332" max="3332" width="2.140625" customWidth="1"/>
    <col min="3333" max="3333" width="22.85546875" customWidth="1"/>
    <col min="3334" max="3334" width="10.85546875" bestFit="1" customWidth="1"/>
    <col min="3335" max="3335" width="12.28515625" customWidth="1"/>
    <col min="3573" max="3573" width="29.42578125" customWidth="1"/>
    <col min="3583" max="3583" width="29.42578125" customWidth="1"/>
    <col min="3584" max="3584" width="11.28515625" customWidth="1"/>
    <col min="3586" max="3586" width="12.42578125" customWidth="1"/>
    <col min="3587" max="3587" width="2.5703125" customWidth="1"/>
    <col min="3588" max="3588" width="2.140625" customWidth="1"/>
    <col min="3589" max="3589" width="22.85546875" customWidth="1"/>
    <col min="3590" max="3590" width="10.85546875" bestFit="1" customWidth="1"/>
    <col min="3591" max="3591" width="12.28515625" customWidth="1"/>
    <col min="3829" max="3829" width="29.42578125" customWidth="1"/>
    <col min="3839" max="3839" width="29.42578125" customWidth="1"/>
    <col min="3840" max="3840" width="11.28515625" customWidth="1"/>
    <col min="3842" max="3842" width="12.42578125" customWidth="1"/>
    <col min="3843" max="3843" width="2.5703125" customWidth="1"/>
    <col min="3844" max="3844" width="2.140625" customWidth="1"/>
    <col min="3845" max="3845" width="22.85546875" customWidth="1"/>
    <col min="3846" max="3846" width="10.85546875" bestFit="1" customWidth="1"/>
    <col min="3847" max="3847" width="12.28515625" customWidth="1"/>
    <col min="4085" max="4085" width="29.42578125" customWidth="1"/>
    <col min="4095" max="4095" width="29.42578125" customWidth="1"/>
    <col min="4096" max="4096" width="11.28515625" customWidth="1"/>
    <col min="4098" max="4098" width="12.42578125" customWidth="1"/>
    <col min="4099" max="4099" width="2.5703125" customWidth="1"/>
    <col min="4100" max="4100" width="2.140625" customWidth="1"/>
    <col min="4101" max="4101" width="22.85546875" customWidth="1"/>
    <col min="4102" max="4102" width="10.85546875" bestFit="1" customWidth="1"/>
    <col min="4103" max="4103" width="12.28515625" customWidth="1"/>
    <col min="4341" max="4341" width="29.42578125" customWidth="1"/>
    <col min="4351" max="4351" width="29.42578125" customWidth="1"/>
    <col min="4352" max="4352" width="11.28515625" customWidth="1"/>
    <col min="4354" max="4354" width="12.42578125" customWidth="1"/>
    <col min="4355" max="4355" width="2.5703125" customWidth="1"/>
    <col min="4356" max="4356" width="2.140625" customWidth="1"/>
    <col min="4357" max="4357" width="22.85546875" customWidth="1"/>
    <col min="4358" max="4358" width="10.85546875" bestFit="1" customWidth="1"/>
    <col min="4359" max="4359" width="12.28515625" customWidth="1"/>
    <col min="4597" max="4597" width="29.42578125" customWidth="1"/>
    <col min="4607" max="4607" width="29.42578125" customWidth="1"/>
    <col min="4608" max="4608" width="11.28515625" customWidth="1"/>
    <col min="4610" max="4610" width="12.42578125" customWidth="1"/>
    <col min="4611" max="4611" width="2.5703125" customWidth="1"/>
    <col min="4612" max="4612" width="2.140625" customWidth="1"/>
    <col min="4613" max="4613" width="22.85546875" customWidth="1"/>
    <col min="4614" max="4614" width="10.85546875" bestFit="1" customWidth="1"/>
    <col min="4615" max="4615" width="12.28515625" customWidth="1"/>
    <col min="4853" max="4853" width="29.42578125" customWidth="1"/>
    <col min="4863" max="4863" width="29.42578125" customWidth="1"/>
    <col min="4864" max="4864" width="11.28515625" customWidth="1"/>
    <col min="4866" max="4866" width="12.42578125" customWidth="1"/>
    <col min="4867" max="4867" width="2.5703125" customWidth="1"/>
    <col min="4868" max="4868" width="2.140625" customWidth="1"/>
    <col min="4869" max="4869" width="22.85546875" customWidth="1"/>
    <col min="4870" max="4870" width="10.85546875" bestFit="1" customWidth="1"/>
    <col min="4871" max="4871" width="12.28515625" customWidth="1"/>
    <col min="5109" max="5109" width="29.42578125" customWidth="1"/>
    <col min="5119" max="5119" width="29.42578125" customWidth="1"/>
    <col min="5120" max="5120" width="11.28515625" customWidth="1"/>
    <col min="5122" max="5122" width="12.42578125" customWidth="1"/>
    <col min="5123" max="5123" width="2.5703125" customWidth="1"/>
    <col min="5124" max="5124" width="2.140625" customWidth="1"/>
    <col min="5125" max="5125" width="22.85546875" customWidth="1"/>
    <col min="5126" max="5126" width="10.85546875" bestFit="1" customWidth="1"/>
    <col min="5127" max="5127" width="12.28515625" customWidth="1"/>
    <col min="5365" max="5365" width="29.42578125" customWidth="1"/>
    <col min="5375" max="5375" width="29.42578125" customWidth="1"/>
    <col min="5376" max="5376" width="11.28515625" customWidth="1"/>
    <col min="5378" max="5378" width="12.42578125" customWidth="1"/>
    <col min="5379" max="5379" width="2.5703125" customWidth="1"/>
    <col min="5380" max="5380" width="2.140625" customWidth="1"/>
    <col min="5381" max="5381" width="22.85546875" customWidth="1"/>
    <col min="5382" max="5382" width="10.85546875" bestFit="1" customWidth="1"/>
    <col min="5383" max="5383" width="12.28515625" customWidth="1"/>
    <col min="5621" max="5621" width="29.42578125" customWidth="1"/>
    <col min="5631" max="5631" width="29.42578125" customWidth="1"/>
    <col min="5632" max="5632" width="11.28515625" customWidth="1"/>
    <col min="5634" max="5634" width="12.42578125" customWidth="1"/>
    <col min="5635" max="5635" width="2.5703125" customWidth="1"/>
    <col min="5636" max="5636" width="2.140625" customWidth="1"/>
    <col min="5637" max="5637" width="22.85546875" customWidth="1"/>
    <col min="5638" max="5638" width="10.85546875" bestFit="1" customWidth="1"/>
    <col min="5639" max="5639" width="12.28515625" customWidth="1"/>
    <col min="5877" max="5877" width="29.42578125" customWidth="1"/>
    <col min="5887" max="5887" width="29.42578125" customWidth="1"/>
    <col min="5888" max="5888" width="11.28515625" customWidth="1"/>
    <col min="5890" max="5890" width="12.42578125" customWidth="1"/>
    <col min="5891" max="5891" width="2.5703125" customWidth="1"/>
    <col min="5892" max="5892" width="2.140625" customWidth="1"/>
    <col min="5893" max="5893" width="22.85546875" customWidth="1"/>
    <col min="5894" max="5894" width="10.85546875" bestFit="1" customWidth="1"/>
    <col min="5895" max="5895" width="12.28515625" customWidth="1"/>
    <col min="6133" max="6133" width="29.42578125" customWidth="1"/>
    <col min="6143" max="6143" width="29.42578125" customWidth="1"/>
    <col min="6144" max="6144" width="11.28515625" customWidth="1"/>
    <col min="6146" max="6146" width="12.42578125" customWidth="1"/>
    <col min="6147" max="6147" width="2.5703125" customWidth="1"/>
    <col min="6148" max="6148" width="2.140625" customWidth="1"/>
    <col min="6149" max="6149" width="22.85546875" customWidth="1"/>
    <col min="6150" max="6150" width="10.85546875" bestFit="1" customWidth="1"/>
    <col min="6151" max="6151" width="12.28515625" customWidth="1"/>
    <col min="6389" max="6389" width="29.42578125" customWidth="1"/>
    <col min="6399" max="6399" width="29.42578125" customWidth="1"/>
    <col min="6400" max="6400" width="11.28515625" customWidth="1"/>
    <col min="6402" max="6402" width="12.42578125" customWidth="1"/>
    <col min="6403" max="6403" width="2.5703125" customWidth="1"/>
    <col min="6404" max="6404" width="2.140625" customWidth="1"/>
    <col min="6405" max="6405" width="22.85546875" customWidth="1"/>
    <col min="6406" max="6406" width="10.85546875" bestFit="1" customWidth="1"/>
    <col min="6407" max="6407" width="12.28515625" customWidth="1"/>
    <col min="6645" max="6645" width="29.42578125" customWidth="1"/>
    <col min="6655" max="6655" width="29.42578125" customWidth="1"/>
    <col min="6656" max="6656" width="11.28515625" customWidth="1"/>
    <col min="6658" max="6658" width="12.42578125" customWidth="1"/>
    <col min="6659" max="6659" width="2.5703125" customWidth="1"/>
    <col min="6660" max="6660" width="2.140625" customWidth="1"/>
    <col min="6661" max="6661" width="22.85546875" customWidth="1"/>
    <col min="6662" max="6662" width="10.85546875" bestFit="1" customWidth="1"/>
    <col min="6663" max="6663" width="12.28515625" customWidth="1"/>
    <col min="6901" max="6901" width="29.42578125" customWidth="1"/>
    <col min="6911" max="6911" width="29.42578125" customWidth="1"/>
    <col min="6912" max="6912" width="11.28515625" customWidth="1"/>
    <col min="6914" max="6914" width="12.42578125" customWidth="1"/>
    <col min="6915" max="6915" width="2.5703125" customWidth="1"/>
    <col min="6916" max="6916" width="2.140625" customWidth="1"/>
    <col min="6917" max="6917" width="22.85546875" customWidth="1"/>
    <col min="6918" max="6918" width="10.85546875" bestFit="1" customWidth="1"/>
    <col min="6919" max="6919" width="12.28515625" customWidth="1"/>
    <col min="7157" max="7157" width="29.42578125" customWidth="1"/>
    <col min="7167" max="7167" width="29.42578125" customWidth="1"/>
    <col min="7168" max="7168" width="11.28515625" customWidth="1"/>
    <col min="7170" max="7170" width="12.42578125" customWidth="1"/>
    <col min="7171" max="7171" width="2.5703125" customWidth="1"/>
    <col min="7172" max="7172" width="2.140625" customWidth="1"/>
    <col min="7173" max="7173" width="22.85546875" customWidth="1"/>
    <col min="7174" max="7174" width="10.85546875" bestFit="1" customWidth="1"/>
    <col min="7175" max="7175" width="12.28515625" customWidth="1"/>
    <col min="7413" max="7413" width="29.42578125" customWidth="1"/>
    <col min="7423" max="7423" width="29.42578125" customWidth="1"/>
    <col min="7424" max="7424" width="11.28515625" customWidth="1"/>
    <col min="7426" max="7426" width="12.42578125" customWidth="1"/>
    <col min="7427" max="7427" width="2.5703125" customWidth="1"/>
    <col min="7428" max="7428" width="2.140625" customWidth="1"/>
    <col min="7429" max="7429" width="22.85546875" customWidth="1"/>
    <col min="7430" max="7430" width="10.85546875" bestFit="1" customWidth="1"/>
    <col min="7431" max="7431" width="12.28515625" customWidth="1"/>
    <col min="7669" max="7669" width="29.42578125" customWidth="1"/>
    <col min="7679" max="7679" width="29.42578125" customWidth="1"/>
    <col min="7680" max="7680" width="11.28515625" customWidth="1"/>
    <col min="7682" max="7682" width="12.42578125" customWidth="1"/>
    <col min="7683" max="7683" width="2.5703125" customWidth="1"/>
    <col min="7684" max="7684" width="2.140625" customWidth="1"/>
    <col min="7685" max="7685" width="22.85546875" customWidth="1"/>
    <col min="7686" max="7686" width="10.85546875" bestFit="1" customWidth="1"/>
    <col min="7687" max="7687" width="12.28515625" customWidth="1"/>
    <col min="7925" max="7925" width="29.42578125" customWidth="1"/>
    <col min="7935" max="7935" width="29.42578125" customWidth="1"/>
    <col min="7936" max="7936" width="11.28515625" customWidth="1"/>
    <col min="7938" max="7938" width="12.42578125" customWidth="1"/>
    <col min="7939" max="7939" width="2.5703125" customWidth="1"/>
    <col min="7940" max="7940" width="2.140625" customWidth="1"/>
    <col min="7941" max="7941" width="22.85546875" customWidth="1"/>
    <col min="7942" max="7942" width="10.85546875" bestFit="1" customWidth="1"/>
    <col min="7943" max="7943" width="12.28515625" customWidth="1"/>
    <col min="8181" max="8181" width="29.42578125" customWidth="1"/>
    <col min="8191" max="8191" width="29.42578125" customWidth="1"/>
    <col min="8192" max="8192" width="11.28515625" customWidth="1"/>
    <col min="8194" max="8194" width="12.42578125" customWidth="1"/>
    <col min="8195" max="8195" width="2.5703125" customWidth="1"/>
    <col min="8196" max="8196" width="2.140625" customWidth="1"/>
    <col min="8197" max="8197" width="22.85546875" customWidth="1"/>
    <col min="8198" max="8198" width="10.85546875" bestFit="1" customWidth="1"/>
    <col min="8199" max="8199" width="12.28515625" customWidth="1"/>
    <col min="8437" max="8437" width="29.42578125" customWidth="1"/>
    <col min="8447" max="8447" width="29.42578125" customWidth="1"/>
    <col min="8448" max="8448" width="11.28515625" customWidth="1"/>
    <col min="8450" max="8450" width="12.42578125" customWidth="1"/>
    <col min="8451" max="8451" width="2.5703125" customWidth="1"/>
    <col min="8452" max="8452" width="2.140625" customWidth="1"/>
    <col min="8453" max="8453" width="22.85546875" customWidth="1"/>
    <col min="8454" max="8454" width="10.85546875" bestFit="1" customWidth="1"/>
    <col min="8455" max="8455" width="12.28515625" customWidth="1"/>
    <col min="8693" max="8693" width="29.42578125" customWidth="1"/>
    <col min="8703" max="8703" width="29.42578125" customWidth="1"/>
    <col min="8704" max="8704" width="11.28515625" customWidth="1"/>
    <col min="8706" max="8706" width="12.42578125" customWidth="1"/>
    <col min="8707" max="8707" width="2.5703125" customWidth="1"/>
    <col min="8708" max="8708" width="2.140625" customWidth="1"/>
    <col min="8709" max="8709" width="22.85546875" customWidth="1"/>
    <col min="8710" max="8710" width="10.85546875" bestFit="1" customWidth="1"/>
    <col min="8711" max="8711" width="12.28515625" customWidth="1"/>
    <col min="8949" max="8949" width="29.42578125" customWidth="1"/>
    <col min="8959" max="8959" width="29.42578125" customWidth="1"/>
    <col min="8960" max="8960" width="11.28515625" customWidth="1"/>
    <col min="8962" max="8962" width="12.42578125" customWidth="1"/>
    <col min="8963" max="8963" width="2.5703125" customWidth="1"/>
    <col min="8964" max="8964" width="2.140625" customWidth="1"/>
    <col min="8965" max="8965" width="22.85546875" customWidth="1"/>
    <col min="8966" max="8966" width="10.85546875" bestFit="1" customWidth="1"/>
    <col min="8967" max="8967" width="12.28515625" customWidth="1"/>
    <col min="9205" max="9205" width="29.42578125" customWidth="1"/>
    <col min="9215" max="9215" width="29.42578125" customWidth="1"/>
    <col min="9216" max="9216" width="11.28515625" customWidth="1"/>
    <col min="9218" max="9218" width="12.42578125" customWidth="1"/>
    <col min="9219" max="9219" width="2.5703125" customWidth="1"/>
    <col min="9220" max="9220" width="2.140625" customWidth="1"/>
    <col min="9221" max="9221" width="22.85546875" customWidth="1"/>
    <col min="9222" max="9222" width="10.85546875" bestFit="1" customWidth="1"/>
    <col min="9223" max="9223" width="12.28515625" customWidth="1"/>
    <col min="9461" max="9461" width="29.42578125" customWidth="1"/>
    <col min="9471" max="9471" width="29.42578125" customWidth="1"/>
    <col min="9472" max="9472" width="11.28515625" customWidth="1"/>
    <col min="9474" max="9474" width="12.42578125" customWidth="1"/>
    <col min="9475" max="9475" width="2.5703125" customWidth="1"/>
    <col min="9476" max="9476" width="2.140625" customWidth="1"/>
    <col min="9477" max="9477" width="22.85546875" customWidth="1"/>
    <col min="9478" max="9478" width="10.85546875" bestFit="1" customWidth="1"/>
    <col min="9479" max="9479" width="12.28515625" customWidth="1"/>
    <col min="9717" max="9717" width="29.42578125" customWidth="1"/>
    <col min="9727" max="9727" width="29.42578125" customWidth="1"/>
    <col min="9728" max="9728" width="11.28515625" customWidth="1"/>
    <col min="9730" max="9730" width="12.42578125" customWidth="1"/>
    <col min="9731" max="9731" width="2.5703125" customWidth="1"/>
    <col min="9732" max="9732" width="2.140625" customWidth="1"/>
    <col min="9733" max="9733" width="22.85546875" customWidth="1"/>
    <col min="9734" max="9734" width="10.85546875" bestFit="1" customWidth="1"/>
    <col min="9735" max="9735" width="12.28515625" customWidth="1"/>
    <col min="9973" max="9973" width="29.42578125" customWidth="1"/>
    <col min="9983" max="9983" width="29.42578125" customWidth="1"/>
    <col min="9984" max="9984" width="11.28515625" customWidth="1"/>
    <col min="9986" max="9986" width="12.42578125" customWidth="1"/>
    <col min="9987" max="9987" width="2.5703125" customWidth="1"/>
    <col min="9988" max="9988" width="2.140625" customWidth="1"/>
    <col min="9989" max="9989" width="22.85546875" customWidth="1"/>
    <col min="9990" max="9990" width="10.85546875" bestFit="1" customWidth="1"/>
    <col min="9991" max="9991" width="12.28515625" customWidth="1"/>
    <col min="10229" max="10229" width="29.42578125" customWidth="1"/>
    <col min="10239" max="10239" width="29.42578125" customWidth="1"/>
    <col min="10240" max="10240" width="11.28515625" customWidth="1"/>
    <col min="10242" max="10242" width="12.42578125" customWidth="1"/>
    <col min="10243" max="10243" width="2.5703125" customWidth="1"/>
    <col min="10244" max="10244" width="2.140625" customWidth="1"/>
    <col min="10245" max="10245" width="22.85546875" customWidth="1"/>
    <col min="10246" max="10246" width="10.85546875" bestFit="1" customWidth="1"/>
    <col min="10247" max="10247" width="12.28515625" customWidth="1"/>
    <col min="10485" max="10485" width="29.42578125" customWidth="1"/>
    <col min="10495" max="10495" width="29.42578125" customWidth="1"/>
    <col min="10496" max="10496" width="11.28515625" customWidth="1"/>
    <col min="10498" max="10498" width="12.42578125" customWidth="1"/>
    <col min="10499" max="10499" width="2.5703125" customWidth="1"/>
    <col min="10500" max="10500" width="2.140625" customWidth="1"/>
    <col min="10501" max="10501" width="22.85546875" customWidth="1"/>
    <col min="10502" max="10502" width="10.85546875" bestFit="1" customWidth="1"/>
    <col min="10503" max="10503" width="12.28515625" customWidth="1"/>
    <col min="10741" max="10741" width="29.42578125" customWidth="1"/>
    <col min="10751" max="10751" width="29.42578125" customWidth="1"/>
    <col min="10752" max="10752" width="11.28515625" customWidth="1"/>
    <col min="10754" max="10754" width="12.42578125" customWidth="1"/>
    <col min="10755" max="10755" width="2.5703125" customWidth="1"/>
    <col min="10756" max="10756" width="2.140625" customWidth="1"/>
    <col min="10757" max="10757" width="22.85546875" customWidth="1"/>
    <col min="10758" max="10758" width="10.85546875" bestFit="1" customWidth="1"/>
    <col min="10759" max="10759" width="12.28515625" customWidth="1"/>
    <col min="10997" max="10997" width="29.42578125" customWidth="1"/>
    <col min="11007" max="11007" width="29.42578125" customWidth="1"/>
    <col min="11008" max="11008" width="11.28515625" customWidth="1"/>
    <col min="11010" max="11010" width="12.42578125" customWidth="1"/>
    <col min="11011" max="11011" width="2.5703125" customWidth="1"/>
    <col min="11012" max="11012" width="2.140625" customWidth="1"/>
    <col min="11013" max="11013" width="22.85546875" customWidth="1"/>
    <col min="11014" max="11014" width="10.85546875" bestFit="1" customWidth="1"/>
    <col min="11015" max="11015" width="12.28515625" customWidth="1"/>
    <col min="11253" max="11253" width="29.42578125" customWidth="1"/>
    <col min="11263" max="11263" width="29.42578125" customWidth="1"/>
    <col min="11264" max="11264" width="11.28515625" customWidth="1"/>
    <col min="11266" max="11266" width="12.42578125" customWidth="1"/>
    <col min="11267" max="11267" width="2.5703125" customWidth="1"/>
    <col min="11268" max="11268" width="2.140625" customWidth="1"/>
    <col min="11269" max="11269" width="22.85546875" customWidth="1"/>
    <col min="11270" max="11270" width="10.85546875" bestFit="1" customWidth="1"/>
    <col min="11271" max="11271" width="12.28515625" customWidth="1"/>
    <col min="11509" max="11509" width="29.42578125" customWidth="1"/>
    <col min="11519" max="11519" width="29.42578125" customWidth="1"/>
    <col min="11520" max="11520" width="11.28515625" customWidth="1"/>
    <col min="11522" max="11522" width="12.42578125" customWidth="1"/>
    <col min="11523" max="11523" width="2.5703125" customWidth="1"/>
    <col min="11524" max="11524" width="2.140625" customWidth="1"/>
    <col min="11525" max="11525" width="22.85546875" customWidth="1"/>
    <col min="11526" max="11526" width="10.85546875" bestFit="1" customWidth="1"/>
    <col min="11527" max="11527" width="12.28515625" customWidth="1"/>
    <col min="11765" max="11765" width="29.42578125" customWidth="1"/>
    <col min="11775" max="11775" width="29.42578125" customWidth="1"/>
    <col min="11776" max="11776" width="11.28515625" customWidth="1"/>
    <col min="11778" max="11778" width="12.42578125" customWidth="1"/>
    <col min="11779" max="11779" width="2.5703125" customWidth="1"/>
    <col min="11780" max="11780" width="2.140625" customWidth="1"/>
    <col min="11781" max="11781" width="22.85546875" customWidth="1"/>
    <col min="11782" max="11782" width="10.85546875" bestFit="1" customWidth="1"/>
    <col min="11783" max="11783" width="12.28515625" customWidth="1"/>
    <col min="12021" max="12021" width="29.42578125" customWidth="1"/>
    <col min="12031" max="12031" width="29.42578125" customWidth="1"/>
    <col min="12032" max="12032" width="11.28515625" customWidth="1"/>
    <col min="12034" max="12034" width="12.42578125" customWidth="1"/>
    <col min="12035" max="12035" width="2.5703125" customWidth="1"/>
    <col min="12036" max="12036" width="2.140625" customWidth="1"/>
    <col min="12037" max="12037" width="22.85546875" customWidth="1"/>
    <col min="12038" max="12038" width="10.85546875" bestFit="1" customWidth="1"/>
    <col min="12039" max="12039" width="12.28515625" customWidth="1"/>
    <col min="12277" max="12277" width="29.42578125" customWidth="1"/>
    <col min="12287" max="12287" width="29.42578125" customWidth="1"/>
    <col min="12288" max="12288" width="11.28515625" customWidth="1"/>
    <col min="12290" max="12290" width="12.42578125" customWidth="1"/>
    <col min="12291" max="12291" width="2.5703125" customWidth="1"/>
    <col min="12292" max="12292" width="2.140625" customWidth="1"/>
    <col min="12293" max="12293" width="22.85546875" customWidth="1"/>
    <col min="12294" max="12294" width="10.85546875" bestFit="1" customWidth="1"/>
    <col min="12295" max="12295" width="12.28515625" customWidth="1"/>
    <col min="12533" max="12533" width="29.42578125" customWidth="1"/>
    <col min="12543" max="12543" width="29.42578125" customWidth="1"/>
    <col min="12544" max="12544" width="11.28515625" customWidth="1"/>
    <col min="12546" max="12546" width="12.42578125" customWidth="1"/>
    <col min="12547" max="12547" width="2.5703125" customWidth="1"/>
    <col min="12548" max="12548" width="2.140625" customWidth="1"/>
    <col min="12549" max="12549" width="22.85546875" customWidth="1"/>
    <col min="12550" max="12550" width="10.85546875" bestFit="1" customWidth="1"/>
    <col min="12551" max="12551" width="12.28515625" customWidth="1"/>
    <col min="12789" max="12789" width="29.42578125" customWidth="1"/>
    <col min="12799" max="12799" width="29.42578125" customWidth="1"/>
    <col min="12800" max="12800" width="11.28515625" customWidth="1"/>
    <col min="12802" max="12802" width="12.42578125" customWidth="1"/>
    <col min="12803" max="12803" width="2.5703125" customWidth="1"/>
    <col min="12804" max="12804" width="2.140625" customWidth="1"/>
    <col min="12805" max="12805" width="22.85546875" customWidth="1"/>
    <col min="12806" max="12806" width="10.85546875" bestFit="1" customWidth="1"/>
    <col min="12807" max="12807" width="12.28515625" customWidth="1"/>
    <col min="13045" max="13045" width="29.42578125" customWidth="1"/>
    <col min="13055" max="13055" width="29.42578125" customWidth="1"/>
    <col min="13056" max="13056" width="11.28515625" customWidth="1"/>
    <col min="13058" max="13058" width="12.42578125" customWidth="1"/>
    <col min="13059" max="13059" width="2.5703125" customWidth="1"/>
    <col min="13060" max="13060" width="2.140625" customWidth="1"/>
    <col min="13061" max="13061" width="22.85546875" customWidth="1"/>
    <col min="13062" max="13062" width="10.85546875" bestFit="1" customWidth="1"/>
    <col min="13063" max="13063" width="12.28515625" customWidth="1"/>
    <col min="13301" max="13301" width="29.42578125" customWidth="1"/>
    <col min="13311" max="13311" width="29.42578125" customWidth="1"/>
    <col min="13312" max="13312" width="11.28515625" customWidth="1"/>
    <col min="13314" max="13314" width="12.42578125" customWidth="1"/>
    <col min="13315" max="13315" width="2.5703125" customWidth="1"/>
    <col min="13316" max="13316" width="2.140625" customWidth="1"/>
    <col min="13317" max="13317" width="22.85546875" customWidth="1"/>
    <col min="13318" max="13318" width="10.85546875" bestFit="1" customWidth="1"/>
    <col min="13319" max="13319" width="12.28515625" customWidth="1"/>
    <col min="13557" max="13557" width="29.42578125" customWidth="1"/>
    <col min="13567" max="13567" width="29.42578125" customWidth="1"/>
    <col min="13568" max="13568" width="11.28515625" customWidth="1"/>
    <col min="13570" max="13570" width="12.42578125" customWidth="1"/>
    <col min="13571" max="13571" width="2.5703125" customWidth="1"/>
    <col min="13572" max="13572" width="2.140625" customWidth="1"/>
    <col min="13573" max="13573" width="22.85546875" customWidth="1"/>
    <col min="13574" max="13574" width="10.85546875" bestFit="1" customWidth="1"/>
    <col min="13575" max="13575" width="12.28515625" customWidth="1"/>
    <col min="13813" max="13813" width="29.42578125" customWidth="1"/>
    <col min="13823" max="13823" width="29.42578125" customWidth="1"/>
    <col min="13824" max="13824" width="11.28515625" customWidth="1"/>
    <col min="13826" max="13826" width="12.42578125" customWidth="1"/>
    <col min="13827" max="13827" width="2.5703125" customWidth="1"/>
    <col min="13828" max="13828" width="2.140625" customWidth="1"/>
    <col min="13829" max="13829" width="22.85546875" customWidth="1"/>
    <col min="13830" max="13830" width="10.85546875" bestFit="1" customWidth="1"/>
    <col min="13831" max="13831" width="12.28515625" customWidth="1"/>
    <col min="14069" max="14069" width="29.42578125" customWidth="1"/>
    <col min="14079" max="14079" width="29.42578125" customWidth="1"/>
    <col min="14080" max="14080" width="11.28515625" customWidth="1"/>
    <col min="14082" max="14082" width="12.42578125" customWidth="1"/>
    <col min="14083" max="14083" width="2.5703125" customWidth="1"/>
    <col min="14084" max="14084" width="2.140625" customWidth="1"/>
    <col min="14085" max="14085" width="22.85546875" customWidth="1"/>
    <col min="14086" max="14086" width="10.85546875" bestFit="1" customWidth="1"/>
    <col min="14087" max="14087" width="12.28515625" customWidth="1"/>
    <col min="14325" max="14325" width="29.42578125" customWidth="1"/>
    <col min="14335" max="14335" width="29.42578125" customWidth="1"/>
    <col min="14336" max="14336" width="11.28515625" customWidth="1"/>
    <col min="14338" max="14338" width="12.42578125" customWidth="1"/>
    <col min="14339" max="14339" width="2.5703125" customWidth="1"/>
    <col min="14340" max="14340" width="2.140625" customWidth="1"/>
    <col min="14341" max="14341" width="22.85546875" customWidth="1"/>
    <col min="14342" max="14342" width="10.85546875" bestFit="1" customWidth="1"/>
    <col min="14343" max="14343" width="12.28515625" customWidth="1"/>
    <col min="14581" max="14581" width="29.42578125" customWidth="1"/>
    <col min="14591" max="14591" width="29.42578125" customWidth="1"/>
    <col min="14592" max="14592" width="11.28515625" customWidth="1"/>
    <col min="14594" max="14594" width="12.42578125" customWidth="1"/>
    <col min="14595" max="14595" width="2.5703125" customWidth="1"/>
    <col min="14596" max="14596" width="2.140625" customWidth="1"/>
    <col min="14597" max="14597" width="22.85546875" customWidth="1"/>
    <col min="14598" max="14598" width="10.85546875" bestFit="1" customWidth="1"/>
    <col min="14599" max="14599" width="12.28515625" customWidth="1"/>
    <col min="14837" max="14837" width="29.42578125" customWidth="1"/>
    <col min="14847" max="14847" width="29.42578125" customWidth="1"/>
    <col min="14848" max="14848" width="11.28515625" customWidth="1"/>
    <col min="14850" max="14850" width="12.42578125" customWidth="1"/>
    <col min="14851" max="14851" width="2.5703125" customWidth="1"/>
    <col min="14852" max="14852" width="2.140625" customWidth="1"/>
    <col min="14853" max="14853" width="22.85546875" customWidth="1"/>
    <col min="14854" max="14854" width="10.85546875" bestFit="1" customWidth="1"/>
    <col min="14855" max="14855" width="12.28515625" customWidth="1"/>
    <col min="15093" max="15093" width="29.42578125" customWidth="1"/>
    <col min="15103" max="15103" width="29.42578125" customWidth="1"/>
    <col min="15104" max="15104" width="11.28515625" customWidth="1"/>
    <col min="15106" max="15106" width="12.42578125" customWidth="1"/>
    <col min="15107" max="15107" width="2.5703125" customWidth="1"/>
    <col min="15108" max="15108" width="2.140625" customWidth="1"/>
    <col min="15109" max="15109" width="22.85546875" customWidth="1"/>
    <col min="15110" max="15110" width="10.85546875" bestFit="1" customWidth="1"/>
    <col min="15111" max="15111" width="12.28515625" customWidth="1"/>
    <col min="15349" max="15349" width="29.42578125" customWidth="1"/>
    <col min="15359" max="15359" width="29.42578125" customWidth="1"/>
    <col min="15360" max="15360" width="11.28515625" customWidth="1"/>
    <col min="15362" max="15362" width="12.42578125" customWidth="1"/>
    <col min="15363" max="15363" width="2.5703125" customWidth="1"/>
    <col min="15364" max="15364" width="2.140625" customWidth="1"/>
    <col min="15365" max="15365" width="22.85546875" customWidth="1"/>
    <col min="15366" max="15366" width="10.85546875" bestFit="1" customWidth="1"/>
    <col min="15367" max="15367" width="12.28515625" customWidth="1"/>
    <col min="15605" max="15605" width="29.42578125" customWidth="1"/>
    <col min="15615" max="15615" width="29.42578125" customWidth="1"/>
    <col min="15616" max="15616" width="11.28515625" customWidth="1"/>
    <col min="15618" max="15618" width="12.42578125" customWidth="1"/>
    <col min="15619" max="15619" width="2.5703125" customWidth="1"/>
    <col min="15620" max="15620" width="2.140625" customWidth="1"/>
    <col min="15621" max="15621" width="22.85546875" customWidth="1"/>
    <col min="15622" max="15622" width="10.85546875" bestFit="1" customWidth="1"/>
    <col min="15623" max="15623" width="12.28515625" customWidth="1"/>
    <col min="15861" max="15861" width="29.42578125" customWidth="1"/>
    <col min="15871" max="15871" width="29.42578125" customWidth="1"/>
    <col min="15872" max="15872" width="11.28515625" customWidth="1"/>
    <col min="15874" max="15874" width="12.42578125" customWidth="1"/>
    <col min="15875" max="15875" width="2.5703125" customWidth="1"/>
    <col min="15876" max="15876" width="2.140625" customWidth="1"/>
    <col min="15877" max="15877" width="22.85546875" customWidth="1"/>
    <col min="15878" max="15878" width="10.85546875" bestFit="1" customWidth="1"/>
    <col min="15879" max="15879" width="12.28515625" customWidth="1"/>
    <col min="16117" max="16117" width="29.42578125" customWidth="1"/>
    <col min="16127" max="16127" width="29.42578125" customWidth="1"/>
    <col min="16128" max="16128" width="11.28515625" customWidth="1"/>
    <col min="16130" max="16130" width="12.42578125" customWidth="1"/>
    <col min="16131" max="16131" width="2.5703125" customWidth="1"/>
    <col min="16132" max="16132" width="2.140625" customWidth="1"/>
    <col min="16133" max="16133" width="22.85546875" customWidth="1"/>
    <col min="16134" max="16134" width="10.85546875" bestFit="1" customWidth="1"/>
    <col min="16135" max="16135" width="12.28515625" customWidth="1"/>
    <col min="16373" max="16373" width="29.42578125" customWidth="1"/>
  </cols>
  <sheetData>
    <row r="1" spans="2:11" ht="20.25">
      <c r="B1" s="1" t="s">
        <v>83</v>
      </c>
    </row>
    <row r="2" spans="2:11" ht="15.75" customHeight="1" thickBot="1">
      <c r="B2" s="99" t="s">
        <v>305</v>
      </c>
    </row>
    <row r="3" spans="2:11" ht="18.75" thickBot="1">
      <c r="B3" s="1070" t="s">
        <v>84</v>
      </c>
      <c r="C3" s="1071"/>
      <c r="D3" s="1071"/>
      <c r="E3" s="1072"/>
      <c r="G3" s="3"/>
      <c r="H3" s="90"/>
    </row>
    <row r="4" spans="2:11" ht="18" customHeight="1">
      <c r="B4" s="554" t="s">
        <v>139</v>
      </c>
      <c r="C4" s="1073" t="s">
        <v>85</v>
      </c>
      <c r="D4" s="1073"/>
      <c r="E4" s="618">
        <v>58</v>
      </c>
      <c r="F4" s="619"/>
      <c r="G4" s="620"/>
      <c r="H4" s="621"/>
      <c r="I4" s="619"/>
      <c r="K4" s="362"/>
    </row>
    <row r="5" spans="2:11" ht="15" customHeight="1">
      <c r="B5" s="556"/>
      <c r="C5" s="1074" t="s">
        <v>72</v>
      </c>
      <c r="D5" s="1075"/>
      <c r="E5" s="622">
        <v>365</v>
      </c>
      <c r="F5" s="619"/>
      <c r="G5" s="620"/>
      <c r="H5" s="623"/>
      <c r="I5" s="619"/>
    </row>
    <row r="6" spans="2:11">
      <c r="B6" s="528"/>
      <c r="C6" s="624" t="s">
        <v>8</v>
      </c>
      <c r="D6" s="625" t="s">
        <v>9</v>
      </c>
      <c r="E6" s="626" t="s">
        <v>10</v>
      </c>
      <c r="F6" s="619"/>
      <c r="G6" s="627"/>
      <c r="H6" s="628"/>
      <c r="I6" s="619"/>
    </row>
    <row r="7" spans="2:11">
      <c r="B7" s="529" t="str">
        <f>'Master Lookup'!B15</f>
        <v>Program Manager / Director</v>
      </c>
      <c r="C7" s="871">
        <f>'Master Lookup'!C15</f>
        <v>62995</v>
      </c>
      <c r="D7" s="629">
        <f>'[11]2nd OFFENDER MODELS'!$C$7</f>
        <v>1</v>
      </c>
      <c r="E7" s="564">
        <f>C7*D7</f>
        <v>62995</v>
      </c>
      <c r="F7" s="619"/>
      <c r="G7" s="620"/>
      <c r="H7" s="630"/>
      <c r="I7" s="619"/>
    </row>
    <row r="8" spans="2:11">
      <c r="B8" s="530" t="s">
        <v>86</v>
      </c>
      <c r="C8" s="871">
        <f>'Master Lookup'!C17</f>
        <v>55868</v>
      </c>
      <c r="D8" s="629">
        <f>'[11]2nd OFFENDER MODELS'!$C$8</f>
        <v>1</v>
      </c>
      <c r="E8" s="564">
        <f t="shared" ref="E8:E14" si="0">C8*D8</f>
        <v>55868</v>
      </c>
      <c r="F8" s="619"/>
      <c r="G8" s="619"/>
      <c r="H8" s="619"/>
      <c r="I8" s="619"/>
    </row>
    <row r="9" spans="2:11">
      <c r="B9" s="530" t="s">
        <v>87</v>
      </c>
      <c r="C9" s="871">
        <f>'Master Lookup'!C20</f>
        <v>70936</v>
      </c>
      <c r="D9" s="629">
        <f>'[11]2nd OFFENDER MODELS'!$C$9</f>
        <v>1</v>
      </c>
      <c r="E9" s="564">
        <f t="shared" si="0"/>
        <v>70936</v>
      </c>
      <c r="F9" s="619"/>
      <c r="G9" s="619"/>
      <c r="H9" s="619"/>
      <c r="I9" s="619"/>
    </row>
    <row r="10" spans="2:11" ht="15.75" thickBot="1">
      <c r="B10" s="531" t="s">
        <v>88</v>
      </c>
      <c r="C10" s="871">
        <f>'Master Lookup'!C24</f>
        <v>40562</v>
      </c>
      <c r="D10" s="629">
        <f>'[11]2nd OFFENDER MODELS'!$C$10</f>
        <v>3</v>
      </c>
      <c r="E10" s="564">
        <f t="shared" si="0"/>
        <v>121686</v>
      </c>
      <c r="F10" s="619"/>
      <c r="G10" s="619"/>
      <c r="H10" s="619"/>
      <c r="I10" s="619"/>
    </row>
    <row r="11" spans="2:11">
      <c r="B11" s="530" t="s">
        <v>15</v>
      </c>
      <c r="C11" s="871">
        <f>'Master Lookup'!C25</f>
        <v>40562</v>
      </c>
      <c r="D11" s="629">
        <f>'[11]2nd OFFENDER MODELS'!$C$11</f>
        <v>4</v>
      </c>
      <c r="E11" s="564">
        <f t="shared" si="0"/>
        <v>162248</v>
      </c>
      <c r="F11" s="619"/>
      <c r="G11" s="631" t="s">
        <v>89</v>
      </c>
      <c r="H11" s="632"/>
      <c r="I11" s="619"/>
    </row>
    <row r="12" spans="2:11">
      <c r="B12" s="530" t="s">
        <v>74</v>
      </c>
      <c r="C12" s="872">
        <f>'Master Lookup'!C31</f>
        <v>30480</v>
      </c>
      <c r="D12" s="567">
        <f>'[11]2nd OFFENDER MODELS'!$C$12</f>
        <v>9</v>
      </c>
      <c r="E12" s="564">
        <f t="shared" si="0"/>
        <v>274320</v>
      </c>
      <c r="F12" s="619"/>
      <c r="G12" s="633" t="s">
        <v>90</v>
      </c>
      <c r="H12" s="634">
        <v>1.5</v>
      </c>
      <c r="I12" s="619"/>
      <c r="K12" s="67"/>
    </row>
    <row r="13" spans="2:11" ht="18.75" customHeight="1">
      <c r="B13" s="532" t="s">
        <v>14</v>
      </c>
      <c r="C13" s="871">
        <f>'Master Lookup'!C33</f>
        <v>30480</v>
      </c>
      <c r="D13" s="563">
        <f>'[11]2nd OFFENDER MODELS'!$C$13</f>
        <v>6</v>
      </c>
      <c r="E13" s="564">
        <f t="shared" si="0"/>
        <v>182880</v>
      </c>
      <c r="F13" s="619"/>
      <c r="G13" s="633" t="s">
        <v>91</v>
      </c>
      <c r="H13" s="634">
        <v>1</v>
      </c>
      <c r="I13" s="619"/>
    </row>
    <row r="14" spans="2:11" ht="15.75" thickBot="1">
      <c r="B14" s="533" t="s">
        <v>76</v>
      </c>
      <c r="C14" s="873">
        <f>'Master Lookup'!C35</f>
        <v>30480</v>
      </c>
      <c r="D14" s="563">
        <f>'[11]2nd OFFENDER MODELS'!$C$14</f>
        <v>1.3846153846153846</v>
      </c>
      <c r="E14" s="570">
        <f t="shared" si="0"/>
        <v>42203.076923076922</v>
      </c>
      <c r="F14" s="619"/>
      <c r="G14" s="635" t="s">
        <v>92</v>
      </c>
      <c r="H14" s="634">
        <v>1</v>
      </c>
      <c r="I14" s="619"/>
    </row>
    <row r="15" spans="2:11" ht="20.25" customHeight="1" thickTop="1">
      <c r="B15" s="527" t="s">
        <v>18</v>
      </c>
      <c r="C15" s="874"/>
      <c r="D15" s="572">
        <f>SUM(D7:D14)</f>
        <v>26.384615384615383</v>
      </c>
      <c r="E15" s="573">
        <f>SUM(E7:E14)</f>
        <v>973136.07692307688</v>
      </c>
      <c r="F15" s="619"/>
      <c r="G15" s="636" t="s">
        <v>93</v>
      </c>
      <c r="H15" s="634">
        <v>1.5</v>
      </c>
      <c r="I15" s="619"/>
      <c r="J15" s="67"/>
    </row>
    <row r="16" spans="2:11">
      <c r="B16" s="534" t="s">
        <v>20</v>
      </c>
      <c r="C16" s="875">
        <f>'Master Lookup'!C66</f>
        <v>0.22500000000000001</v>
      </c>
      <c r="D16" s="576"/>
      <c r="E16" s="564">
        <f>E15*C16</f>
        <v>218955.6173076923</v>
      </c>
      <c r="F16" s="619"/>
      <c r="G16" s="633" t="s">
        <v>94</v>
      </c>
      <c r="H16" s="634">
        <v>1</v>
      </c>
      <c r="I16" s="619"/>
    </row>
    <row r="17" spans="2:9" ht="15.75" thickBot="1">
      <c r="B17" s="535" t="s">
        <v>21</v>
      </c>
      <c r="C17" s="876"/>
      <c r="D17" s="579"/>
      <c r="E17" s="580">
        <f>SUM(E15+E16)</f>
        <v>1192091.6942307693</v>
      </c>
      <c r="F17" s="619"/>
      <c r="G17" s="637" t="s">
        <v>95</v>
      </c>
      <c r="H17" s="638">
        <f>SUM(H12:H16)</f>
        <v>6</v>
      </c>
      <c r="I17" s="619"/>
    </row>
    <row r="18" spans="2:9" ht="15.75" thickBot="1">
      <c r="B18" s="528"/>
      <c r="C18" s="877" t="s">
        <v>24</v>
      </c>
      <c r="D18" s="639"/>
      <c r="E18" s="626"/>
      <c r="F18" s="619"/>
      <c r="G18" s="619"/>
      <c r="H18" s="619"/>
      <c r="I18" s="619"/>
    </row>
    <row r="19" spans="2:9">
      <c r="B19" s="528" t="s">
        <v>25</v>
      </c>
      <c r="C19" s="878">
        <f>'Master Lookup'!E40</f>
        <v>13.208721912893836</v>
      </c>
      <c r="D19" s="586"/>
      <c r="E19" s="587">
        <f>C19*$E$4*$E$5</f>
        <v>279628.64289596252</v>
      </c>
      <c r="F19" s="619"/>
      <c r="G19" s="640" t="s">
        <v>96</v>
      </c>
      <c r="H19" s="641"/>
      <c r="I19" s="642"/>
    </row>
    <row r="20" spans="2:9">
      <c r="B20" s="528" t="s">
        <v>27</v>
      </c>
      <c r="C20" s="879">
        <f>'Master Lookup'!E43</f>
        <v>8.36</v>
      </c>
      <c r="D20" s="586"/>
      <c r="E20" s="587">
        <f>C20*$E$4*$E$5</f>
        <v>176981.2</v>
      </c>
      <c r="F20" s="619"/>
      <c r="G20" s="615"/>
      <c r="H20" s="92">
        <v>58</v>
      </c>
      <c r="I20" s="93" t="s">
        <v>98</v>
      </c>
    </row>
    <row r="21" spans="2:9">
      <c r="B21" s="528" t="s">
        <v>29</v>
      </c>
      <c r="C21" s="590">
        <f>'Master Lookup'!E45</f>
        <v>0.56999999999999995</v>
      </c>
      <c r="D21" s="586"/>
      <c r="E21" s="587">
        <f>C21*$E$4*$E$5</f>
        <v>12066.899999999998</v>
      </c>
      <c r="F21" s="619"/>
      <c r="G21" s="643"/>
      <c r="H21" s="644" t="s">
        <v>9</v>
      </c>
      <c r="I21" s="94" t="s">
        <v>99</v>
      </c>
    </row>
    <row r="22" spans="2:9" ht="26.25">
      <c r="B22" s="536" t="s">
        <v>97</v>
      </c>
      <c r="C22" s="590">
        <f>'Master Lookup'!E50</f>
        <v>0.26</v>
      </c>
      <c r="D22" s="586"/>
      <c r="E22" s="587">
        <f>C22*$E$4*$E$5</f>
        <v>5504.2</v>
      </c>
      <c r="F22" s="619"/>
      <c r="G22" s="643" t="s">
        <v>100</v>
      </c>
      <c r="H22" s="645">
        <v>1</v>
      </c>
      <c r="I22" s="616">
        <v>40</v>
      </c>
    </row>
    <row r="23" spans="2:9" ht="30">
      <c r="B23" s="537"/>
      <c r="C23" s="646" t="s">
        <v>24</v>
      </c>
      <c r="D23" s="647"/>
      <c r="E23" s="648" t="s">
        <v>33</v>
      </c>
      <c r="F23" s="619"/>
      <c r="G23" s="643" t="s">
        <v>101</v>
      </c>
      <c r="H23" s="649">
        <v>1</v>
      </c>
      <c r="I23" s="96">
        <v>40</v>
      </c>
    </row>
    <row r="24" spans="2:9" ht="15.75" thickBot="1">
      <c r="B24" s="538" t="s">
        <v>77</v>
      </c>
      <c r="C24" s="650">
        <f>'Master Lookup'!E55</f>
        <v>0.36</v>
      </c>
      <c r="D24" s="651"/>
      <c r="E24" s="652">
        <f>C24*$E$4*$E$5</f>
        <v>7621.2</v>
      </c>
      <c r="F24" s="653"/>
      <c r="G24" s="654" t="s">
        <v>87</v>
      </c>
      <c r="H24" s="649">
        <v>1</v>
      </c>
      <c r="I24" s="96">
        <v>40</v>
      </c>
    </row>
    <row r="25" spans="2:9" ht="15.75" thickTop="1">
      <c r="B25" s="527" t="s">
        <v>35</v>
      </c>
      <c r="C25" s="655"/>
      <c r="D25" s="604"/>
      <c r="E25" s="656">
        <f>SUM(E17,E19:E22,E24)</f>
        <v>1673893.8371267316</v>
      </c>
      <c r="F25" s="619"/>
      <c r="G25" s="654" t="s">
        <v>102</v>
      </c>
      <c r="H25" s="649">
        <v>3</v>
      </c>
      <c r="I25" s="96">
        <f>40*3</f>
        <v>120</v>
      </c>
    </row>
    <row r="26" spans="2:9">
      <c r="B26" s="880" t="str">
        <f>'Master Lookup'!B39</f>
        <v>PFMLA Trust Contribution</v>
      </c>
      <c r="C26" s="881">
        <f>'Master Lookup'!E39</f>
        <v>6.3E-3</v>
      </c>
      <c r="D26" s="882"/>
      <c r="E26" s="883">
        <f>E15*C26</f>
        <v>6130.7572846153844</v>
      </c>
      <c r="F26" s="653"/>
      <c r="G26" s="643" t="s">
        <v>15</v>
      </c>
      <c r="H26" s="645">
        <v>4</v>
      </c>
      <c r="I26" s="96">
        <f>40*4</f>
        <v>160</v>
      </c>
    </row>
    <row r="27" spans="2:9" ht="15.75" thickBot="1">
      <c r="B27" s="539" t="s">
        <v>37</v>
      </c>
      <c r="C27" s="657">
        <f>'Master Lookup'!C64</f>
        <v>0.12</v>
      </c>
      <c r="D27" s="658"/>
      <c r="E27" s="659">
        <f>E25*C27</f>
        <v>200867.26045520778</v>
      </c>
      <c r="F27" s="619"/>
      <c r="G27" s="660" t="s">
        <v>74</v>
      </c>
      <c r="H27" s="645">
        <v>9</v>
      </c>
      <c r="I27" s="96">
        <f>40*9</f>
        <v>360</v>
      </c>
    </row>
    <row r="28" spans="2:9" ht="15.75" thickTop="1">
      <c r="B28" s="527" t="s">
        <v>32</v>
      </c>
      <c r="C28" s="604"/>
      <c r="D28" s="604"/>
      <c r="E28" s="573">
        <f>E25+E27+E26</f>
        <v>1880891.8548665547</v>
      </c>
      <c r="F28" s="619"/>
      <c r="G28" s="617" t="s">
        <v>103</v>
      </c>
      <c r="H28" s="645">
        <f>H17</f>
        <v>6</v>
      </c>
      <c r="I28" s="96">
        <f>40*6</f>
        <v>240</v>
      </c>
    </row>
    <row r="29" spans="2:9" ht="15.75" thickBot="1">
      <c r="B29" s="540" t="s">
        <v>42</v>
      </c>
      <c r="C29" s="661"/>
      <c r="D29" s="662"/>
      <c r="E29" s="663">
        <f>$E$28/(($E$4*$E$5))</f>
        <v>88.847040853403627</v>
      </c>
      <c r="F29" s="619"/>
      <c r="G29" s="664" t="s">
        <v>32</v>
      </c>
      <c r="H29" s="665">
        <f>SUM(H22:H28)</f>
        <v>25</v>
      </c>
      <c r="I29" s="666"/>
    </row>
    <row r="30" spans="2:9" ht="15.75" thickBot="1">
      <c r="B30" s="541" t="s">
        <v>78</v>
      </c>
      <c r="C30" s="667">
        <v>0.9</v>
      </c>
      <c r="D30" s="668"/>
      <c r="E30" s="669">
        <f>$E$28/(($E$4*$E$5)*C30)</f>
        <v>98.718934281559584</v>
      </c>
      <c r="F30" s="619"/>
      <c r="G30" s="867"/>
      <c r="H30" s="868"/>
      <c r="I30" s="868"/>
    </row>
    <row r="31" spans="2:9" ht="15.75" thickBot="1">
      <c r="B31" s="542" t="s">
        <v>246</v>
      </c>
      <c r="C31" s="613">
        <f>'Master Lookup'!C60</f>
        <v>2.3531493276716206E-2</v>
      </c>
      <c r="D31" s="614"/>
      <c r="E31" s="670">
        <f>E30*(1+C31)</f>
        <v>101.04193821989068</v>
      </c>
      <c r="F31" s="619"/>
      <c r="G31" s="619"/>
      <c r="H31" s="619"/>
      <c r="I31" s="619"/>
    </row>
    <row r="32" spans="2:9">
      <c r="B32" s="15"/>
    </row>
    <row r="33" spans="2:6">
      <c r="C33" s="400"/>
      <c r="D33" s="466"/>
      <c r="E33" s="475"/>
    </row>
    <row r="34" spans="2:6">
      <c r="C34" s="402"/>
      <c r="D34" s="468"/>
      <c r="E34" s="474"/>
    </row>
    <row r="35" spans="2:6">
      <c r="B35" s="401"/>
      <c r="C35" s="362"/>
    </row>
    <row r="36" spans="2:6">
      <c r="B36" s="401"/>
      <c r="C36" s="362"/>
    </row>
    <row r="39" spans="2:6">
      <c r="F39" s="428"/>
    </row>
    <row r="40" spans="2:6">
      <c r="B40" s="428"/>
      <c r="C40" s="428"/>
      <c r="D40" s="428"/>
      <c r="E40" s="428"/>
      <c r="F40" s="428"/>
    </row>
    <row r="41" spans="2:6">
      <c r="B41" s="428"/>
      <c r="C41" s="428"/>
      <c r="D41" s="428"/>
      <c r="E41" s="428"/>
      <c r="F41" s="428"/>
    </row>
    <row r="42" spans="2:6">
      <c r="B42" s="428"/>
      <c r="C42" s="428"/>
      <c r="D42" s="428"/>
      <c r="E42" s="428"/>
      <c r="F42" s="428"/>
    </row>
    <row r="43" spans="2:6">
      <c r="B43" s="428"/>
      <c r="C43" s="428"/>
      <c r="D43" s="428"/>
      <c r="E43" s="428"/>
      <c r="F43" s="428"/>
    </row>
    <row r="44" spans="2:6">
      <c r="B44" s="428"/>
      <c r="C44" s="428"/>
      <c r="D44" s="428"/>
      <c r="E44" s="428"/>
      <c r="F44" s="428"/>
    </row>
    <row r="45" spans="2:6">
      <c r="B45" s="428"/>
      <c r="C45" s="428"/>
      <c r="D45" s="428"/>
      <c r="E45" s="428"/>
      <c r="F45" s="428"/>
    </row>
    <row r="46" spans="2:6">
      <c r="B46" s="428"/>
      <c r="C46" s="428"/>
      <c r="D46" s="428"/>
      <c r="E46" s="428"/>
    </row>
  </sheetData>
  <customSheetViews>
    <customSheetView guid="{B5837528-F556-4927-BE56-326C83C78B54}" scale="90" fitToPage="1" hiddenColumns="1" topLeftCell="K10">
      <selection activeCell="O25" sqref="O25"/>
      <pageMargins left="0.35" right="0.35" top="0.25" bottom="0.25" header="0.05" footer="0.05"/>
      <printOptions horizontalCentered="1" verticalCentered="1"/>
      <pageSetup scale="82" orientation="portrait" r:id="rId1"/>
    </customSheetView>
    <customSheetView guid="{0E99B8F5-2809-4D97-8227-3422E522E04C}" scale="90" showPageBreaks="1" fitToPage="1" printArea="1" hiddenColumns="1" topLeftCell="K22">
      <selection activeCell="M16" sqref="M16"/>
      <pageMargins left="0.35" right="0.35" top="0.25" bottom="0.25" header="0.05" footer="0.05"/>
      <printOptions horizontalCentered="1" verticalCentered="1"/>
      <pageSetup scale="70" orientation="portrait" r:id="rId2"/>
    </customSheetView>
  </customSheetViews>
  <mergeCells count="3">
    <mergeCell ref="B3:E3"/>
    <mergeCell ref="C4:D4"/>
    <mergeCell ref="C5:D5"/>
  </mergeCells>
  <printOptions horizontalCentered="1" verticalCentered="1"/>
  <pageMargins left="0.35" right="0.35" top="0.25" bottom="0.25" header="0.05" footer="0.05"/>
  <pageSetup scale="87" orientation="landscape" r:id="rId3"/>
  <headerFooter>
    <oddHeader>&amp;C2nd OFFENDER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K59"/>
  <sheetViews>
    <sheetView topLeftCell="A10" zoomScale="85" zoomScaleNormal="85" workbookViewId="0">
      <selection activeCell="I26" sqref="I26"/>
    </sheetView>
  </sheetViews>
  <sheetFormatPr defaultRowHeight="15"/>
  <cols>
    <col min="1" max="1" width="5.5703125" customWidth="1"/>
    <col min="2" max="2" width="38.140625" customWidth="1"/>
    <col min="3" max="3" width="14.7109375" bestFit="1" customWidth="1"/>
    <col min="4" max="4" width="12.7109375" customWidth="1"/>
    <col min="5" max="5" width="19.5703125" customWidth="1"/>
    <col min="6" max="6" width="6.140625" customWidth="1"/>
    <col min="7" max="7" width="19.85546875" customWidth="1"/>
    <col min="8" max="8" width="17.42578125" customWidth="1"/>
    <col min="9" max="9" width="27" customWidth="1"/>
    <col min="10" max="10" width="20.5703125" customWidth="1"/>
    <col min="224" max="224" width="35" customWidth="1"/>
    <col min="225" max="225" width="14.28515625" customWidth="1"/>
    <col min="226" max="226" width="13" customWidth="1"/>
    <col min="227" max="227" width="12.42578125" customWidth="1"/>
    <col min="228" max="228" width="16.5703125" customWidth="1"/>
    <col min="233" max="233" width="31.5703125" customWidth="1"/>
    <col min="234" max="234" width="14.28515625" customWidth="1"/>
    <col min="235" max="235" width="12.85546875" customWidth="1"/>
    <col min="236" max="236" width="12.42578125" customWidth="1"/>
    <col min="237" max="237" width="4.42578125" customWidth="1"/>
    <col min="238" max="238" width="18.28515625" customWidth="1"/>
    <col min="239" max="239" width="20.5703125" customWidth="1"/>
    <col min="240" max="240" width="14.85546875" customWidth="1"/>
    <col min="241" max="241" width="10.7109375" customWidth="1"/>
    <col min="242" max="242" width="17.5703125" customWidth="1"/>
    <col min="244" max="244" width="10.28515625" customWidth="1"/>
    <col min="245" max="245" width="14.7109375" customWidth="1"/>
    <col min="480" max="480" width="35" customWidth="1"/>
    <col min="481" max="481" width="14.28515625" customWidth="1"/>
    <col min="482" max="482" width="13" customWidth="1"/>
    <col min="483" max="483" width="12.42578125" customWidth="1"/>
    <col min="484" max="484" width="16.5703125" customWidth="1"/>
    <col min="489" max="489" width="31.5703125" customWidth="1"/>
    <col min="490" max="490" width="14.28515625" customWidth="1"/>
    <col min="491" max="491" width="12.85546875" customWidth="1"/>
    <col min="492" max="492" width="12.42578125" customWidth="1"/>
    <col min="493" max="493" width="4.42578125" customWidth="1"/>
    <col min="494" max="494" width="18.28515625" customWidth="1"/>
    <col min="495" max="495" width="20.5703125" customWidth="1"/>
    <col min="496" max="496" width="14.85546875" customWidth="1"/>
    <col min="497" max="497" width="10.7109375" customWidth="1"/>
    <col min="498" max="498" width="17.5703125" customWidth="1"/>
    <col min="500" max="500" width="10.28515625" customWidth="1"/>
    <col min="501" max="501" width="14.7109375" customWidth="1"/>
    <col min="736" max="736" width="35" customWidth="1"/>
    <col min="737" max="737" width="14.28515625" customWidth="1"/>
    <col min="738" max="738" width="13" customWidth="1"/>
    <col min="739" max="739" width="12.42578125" customWidth="1"/>
    <col min="740" max="740" width="16.5703125" customWidth="1"/>
    <col min="745" max="745" width="31.5703125" customWidth="1"/>
    <col min="746" max="746" width="14.28515625" customWidth="1"/>
    <col min="747" max="747" width="12.85546875" customWidth="1"/>
    <col min="748" max="748" width="12.42578125" customWidth="1"/>
    <col min="749" max="749" width="4.42578125" customWidth="1"/>
    <col min="750" max="750" width="18.28515625" customWidth="1"/>
    <col min="751" max="751" width="20.5703125" customWidth="1"/>
    <col min="752" max="752" width="14.85546875" customWidth="1"/>
    <col min="753" max="753" width="10.7109375" customWidth="1"/>
    <col min="754" max="754" width="17.5703125" customWidth="1"/>
    <col min="756" max="756" width="10.28515625" customWidth="1"/>
    <col min="757" max="757" width="14.7109375" customWidth="1"/>
    <col min="992" max="992" width="35" customWidth="1"/>
    <col min="993" max="993" width="14.28515625" customWidth="1"/>
    <col min="994" max="994" width="13" customWidth="1"/>
    <col min="995" max="995" width="12.42578125" customWidth="1"/>
    <col min="996" max="996" width="16.5703125" customWidth="1"/>
    <col min="1001" max="1001" width="31.5703125" customWidth="1"/>
    <col min="1002" max="1002" width="14.28515625" customWidth="1"/>
    <col min="1003" max="1003" width="12.85546875" customWidth="1"/>
    <col min="1004" max="1004" width="12.42578125" customWidth="1"/>
    <col min="1005" max="1005" width="4.42578125" customWidth="1"/>
    <col min="1006" max="1006" width="18.28515625" customWidth="1"/>
    <col min="1007" max="1007" width="20.5703125" customWidth="1"/>
    <col min="1008" max="1008" width="14.85546875" customWidth="1"/>
    <col min="1009" max="1009" width="10.7109375" customWidth="1"/>
    <col min="1010" max="1010" width="17.5703125" customWidth="1"/>
    <col min="1012" max="1012" width="10.28515625" customWidth="1"/>
    <col min="1013" max="1013" width="14.7109375" customWidth="1"/>
    <col min="1248" max="1248" width="35" customWidth="1"/>
    <col min="1249" max="1249" width="14.28515625" customWidth="1"/>
    <col min="1250" max="1250" width="13" customWidth="1"/>
    <col min="1251" max="1251" width="12.42578125" customWidth="1"/>
    <col min="1252" max="1252" width="16.5703125" customWidth="1"/>
    <col min="1257" max="1257" width="31.5703125" customWidth="1"/>
    <col min="1258" max="1258" width="14.28515625" customWidth="1"/>
    <col min="1259" max="1259" width="12.85546875" customWidth="1"/>
    <col min="1260" max="1260" width="12.42578125" customWidth="1"/>
    <col min="1261" max="1261" width="4.42578125" customWidth="1"/>
    <col min="1262" max="1262" width="18.28515625" customWidth="1"/>
    <col min="1263" max="1263" width="20.5703125" customWidth="1"/>
    <col min="1264" max="1264" width="14.85546875" customWidth="1"/>
    <col min="1265" max="1265" width="10.7109375" customWidth="1"/>
    <col min="1266" max="1266" width="17.5703125" customWidth="1"/>
    <col min="1268" max="1268" width="10.28515625" customWidth="1"/>
    <col min="1269" max="1269" width="14.7109375" customWidth="1"/>
    <col min="1504" max="1504" width="35" customWidth="1"/>
    <col min="1505" max="1505" width="14.28515625" customWidth="1"/>
    <col min="1506" max="1506" width="13" customWidth="1"/>
    <col min="1507" max="1507" width="12.42578125" customWidth="1"/>
    <col min="1508" max="1508" width="16.5703125" customWidth="1"/>
    <col min="1513" max="1513" width="31.5703125" customWidth="1"/>
    <col min="1514" max="1514" width="14.28515625" customWidth="1"/>
    <col min="1515" max="1515" width="12.85546875" customWidth="1"/>
    <col min="1516" max="1516" width="12.42578125" customWidth="1"/>
    <col min="1517" max="1517" width="4.42578125" customWidth="1"/>
    <col min="1518" max="1518" width="18.28515625" customWidth="1"/>
    <col min="1519" max="1519" width="20.5703125" customWidth="1"/>
    <col min="1520" max="1520" width="14.85546875" customWidth="1"/>
    <col min="1521" max="1521" width="10.7109375" customWidth="1"/>
    <col min="1522" max="1522" width="17.5703125" customWidth="1"/>
    <col min="1524" max="1524" width="10.28515625" customWidth="1"/>
    <col min="1525" max="1525" width="14.7109375" customWidth="1"/>
    <col min="1760" max="1760" width="35" customWidth="1"/>
    <col min="1761" max="1761" width="14.28515625" customWidth="1"/>
    <col min="1762" max="1762" width="13" customWidth="1"/>
    <col min="1763" max="1763" width="12.42578125" customWidth="1"/>
    <col min="1764" max="1764" width="16.5703125" customWidth="1"/>
    <col min="1769" max="1769" width="31.5703125" customWidth="1"/>
    <col min="1770" max="1770" width="14.28515625" customWidth="1"/>
    <col min="1771" max="1771" width="12.85546875" customWidth="1"/>
    <col min="1772" max="1772" width="12.42578125" customWidth="1"/>
    <col min="1773" max="1773" width="4.42578125" customWidth="1"/>
    <col min="1774" max="1774" width="18.28515625" customWidth="1"/>
    <col min="1775" max="1775" width="20.5703125" customWidth="1"/>
    <col min="1776" max="1776" width="14.85546875" customWidth="1"/>
    <col min="1777" max="1777" width="10.7109375" customWidth="1"/>
    <col min="1778" max="1778" width="17.5703125" customWidth="1"/>
    <col min="1780" max="1780" width="10.28515625" customWidth="1"/>
    <col min="1781" max="1781" width="14.7109375" customWidth="1"/>
    <col min="2016" max="2016" width="35" customWidth="1"/>
    <col min="2017" max="2017" width="14.28515625" customWidth="1"/>
    <col min="2018" max="2018" width="13" customWidth="1"/>
    <col min="2019" max="2019" width="12.42578125" customWidth="1"/>
    <col min="2020" max="2020" width="16.5703125" customWidth="1"/>
    <col min="2025" max="2025" width="31.5703125" customWidth="1"/>
    <col min="2026" max="2026" width="14.28515625" customWidth="1"/>
    <col min="2027" max="2027" width="12.85546875" customWidth="1"/>
    <col min="2028" max="2028" width="12.42578125" customWidth="1"/>
    <col min="2029" max="2029" width="4.42578125" customWidth="1"/>
    <col min="2030" max="2030" width="18.28515625" customWidth="1"/>
    <col min="2031" max="2031" width="20.5703125" customWidth="1"/>
    <col min="2032" max="2032" width="14.85546875" customWidth="1"/>
    <col min="2033" max="2033" width="10.7109375" customWidth="1"/>
    <col min="2034" max="2034" width="17.5703125" customWidth="1"/>
    <col min="2036" max="2036" width="10.28515625" customWidth="1"/>
    <col min="2037" max="2037" width="14.7109375" customWidth="1"/>
    <col min="2272" max="2272" width="35" customWidth="1"/>
    <col min="2273" max="2273" width="14.28515625" customWidth="1"/>
    <col min="2274" max="2274" width="13" customWidth="1"/>
    <col min="2275" max="2275" width="12.42578125" customWidth="1"/>
    <col min="2276" max="2276" width="16.5703125" customWidth="1"/>
    <col min="2281" max="2281" width="31.5703125" customWidth="1"/>
    <col min="2282" max="2282" width="14.28515625" customWidth="1"/>
    <col min="2283" max="2283" width="12.85546875" customWidth="1"/>
    <col min="2284" max="2284" width="12.42578125" customWidth="1"/>
    <col min="2285" max="2285" width="4.42578125" customWidth="1"/>
    <col min="2286" max="2286" width="18.28515625" customWidth="1"/>
    <col min="2287" max="2287" width="20.5703125" customWidth="1"/>
    <col min="2288" max="2288" width="14.85546875" customWidth="1"/>
    <col min="2289" max="2289" width="10.7109375" customWidth="1"/>
    <col min="2290" max="2290" width="17.5703125" customWidth="1"/>
    <col min="2292" max="2292" width="10.28515625" customWidth="1"/>
    <col min="2293" max="2293" width="14.7109375" customWidth="1"/>
    <col min="2528" max="2528" width="35" customWidth="1"/>
    <col min="2529" max="2529" width="14.28515625" customWidth="1"/>
    <col min="2530" max="2530" width="13" customWidth="1"/>
    <col min="2531" max="2531" width="12.42578125" customWidth="1"/>
    <col min="2532" max="2532" width="16.5703125" customWidth="1"/>
    <col min="2537" max="2537" width="31.5703125" customWidth="1"/>
    <col min="2538" max="2538" width="14.28515625" customWidth="1"/>
    <col min="2539" max="2539" width="12.85546875" customWidth="1"/>
    <col min="2540" max="2540" width="12.42578125" customWidth="1"/>
    <col min="2541" max="2541" width="4.42578125" customWidth="1"/>
    <col min="2542" max="2542" width="18.28515625" customWidth="1"/>
    <col min="2543" max="2543" width="20.5703125" customWidth="1"/>
    <col min="2544" max="2544" width="14.85546875" customWidth="1"/>
    <col min="2545" max="2545" width="10.7109375" customWidth="1"/>
    <col min="2546" max="2546" width="17.5703125" customWidth="1"/>
    <col min="2548" max="2548" width="10.28515625" customWidth="1"/>
    <col min="2549" max="2549" width="14.7109375" customWidth="1"/>
    <col min="2784" max="2784" width="35" customWidth="1"/>
    <col min="2785" max="2785" width="14.28515625" customWidth="1"/>
    <col min="2786" max="2786" width="13" customWidth="1"/>
    <col min="2787" max="2787" width="12.42578125" customWidth="1"/>
    <col min="2788" max="2788" width="16.5703125" customWidth="1"/>
    <col min="2793" max="2793" width="31.5703125" customWidth="1"/>
    <col min="2794" max="2794" width="14.28515625" customWidth="1"/>
    <col min="2795" max="2795" width="12.85546875" customWidth="1"/>
    <col min="2796" max="2796" width="12.42578125" customWidth="1"/>
    <col min="2797" max="2797" width="4.42578125" customWidth="1"/>
    <col min="2798" max="2798" width="18.28515625" customWidth="1"/>
    <col min="2799" max="2799" width="20.5703125" customWidth="1"/>
    <col min="2800" max="2800" width="14.85546875" customWidth="1"/>
    <col min="2801" max="2801" width="10.7109375" customWidth="1"/>
    <col min="2802" max="2802" width="17.5703125" customWidth="1"/>
    <col min="2804" max="2804" width="10.28515625" customWidth="1"/>
    <col min="2805" max="2805" width="14.7109375" customWidth="1"/>
    <col min="3040" max="3040" width="35" customWidth="1"/>
    <col min="3041" max="3041" width="14.28515625" customWidth="1"/>
    <col min="3042" max="3042" width="13" customWidth="1"/>
    <col min="3043" max="3043" width="12.42578125" customWidth="1"/>
    <col min="3044" max="3044" width="16.5703125" customWidth="1"/>
    <col min="3049" max="3049" width="31.5703125" customWidth="1"/>
    <col min="3050" max="3050" width="14.28515625" customWidth="1"/>
    <col min="3051" max="3051" width="12.85546875" customWidth="1"/>
    <col min="3052" max="3052" width="12.42578125" customWidth="1"/>
    <col min="3053" max="3053" width="4.42578125" customWidth="1"/>
    <col min="3054" max="3054" width="18.28515625" customWidth="1"/>
    <col min="3055" max="3055" width="20.5703125" customWidth="1"/>
    <col min="3056" max="3056" width="14.85546875" customWidth="1"/>
    <col min="3057" max="3057" width="10.7109375" customWidth="1"/>
    <col min="3058" max="3058" width="17.5703125" customWidth="1"/>
    <col min="3060" max="3060" width="10.28515625" customWidth="1"/>
    <col min="3061" max="3061" width="14.7109375" customWidth="1"/>
    <col min="3296" max="3296" width="35" customWidth="1"/>
    <col min="3297" max="3297" width="14.28515625" customWidth="1"/>
    <col min="3298" max="3298" width="13" customWidth="1"/>
    <col min="3299" max="3299" width="12.42578125" customWidth="1"/>
    <col min="3300" max="3300" width="16.5703125" customWidth="1"/>
    <col min="3305" max="3305" width="31.5703125" customWidth="1"/>
    <col min="3306" max="3306" width="14.28515625" customWidth="1"/>
    <col min="3307" max="3307" width="12.85546875" customWidth="1"/>
    <col min="3308" max="3308" width="12.42578125" customWidth="1"/>
    <col min="3309" max="3309" width="4.42578125" customWidth="1"/>
    <col min="3310" max="3310" width="18.28515625" customWidth="1"/>
    <col min="3311" max="3311" width="20.5703125" customWidth="1"/>
    <col min="3312" max="3312" width="14.85546875" customWidth="1"/>
    <col min="3313" max="3313" width="10.7109375" customWidth="1"/>
    <col min="3314" max="3314" width="17.5703125" customWidth="1"/>
    <col min="3316" max="3316" width="10.28515625" customWidth="1"/>
    <col min="3317" max="3317" width="14.7109375" customWidth="1"/>
    <col min="3552" max="3552" width="35" customWidth="1"/>
    <col min="3553" max="3553" width="14.28515625" customWidth="1"/>
    <col min="3554" max="3554" width="13" customWidth="1"/>
    <col min="3555" max="3555" width="12.42578125" customWidth="1"/>
    <col min="3556" max="3556" width="16.5703125" customWidth="1"/>
    <col min="3561" max="3561" width="31.5703125" customWidth="1"/>
    <col min="3562" max="3562" width="14.28515625" customWidth="1"/>
    <col min="3563" max="3563" width="12.85546875" customWidth="1"/>
    <col min="3564" max="3564" width="12.42578125" customWidth="1"/>
    <col min="3565" max="3565" width="4.42578125" customWidth="1"/>
    <col min="3566" max="3566" width="18.28515625" customWidth="1"/>
    <col min="3567" max="3567" width="20.5703125" customWidth="1"/>
    <col min="3568" max="3568" width="14.85546875" customWidth="1"/>
    <col min="3569" max="3569" width="10.7109375" customWidth="1"/>
    <col min="3570" max="3570" width="17.5703125" customWidth="1"/>
    <col min="3572" max="3572" width="10.28515625" customWidth="1"/>
    <col min="3573" max="3573" width="14.7109375" customWidth="1"/>
    <col min="3808" max="3808" width="35" customWidth="1"/>
    <col min="3809" max="3809" width="14.28515625" customWidth="1"/>
    <col min="3810" max="3810" width="13" customWidth="1"/>
    <col min="3811" max="3811" width="12.42578125" customWidth="1"/>
    <col min="3812" max="3812" width="16.5703125" customWidth="1"/>
    <col min="3817" max="3817" width="31.5703125" customWidth="1"/>
    <col min="3818" max="3818" width="14.28515625" customWidth="1"/>
    <col min="3819" max="3819" width="12.85546875" customWidth="1"/>
    <col min="3820" max="3820" width="12.42578125" customWidth="1"/>
    <col min="3821" max="3821" width="4.42578125" customWidth="1"/>
    <col min="3822" max="3822" width="18.28515625" customWidth="1"/>
    <col min="3823" max="3823" width="20.5703125" customWidth="1"/>
    <col min="3824" max="3824" width="14.85546875" customWidth="1"/>
    <col min="3825" max="3825" width="10.7109375" customWidth="1"/>
    <col min="3826" max="3826" width="17.5703125" customWidth="1"/>
    <col min="3828" max="3828" width="10.28515625" customWidth="1"/>
    <col min="3829" max="3829" width="14.7109375" customWidth="1"/>
    <col min="4064" max="4064" width="35" customWidth="1"/>
    <col min="4065" max="4065" width="14.28515625" customWidth="1"/>
    <col min="4066" max="4066" width="13" customWidth="1"/>
    <col min="4067" max="4067" width="12.42578125" customWidth="1"/>
    <col min="4068" max="4068" width="16.5703125" customWidth="1"/>
    <col min="4073" max="4073" width="31.5703125" customWidth="1"/>
    <col min="4074" max="4074" width="14.28515625" customWidth="1"/>
    <col min="4075" max="4075" width="12.85546875" customWidth="1"/>
    <col min="4076" max="4076" width="12.42578125" customWidth="1"/>
    <col min="4077" max="4077" width="4.42578125" customWidth="1"/>
    <col min="4078" max="4078" width="18.28515625" customWidth="1"/>
    <col min="4079" max="4079" width="20.5703125" customWidth="1"/>
    <col min="4080" max="4080" width="14.85546875" customWidth="1"/>
    <col min="4081" max="4081" width="10.7109375" customWidth="1"/>
    <col min="4082" max="4082" width="17.5703125" customWidth="1"/>
    <col min="4084" max="4084" width="10.28515625" customWidth="1"/>
    <col min="4085" max="4085" width="14.7109375" customWidth="1"/>
    <col min="4320" max="4320" width="35" customWidth="1"/>
    <col min="4321" max="4321" width="14.28515625" customWidth="1"/>
    <col min="4322" max="4322" width="13" customWidth="1"/>
    <col min="4323" max="4323" width="12.42578125" customWidth="1"/>
    <col min="4324" max="4324" width="16.5703125" customWidth="1"/>
    <col min="4329" max="4329" width="31.5703125" customWidth="1"/>
    <col min="4330" max="4330" width="14.28515625" customWidth="1"/>
    <col min="4331" max="4331" width="12.85546875" customWidth="1"/>
    <col min="4332" max="4332" width="12.42578125" customWidth="1"/>
    <col min="4333" max="4333" width="4.42578125" customWidth="1"/>
    <col min="4334" max="4334" width="18.28515625" customWidth="1"/>
    <col min="4335" max="4335" width="20.5703125" customWidth="1"/>
    <col min="4336" max="4336" width="14.85546875" customWidth="1"/>
    <col min="4337" max="4337" width="10.7109375" customWidth="1"/>
    <col min="4338" max="4338" width="17.5703125" customWidth="1"/>
    <col min="4340" max="4340" width="10.28515625" customWidth="1"/>
    <col min="4341" max="4341" width="14.7109375" customWidth="1"/>
    <col min="4576" max="4576" width="35" customWidth="1"/>
    <col min="4577" max="4577" width="14.28515625" customWidth="1"/>
    <col min="4578" max="4578" width="13" customWidth="1"/>
    <col min="4579" max="4579" width="12.42578125" customWidth="1"/>
    <col min="4580" max="4580" width="16.5703125" customWidth="1"/>
    <col min="4585" max="4585" width="31.5703125" customWidth="1"/>
    <col min="4586" max="4586" width="14.28515625" customWidth="1"/>
    <col min="4587" max="4587" width="12.85546875" customWidth="1"/>
    <col min="4588" max="4588" width="12.42578125" customWidth="1"/>
    <col min="4589" max="4589" width="4.42578125" customWidth="1"/>
    <col min="4590" max="4590" width="18.28515625" customWidth="1"/>
    <col min="4591" max="4591" width="20.5703125" customWidth="1"/>
    <col min="4592" max="4592" width="14.85546875" customWidth="1"/>
    <col min="4593" max="4593" width="10.7109375" customWidth="1"/>
    <col min="4594" max="4594" width="17.5703125" customWidth="1"/>
    <col min="4596" max="4596" width="10.28515625" customWidth="1"/>
    <col min="4597" max="4597" width="14.7109375" customWidth="1"/>
    <col min="4832" max="4832" width="35" customWidth="1"/>
    <col min="4833" max="4833" width="14.28515625" customWidth="1"/>
    <col min="4834" max="4834" width="13" customWidth="1"/>
    <col min="4835" max="4835" width="12.42578125" customWidth="1"/>
    <col min="4836" max="4836" width="16.5703125" customWidth="1"/>
    <col min="4841" max="4841" width="31.5703125" customWidth="1"/>
    <col min="4842" max="4842" width="14.28515625" customWidth="1"/>
    <col min="4843" max="4843" width="12.85546875" customWidth="1"/>
    <col min="4844" max="4844" width="12.42578125" customWidth="1"/>
    <col min="4845" max="4845" width="4.42578125" customWidth="1"/>
    <col min="4846" max="4846" width="18.28515625" customWidth="1"/>
    <col min="4847" max="4847" width="20.5703125" customWidth="1"/>
    <col min="4848" max="4848" width="14.85546875" customWidth="1"/>
    <col min="4849" max="4849" width="10.7109375" customWidth="1"/>
    <col min="4850" max="4850" width="17.5703125" customWidth="1"/>
    <col min="4852" max="4852" width="10.28515625" customWidth="1"/>
    <col min="4853" max="4853" width="14.7109375" customWidth="1"/>
    <col min="5088" max="5088" width="35" customWidth="1"/>
    <col min="5089" max="5089" width="14.28515625" customWidth="1"/>
    <col min="5090" max="5090" width="13" customWidth="1"/>
    <col min="5091" max="5091" width="12.42578125" customWidth="1"/>
    <col min="5092" max="5092" width="16.5703125" customWidth="1"/>
    <col min="5097" max="5097" width="31.5703125" customWidth="1"/>
    <col min="5098" max="5098" width="14.28515625" customWidth="1"/>
    <col min="5099" max="5099" width="12.85546875" customWidth="1"/>
    <col min="5100" max="5100" width="12.42578125" customWidth="1"/>
    <col min="5101" max="5101" width="4.42578125" customWidth="1"/>
    <col min="5102" max="5102" width="18.28515625" customWidth="1"/>
    <col min="5103" max="5103" width="20.5703125" customWidth="1"/>
    <col min="5104" max="5104" width="14.85546875" customWidth="1"/>
    <col min="5105" max="5105" width="10.7109375" customWidth="1"/>
    <col min="5106" max="5106" width="17.5703125" customWidth="1"/>
    <col min="5108" max="5108" width="10.28515625" customWidth="1"/>
    <col min="5109" max="5109" width="14.7109375" customWidth="1"/>
    <col min="5344" max="5344" width="35" customWidth="1"/>
    <col min="5345" max="5345" width="14.28515625" customWidth="1"/>
    <col min="5346" max="5346" width="13" customWidth="1"/>
    <col min="5347" max="5347" width="12.42578125" customWidth="1"/>
    <col min="5348" max="5348" width="16.5703125" customWidth="1"/>
    <col min="5353" max="5353" width="31.5703125" customWidth="1"/>
    <col min="5354" max="5354" width="14.28515625" customWidth="1"/>
    <col min="5355" max="5355" width="12.85546875" customWidth="1"/>
    <col min="5356" max="5356" width="12.42578125" customWidth="1"/>
    <col min="5357" max="5357" width="4.42578125" customWidth="1"/>
    <col min="5358" max="5358" width="18.28515625" customWidth="1"/>
    <col min="5359" max="5359" width="20.5703125" customWidth="1"/>
    <col min="5360" max="5360" width="14.85546875" customWidth="1"/>
    <col min="5361" max="5361" width="10.7109375" customWidth="1"/>
    <col min="5362" max="5362" width="17.5703125" customWidth="1"/>
    <col min="5364" max="5364" width="10.28515625" customWidth="1"/>
    <col min="5365" max="5365" width="14.7109375" customWidth="1"/>
    <col min="5600" max="5600" width="35" customWidth="1"/>
    <col min="5601" max="5601" width="14.28515625" customWidth="1"/>
    <col min="5602" max="5602" width="13" customWidth="1"/>
    <col min="5603" max="5603" width="12.42578125" customWidth="1"/>
    <col min="5604" max="5604" width="16.5703125" customWidth="1"/>
    <col min="5609" max="5609" width="31.5703125" customWidth="1"/>
    <col min="5610" max="5610" width="14.28515625" customWidth="1"/>
    <col min="5611" max="5611" width="12.85546875" customWidth="1"/>
    <col min="5612" max="5612" width="12.42578125" customWidth="1"/>
    <col min="5613" max="5613" width="4.42578125" customWidth="1"/>
    <col min="5614" max="5614" width="18.28515625" customWidth="1"/>
    <col min="5615" max="5615" width="20.5703125" customWidth="1"/>
    <col min="5616" max="5616" width="14.85546875" customWidth="1"/>
    <col min="5617" max="5617" width="10.7109375" customWidth="1"/>
    <col min="5618" max="5618" width="17.5703125" customWidth="1"/>
    <col min="5620" max="5620" width="10.28515625" customWidth="1"/>
    <col min="5621" max="5621" width="14.7109375" customWidth="1"/>
    <col min="5856" max="5856" width="35" customWidth="1"/>
    <col min="5857" max="5857" width="14.28515625" customWidth="1"/>
    <col min="5858" max="5858" width="13" customWidth="1"/>
    <col min="5859" max="5859" width="12.42578125" customWidth="1"/>
    <col min="5860" max="5860" width="16.5703125" customWidth="1"/>
    <col min="5865" max="5865" width="31.5703125" customWidth="1"/>
    <col min="5866" max="5866" width="14.28515625" customWidth="1"/>
    <col min="5867" max="5867" width="12.85546875" customWidth="1"/>
    <col min="5868" max="5868" width="12.42578125" customWidth="1"/>
    <col min="5869" max="5869" width="4.42578125" customWidth="1"/>
    <col min="5870" max="5870" width="18.28515625" customWidth="1"/>
    <col min="5871" max="5871" width="20.5703125" customWidth="1"/>
    <col min="5872" max="5872" width="14.85546875" customWidth="1"/>
    <col min="5873" max="5873" width="10.7109375" customWidth="1"/>
    <col min="5874" max="5874" width="17.5703125" customWidth="1"/>
    <col min="5876" max="5876" width="10.28515625" customWidth="1"/>
    <col min="5877" max="5877" width="14.7109375" customWidth="1"/>
    <col min="6112" max="6112" width="35" customWidth="1"/>
    <col min="6113" max="6113" width="14.28515625" customWidth="1"/>
    <col min="6114" max="6114" width="13" customWidth="1"/>
    <col min="6115" max="6115" width="12.42578125" customWidth="1"/>
    <col min="6116" max="6116" width="16.5703125" customWidth="1"/>
    <col min="6121" max="6121" width="31.5703125" customWidth="1"/>
    <col min="6122" max="6122" width="14.28515625" customWidth="1"/>
    <col min="6123" max="6123" width="12.85546875" customWidth="1"/>
    <col min="6124" max="6124" width="12.42578125" customWidth="1"/>
    <col min="6125" max="6125" width="4.42578125" customWidth="1"/>
    <col min="6126" max="6126" width="18.28515625" customWidth="1"/>
    <col min="6127" max="6127" width="20.5703125" customWidth="1"/>
    <col min="6128" max="6128" width="14.85546875" customWidth="1"/>
    <col min="6129" max="6129" width="10.7109375" customWidth="1"/>
    <col min="6130" max="6130" width="17.5703125" customWidth="1"/>
    <col min="6132" max="6132" width="10.28515625" customWidth="1"/>
    <col min="6133" max="6133" width="14.7109375" customWidth="1"/>
    <col min="6368" max="6368" width="35" customWidth="1"/>
    <col min="6369" max="6369" width="14.28515625" customWidth="1"/>
    <col min="6370" max="6370" width="13" customWidth="1"/>
    <col min="6371" max="6371" width="12.42578125" customWidth="1"/>
    <col min="6372" max="6372" width="16.5703125" customWidth="1"/>
    <col min="6377" max="6377" width="31.5703125" customWidth="1"/>
    <col min="6378" max="6378" width="14.28515625" customWidth="1"/>
    <col min="6379" max="6379" width="12.85546875" customWidth="1"/>
    <col min="6380" max="6380" width="12.42578125" customWidth="1"/>
    <col min="6381" max="6381" width="4.42578125" customWidth="1"/>
    <col min="6382" max="6382" width="18.28515625" customWidth="1"/>
    <col min="6383" max="6383" width="20.5703125" customWidth="1"/>
    <col min="6384" max="6384" width="14.85546875" customWidth="1"/>
    <col min="6385" max="6385" width="10.7109375" customWidth="1"/>
    <col min="6386" max="6386" width="17.5703125" customWidth="1"/>
    <col min="6388" max="6388" width="10.28515625" customWidth="1"/>
    <col min="6389" max="6389" width="14.7109375" customWidth="1"/>
    <col min="6624" max="6624" width="35" customWidth="1"/>
    <col min="6625" max="6625" width="14.28515625" customWidth="1"/>
    <col min="6626" max="6626" width="13" customWidth="1"/>
    <col min="6627" max="6627" width="12.42578125" customWidth="1"/>
    <col min="6628" max="6628" width="16.5703125" customWidth="1"/>
    <col min="6633" max="6633" width="31.5703125" customWidth="1"/>
    <col min="6634" max="6634" width="14.28515625" customWidth="1"/>
    <col min="6635" max="6635" width="12.85546875" customWidth="1"/>
    <col min="6636" max="6636" width="12.42578125" customWidth="1"/>
    <col min="6637" max="6637" width="4.42578125" customWidth="1"/>
    <col min="6638" max="6638" width="18.28515625" customWidth="1"/>
    <col min="6639" max="6639" width="20.5703125" customWidth="1"/>
    <col min="6640" max="6640" width="14.85546875" customWidth="1"/>
    <col min="6641" max="6641" width="10.7109375" customWidth="1"/>
    <col min="6642" max="6642" width="17.5703125" customWidth="1"/>
    <col min="6644" max="6644" width="10.28515625" customWidth="1"/>
    <col min="6645" max="6645" width="14.7109375" customWidth="1"/>
    <col min="6880" max="6880" width="35" customWidth="1"/>
    <col min="6881" max="6881" width="14.28515625" customWidth="1"/>
    <col min="6882" max="6882" width="13" customWidth="1"/>
    <col min="6883" max="6883" width="12.42578125" customWidth="1"/>
    <col min="6884" max="6884" width="16.5703125" customWidth="1"/>
    <col min="6889" max="6889" width="31.5703125" customWidth="1"/>
    <col min="6890" max="6890" width="14.28515625" customWidth="1"/>
    <col min="6891" max="6891" width="12.85546875" customWidth="1"/>
    <col min="6892" max="6892" width="12.42578125" customWidth="1"/>
    <col min="6893" max="6893" width="4.42578125" customWidth="1"/>
    <col min="6894" max="6894" width="18.28515625" customWidth="1"/>
    <col min="6895" max="6895" width="20.5703125" customWidth="1"/>
    <col min="6896" max="6896" width="14.85546875" customWidth="1"/>
    <col min="6897" max="6897" width="10.7109375" customWidth="1"/>
    <col min="6898" max="6898" width="17.5703125" customWidth="1"/>
    <col min="6900" max="6900" width="10.28515625" customWidth="1"/>
    <col min="6901" max="6901" width="14.7109375" customWidth="1"/>
    <col min="7136" max="7136" width="35" customWidth="1"/>
    <col min="7137" max="7137" width="14.28515625" customWidth="1"/>
    <col min="7138" max="7138" width="13" customWidth="1"/>
    <col min="7139" max="7139" width="12.42578125" customWidth="1"/>
    <col min="7140" max="7140" width="16.5703125" customWidth="1"/>
    <col min="7145" max="7145" width="31.5703125" customWidth="1"/>
    <col min="7146" max="7146" width="14.28515625" customWidth="1"/>
    <col min="7147" max="7147" width="12.85546875" customWidth="1"/>
    <col min="7148" max="7148" width="12.42578125" customWidth="1"/>
    <col min="7149" max="7149" width="4.42578125" customWidth="1"/>
    <col min="7150" max="7150" width="18.28515625" customWidth="1"/>
    <col min="7151" max="7151" width="20.5703125" customWidth="1"/>
    <col min="7152" max="7152" width="14.85546875" customWidth="1"/>
    <col min="7153" max="7153" width="10.7109375" customWidth="1"/>
    <col min="7154" max="7154" width="17.5703125" customWidth="1"/>
    <col min="7156" max="7156" width="10.28515625" customWidth="1"/>
    <col min="7157" max="7157" width="14.7109375" customWidth="1"/>
    <col min="7392" max="7392" width="35" customWidth="1"/>
    <col min="7393" max="7393" width="14.28515625" customWidth="1"/>
    <col min="7394" max="7394" width="13" customWidth="1"/>
    <col min="7395" max="7395" width="12.42578125" customWidth="1"/>
    <col min="7396" max="7396" width="16.5703125" customWidth="1"/>
    <col min="7401" max="7401" width="31.5703125" customWidth="1"/>
    <col min="7402" max="7402" width="14.28515625" customWidth="1"/>
    <col min="7403" max="7403" width="12.85546875" customWidth="1"/>
    <col min="7404" max="7404" width="12.42578125" customWidth="1"/>
    <col min="7405" max="7405" width="4.42578125" customWidth="1"/>
    <col min="7406" max="7406" width="18.28515625" customWidth="1"/>
    <col min="7407" max="7407" width="20.5703125" customWidth="1"/>
    <col min="7408" max="7408" width="14.85546875" customWidth="1"/>
    <col min="7409" max="7409" width="10.7109375" customWidth="1"/>
    <col min="7410" max="7410" width="17.5703125" customWidth="1"/>
    <col min="7412" max="7412" width="10.28515625" customWidth="1"/>
    <col min="7413" max="7413" width="14.7109375" customWidth="1"/>
    <col min="7648" max="7648" width="35" customWidth="1"/>
    <col min="7649" max="7649" width="14.28515625" customWidth="1"/>
    <col min="7650" max="7650" width="13" customWidth="1"/>
    <col min="7651" max="7651" width="12.42578125" customWidth="1"/>
    <col min="7652" max="7652" width="16.5703125" customWidth="1"/>
    <col min="7657" max="7657" width="31.5703125" customWidth="1"/>
    <col min="7658" max="7658" width="14.28515625" customWidth="1"/>
    <col min="7659" max="7659" width="12.85546875" customWidth="1"/>
    <col min="7660" max="7660" width="12.42578125" customWidth="1"/>
    <col min="7661" max="7661" width="4.42578125" customWidth="1"/>
    <col min="7662" max="7662" width="18.28515625" customWidth="1"/>
    <col min="7663" max="7663" width="20.5703125" customWidth="1"/>
    <col min="7664" max="7664" width="14.85546875" customWidth="1"/>
    <col min="7665" max="7665" width="10.7109375" customWidth="1"/>
    <col min="7666" max="7666" width="17.5703125" customWidth="1"/>
    <col min="7668" max="7668" width="10.28515625" customWidth="1"/>
    <col min="7669" max="7669" width="14.7109375" customWidth="1"/>
    <col min="7904" max="7904" width="35" customWidth="1"/>
    <col min="7905" max="7905" width="14.28515625" customWidth="1"/>
    <col min="7906" max="7906" width="13" customWidth="1"/>
    <col min="7907" max="7907" width="12.42578125" customWidth="1"/>
    <col min="7908" max="7908" width="16.5703125" customWidth="1"/>
    <col min="7913" max="7913" width="31.5703125" customWidth="1"/>
    <col min="7914" max="7914" width="14.28515625" customWidth="1"/>
    <col min="7915" max="7915" width="12.85546875" customWidth="1"/>
    <col min="7916" max="7916" width="12.42578125" customWidth="1"/>
    <col min="7917" max="7917" width="4.42578125" customWidth="1"/>
    <col min="7918" max="7918" width="18.28515625" customWidth="1"/>
    <col min="7919" max="7919" width="20.5703125" customWidth="1"/>
    <col min="7920" max="7920" width="14.85546875" customWidth="1"/>
    <col min="7921" max="7921" width="10.7109375" customWidth="1"/>
    <col min="7922" max="7922" width="17.5703125" customWidth="1"/>
    <col min="7924" max="7924" width="10.28515625" customWidth="1"/>
    <col min="7925" max="7925" width="14.7109375" customWidth="1"/>
    <col min="8160" max="8160" width="35" customWidth="1"/>
    <col min="8161" max="8161" width="14.28515625" customWidth="1"/>
    <col min="8162" max="8162" width="13" customWidth="1"/>
    <col min="8163" max="8163" width="12.42578125" customWidth="1"/>
    <col min="8164" max="8164" width="16.5703125" customWidth="1"/>
    <col min="8169" max="8169" width="31.5703125" customWidth="1"/>
    <col min="8170" max="8170" width="14.28515625" customWidth="1"/>
    <col min="8171" max="8171" width="12.85546875" customWidth="1"/>
    <col min="8172" max="8172" width="12.42578125" customWidth="1"/>
    <col min="8173" max="8173" width="4.42578125" customWidth="1"/>
    <col min="8174" max="8174" width="18.28515625" customWidth="1"/>
    <col min="8175" max="8175" width="20.5703125" customWidth="1"/>
    <col min="8176" max="8176" width="14.85546875" customWidth="1"/>
    <col min="8177" max="8177" width="10.7109375" customWidth="1"/>
    <col min="8178" max="8178" width="17.5703125" customWidth="1"/>
    <col min="8180" max="8180" width="10.28515625" customWidth="1"/>
    <col min="8181" max="8181" width="14.7109375" customWidth="1"/>
    <col min="8416" max="8416" width="35" customWidth="1"/>
    <col min="8417" max="8417" width="14.28515625" customWidth="1"/>
    <col min="8418" max="8418" width="13" customWidth="1"/>
    <col min="8419" max="8419" width="12.42578125" customWidth="1"/>
    <col min="8420" max="8420" width="16.5703125" customWidth="1"/>
    <col min="8425" max="8425" width="31.5703125" customWidth="1"/>
    <col min="8426" max="8426" width="14.28515625" customWidth="1"/>
    <col min="8427" max="8427" width="12.85546875" customWidth="1"/>
    <col min="8428" max="8428" width="12.42578125" customWidth="1"/>
    <col min="8429" max="8429" width="4.42578125" customWidth="1"/>
    <col min="8430" max="8430" width="18.28515625" customWidth="1"/>
    <col min="8431" max="8431" width="20.5703125" customWidth="1"/>
    <col min="8432" max="8432" width="14.85546875" customWidth="1"/>
    <col min="8433" max="8433" width="10.7109375" customWidth="1"/>
    <col min="8434" max="8434" width="17.5703125" customWidth="1"/>
    <col min="8436" max="8436" width="10.28515625" customWidth="1"/>
    <col min="8437" max="8437" width="14.7109375" customWidth="1"/>
    <col min="8672" max="8672" width="35" customWidth="1"/>
    <col min="8673" max="8673" width="14.28515625" customWidth="1"/>
    <col min="8674" max="8674" width="13" customWidth="1"/>
    <col min="8675" max="8675" width="12.42578125" customWidth="1"/>
    <col min="8676" max="8676" width="16.5703125" customWidth="1"/>
    <col min="8681" max="8681" width="31.5703125" customWidth="1"/>
    <col min="8682" max="8682" width="14.28515625" customWidth="1"/>
    <col min="8683" max="8683" width="12.85546875" customWidth="1"/>
    <col min="8684" max="8684" width="12.42578125" customWidth="1"/>
    <col min="8685" max="8685" width="4.42578125" customWidth="1"/>
    <col min="8686" max="8686" width="18.28515625" customWidth="1"/>
    <col min="8687" max="8687" width="20.5703125" customWidth="1"/>
    <col min="8688" max="8688" width="14.85546875" customWidth="1"/>
    <col min="8689" max="8689" width="10.7109375" customWidth="1"/>
    <col min="8690" max="8690" width="17.5703125" customWidth="1"/>
    <col min="8692" max="8692" width="10.28515625" customWidth="1"/>
    <col min="8693" max="8693" width="14.7109375" customWidth="1"/>
    <col min="8928" max="8928" width="35" customWidth="1"/>
    <col min="8929" max="8929" width="14.28515625" customWidth="1"/>
    <col min="8930" max="8930" width="13" customWidth="1"/>
    <col min="8931" max="8931" width="12.42578125" customWidth="1"/>
    <col min="8932" max="8932" width="16.5703125" customWidth="1"/>
    <col min="8937" max="8937" width="31.5703125" customWidth="1"/>
    <col min="8938" max="8938" width="14.28515625" customWidth="1"/>
    <col min="8939" max="8939" width="12.85546875" customWidth="1"/>
    <col min="8940" max="8940" width="12.42578125" customWidth="1"/>
    <col min="8941" max="8941" width="4.42578125" customWidth="1"/>
    <col min="8942" max="8942" width="18.28515625" customWidth="1"/>
    <col min="8943" max="8943" width="20.5703125" customWidth="1"/>
    <col min="8944" max="8944" width="14.85546875" customWidth="1"/>
    <col min="8945" max="8945" width="10.7109375" customWidth="1"/>
    <col min="8946" max="8946" width="17.5703125" customWidth="1"/>
    <col min="8948" max="8948" width="10.28515625" customWidth="1"/>
    <col min="8949" max="8949" width="14.7109375" customWidth="1"/>
    <col min="9184" max="9184" width="35" customWidth="1"/>
    <col min="9185" max="9185" width="14.28515625" customWidth="1"/>
    <col min="9186" max="9186" width="13" customWidth="1"/>
    <col min="9187" max="9187" width="12.42578125" customWidth="1"/>
    <col min="9188" max="9188" width="16.5703125" customWidth="1"/>
    <col min="9193" max="9193" width="31.5703125" customWidth="1"/>
    <col min="9194" max="9194" width="14.28515625" customWidth="1"/>
    <col min="9195" max="9195" width="12.85546875" customWidth="1"/>
    <col min="9196" max="9196" width="12.42578125" customWidth="1"/>
    <col min="9197" max="9197" width="4.42578125" customWidth="1"/>
    <col min="9198" max="9198" width="18.28515625" customWidth="1"/>
    <col min="9199" max="9199" width="20.5703125" customWidth="1"/>
    <col min="9200" max="9200" width="14.85546875" customWidth="1"/>
    <col min="9201" max="9201" width="10.7109375" customWidth="1"/>
    <col min="9202" max="9202" width="17.5703125" customWidth="1"/>
    <col min="9204" max="9204" width="10.28515625" customWidth="1"/>
    <col min="9205" max="9205" width="14.7109375" customWidth="1"/>
    <col min="9440" max="9440" width="35" customWidth="1"/>
    <col min="9441" max="9441" width="14.28515625" customWidth="1"/>
    <col min="9442" max="9442" width="13" customWidth="1"/>
    <col min="9443" max="9443" width="12.42578125" customWidth="1"/>
    <col min="9444" max="9444" width="16.5703125" customWidth="1"/>
    <col min="9449" max="9449" width="31.5703125" customWidth="1"/>
    <col min="9450" max="9450" width="14.28515625" customWidth="1"/>
    <col min="9451" max="9451" width="12.85546875" customWidth="1"/>
    <col min="9452" max="9452" width="12.42578125" customWidth="1"/>
    <col min="9453" max="9453" width="4.42578125" customWidth="1"/>
    <col min="9454" max="9454" width="18.28515625" customWidth="1"/>
    <col min="9455" max="9455" width="20.5703125" customWidth="1"/>
    <col min="9456" max="9456" width="14.85546875" customWidth="1"/>
    <col min="9457" max="9457" width="10.7109375" customWidth="1"/>
    <col min="9458" max="9458" width="17.5703125" customWidth="1"/>
    <col min="9460" max="9460" width="10.28515625" customWidth="1"/>
    <col min="9461" max="9461" width="14.7109375" customWidth="1"/>
    <col min="9696" max="9696" width="35" customWidth="1"/>
    <col min="9697" max="9697" width="14.28515625" customWidth="1"/>
    <col min="9698" max="9698" width="13" customWidth="1"/>
    <col min="9699" max="9699" width="12.42578125" customWidth="1"/>
    <col min="9700" max="9700" width="16.5703125" customWidth="1"/>
    <col min="9705" max="9705" width="31.5703125" customWidth="1"/>
    <col min="9706" max="9706" width="14.28515625" customWidth="1"/>
    <col min="9707" max="9707" width="12.85546875" customWidth="1"/>
    <col min="9708" max="9708" width="12.42578125" customWidth="1"/>
    <col min="9709" max="9709" width="4.42578125" customWidth="1"/>
    <col min="9710" max="9710" width="18.28515625" customWidth="1"/>
    <col min="9711" max="9711" width="20.5703125" customWidth="1"/>
    <col min="9712" max="9712" width="14.85546875" customWidth="1"/>
    <col min="9713" max="9713" width="10.7109375" customWidth="1"/>
    <col min="9714" max="9714" width="17.5703125" customWidth="1"/>
    <col min="9716" max="9716" width="10.28515625" customWidth="1"/>
    <col min="9717" max="9717" width="14.7109375" customWidth="1"/>
    <col min="9952" max="9952" width="35" customWidth="1"/>
    <col min="9953" max="9953" width="14.28515625" customWidth="1"/>
    <col min="9954" max="9954" width="13" customWidth="1"/>
    <col min="9955" max="9955" width="12.42578125" customWidth="1"/>
    <col min="9956" max="9956" width="16.5703125" customWidth="1"/>
    <col min="9961" max="9961" width="31.5703125" customWidth="1"/>
    <col min="9962" max="9962" width="14.28515625" customWidth="1"/>
    <col min="9963" max="9963" width="12.85546875" customWidth="1"/>
    <col min="9964" max="9964" width="12.42578125" customWidth="1"/>
    <col min="9965" max="9965" width="4.42578125" customWidth="1"/>
    <col min="9966" max="9966" width="18.28515625" customWidth="1"/>
    <col min="9967" max="9967" width="20.5703125" customWidth="1"/>
    <col min="9968" max="9968" width="14.85546875" customWidth="1"/>
    <col min="9969" max="9969" width="10.7109375" customWidth="1"/>
    <col min="9970" max="9970" width="17.5703125" customWidth="1"/>
    <col min="9972" max="9972" width="10.28515625" customWidth="1"/>
    <col min="9973" max="9973" width="14.7109375" customWidth="1"/>
    <col min="10208" max="10208" width="35" customWidth="1"/>
    <col min="10209" max="10209" width="14.28515625" customWidth="1"/>
    <col min="10210" max="10210" width="13" customWidth="1"/>
    <col min="10211" max="10211" width="12.42578125" customWidth="1"/>
    <col min="10212" max="10212" width="16.5703125" customWidth="1"/>
    <col min="10217" max="10217" width="31.5703125" customWidth="1"/>
    <col min="10218" max="10218" width="14.28515625" customWidth="1"/>
    <col min="10219" max="10219" width="12.85546875" customWidth="1"/>
    <col min="10220" max="10220" width="12.42578125" customWidth="1"/>
    <col min="10221" max="10221" width="4.42578125" customWidth="1"/>
    <col min="10222" max="10222" width="18.28515625" customWidth="1"/>
    <col min="10223" max="10223" width="20.5703125" customWidth="1"/>
    <col min="10224" max="10224" width="14.85546875" customWidth="1"/>
    <col min="10225" max="10225" width="10.7109375" customWidth="1"/>
    <col min="10226" max="10226" width="17.5703125" customWidth="1"/>
    <col min="10228" max="10228" width="10.28515625" customWidth="1"/>
    <col min="10229" max="10229" width="14.7109375" customWidth="1"/>
    <col min="10464" max="10464" width="35" customWidth="1"/>
    <col min="10465" max="10465" width="14.28515625" customWidth="1"/>
    <col min="10466" max="10466" width="13" customWidth="1"/>
    <col min="10467" max="10467" width="12.42578125" customWidth="1"/>
    <col min="10468" max="10468" width="16.5703125" customWidth="1"/>
    <col min="10473" max="10473" width="31.5703125" customWidth="1"/>
    <col min="10474" max="10474" width="14.28515625" customWidth="1"/>
    <col min="10475" max="10475" width="12.85546875" customWidth="1"/>
    <col min="10476" max="10476" width="12.42578125" customWidth="1"/>
    <col min="10477" max="10477" width="4.42578125" customWidth="1"/>
    <col min="10478" max="10478" width="18.28515625" customWidth="1"/>
    <col min="10479" max="10479" width="20.5703125" customWidth="1"/>
    <col min="10480" max="10480" width="14.85546875" customWidth="1"/>
    <col min="10481" max="10481" width="10.7109375" customWidth="1"/>
    <col min="10482" max="10482" width="17.5703125" customWidth="1"/>
    <col min="10484" max="10484" width="10.28515625" customWidth="1"/>
    <col min="10485" max="10485" width="14.7109375" customWidth="1"/>
    <col min="10720" max="10720" width="35" customWidth="1"/>
    <col min="10721" max="10721" width="14.28515625" customWidth="1"/>
    <col min="10722" max="10722" width="13" customWidth="1"/>
    <col min="10723" max="10723" width="12.42578125" customWidth="1"/>
    <col min="10724" max="10724" width="16.5703125" customWidth="1"/>
    <col min="10729" max="10729" width="31.5703125" customWidth="1"/>
    <col min="10730" max="10730" width="14.28515625" customWidth="1"/>
    <col min="10731" max="10731" width="12.85546875" customWidth="1"/>
    <col min="10732" max="10732" width="12.42578125" customWidth="1"/>
    <col min="10733" max="10733" width="4.42578125" customWidth="1"/>
    <col min="10734" max="10734" width="18.28515625" customWidth="1"/>
    <col min="10735" max="10735" width="20.5703125" customWidth="1"/>
    <col min="10736" max="10736" width="14.85546875" customWidth="1"/>
    <col min="10737" max="10737" width="10.7109375" customWidth="1"/>
    <col min="10738" max="10738" width="17.5703125" customWidth="1"/>
    <col min="10740" max="10740" width="10.28515625" customWidth="1"/>
    <col min="10741" max="10741" width="14.7109375" customWidth="1"/>
    <col min="10976" max="10976" width="35" customWidth="1"/>
    <col min="10977" max="10977" width="14.28515625" customWidth="1"/>
    <col min="10978" max="10978" width="13" customWidth="1"/>
    <col min="10979" max="10979" width="12.42578125" customWidth="1"/>
    <col min="10980" max="10980" width="16.5703125" customWidth="1"/>
    <col min="10985" max="10985" width="31.5703125" customWidth="1"/>
    <col min="10986" max="10986" width="14.28515625" customWidth="1"/>
    <col min="10987" max="10987" width="12.85546875" customWidth="1"/>
    <col min="10988" max="10988" width="12.42578125" customWidth="1"/>
    <col min="10989" max="10989" width="4.42578125" customWidth="1"/>
    <col min="10990" max="10990" width="18.28515625" customWidth="1"/>
    <col min="10991" max="10991" width="20.5703125" customWidth="1"/>
    <col min="10992" max="10992" width="14.85546875" customWidth="1"/>
    <col min="10993" max="10993" width="10.7109375" customWidth="1"/>
    <col min="10994" max="10994" width="17.5703125" customWidth="1"/>
    <col min="10996" max="10996" width="10.28515625" customWidth="1"/>
    <col min="10997" max="10997" width="14.7109375" customWidth="1"/>
    <col min="11232" max="11232" width="35" customWidth="1"/>
    <col min="11233" max="11233" width="14.28515625" customWidth="1"/>
    <col min="11234" max="11234" width="13" customWidth="1"/>
    <col min="11235" max="11235" width="12.42578125" customWidth="1"/>
    <col min="11236" max="11236" width="16.5703125" customWidth="1"/>
    <col min="11241" max="11241" width="31.5703125" customWidth="1"/>
    <col min="11242" max="11242" width="14.28515625" customWidth="1"/>
    <col min="11243" max="11243" width="12.85546875" customWidth="1"/>
    <col min="11244" max="11244" width="12.42578125" customWidth="1"/>
    <col min="11245" max="11245" width="4.42578125" customWidth="1"/>
    <col min="11246" max="11246" width="18.28515625" customWidth="1"/>
    <col min="11247" max="11247" width="20.5703125" customWidth="1"/>
    <col min="11248" max="11248" width="14.85546875" customWidth="1"/>
    <col min="11249" max="11249" width="10.7109375" customWidth="1"/>
    <col min="11250" max="11250" width="17.5703125" customWidth="1"/>
    <col min="11252" max="11252" width="10.28515625" customWidth="1"/>
    <col min="11253" max="11253" width="14.7109375" customWidth="1"/>
    <col min="11488" max="11488" width="35" customWidth="1"/>
    <col min="11489" max="11489" width="14.28515625" customWidth="1"/>
    <col min="11490" max="11490" width="13" customWidth="1"/>
    <col min="11491" max="11491" width="12.42578125" customWidth="1"/>
    <col min="11492" max="11492" width="16.5703125" customWidth="1"/>
    <col min="11497" max="11497" width="31.5703125" customWidth="1"/>
    <col min="11498" max="11498" width="14.28515625" customWidth="1"/>
    <col min="11499" max="11499" width="12.85546875" customWidth="1"/>
    <col min="11500" max="11500" width="12.42578125" customWidth="1"/>
    <col min="11501" max="11501" width="4.42578125" customWidth="1"/>
    <col min="11502" max="11502" width="18.28515625" customWidth="1"/>
    <col min="11503" max="11503" width="20.5703125" customWidth="1"/>
    <col min="11504" max="11504" width="14.85546875" customWidth="1"/>
    <col min="11505" max="11505" width="10.7109375" customWidth="1"/>
    <col min="11506" max="11506" width="17.5703125" customWidth="1"/>
    <col min="11508" max="11508" width="10.28515625" customWidth="1"/>
    <col min="11509" max="11509" width="14.7109375" customWidth="1"/>
    <col min="11744" max="11744" width="35" customWidth="1"/>
    <col min="11745" max="11745" width="14.28515625" customWidth="1"/>
    <col min="11746" max="11746" width="13" customWidth="1"/>
    <col min="11747" max="11747" width="12.42578125" customWidth="1"/>
    <col min="11748" max="11748" width="16.5703125" customWidth="1"/>
    <col min="11753" max="11753" width="31.5703125" customWidth="1"/>
    <col min="11754" max="11754" width="14.28515625" customWidth="1"/>
    <col min="11755" max="11755" width="12.85546875" customWidth="1"/>
    <col min="11756" max="11756" width="12.42578125" customWidth="1"/>
    <col min="11757" max="11757" width="4.42578125" customWidth="1"/>
    <col min="11758" max="11758" width="18.28515625" customWidth="1"/>
    <col min="11759" max="11759" width="20.5703125" customWidth="1"/>
    <col min="11760" max="11760" width="14.85546875" customWidth="1"/>
    <col min="11761" max="11761" width="10.7109375" customWidth="1"/>
    <col min="11762" max="11762" width="17.5703125" customWidth="1"/>
    <col min="11764" max="11764" width="10.28515625" customWidth="1"/>
    <col min="11765" max="11765" width="14.7109375" customWidth="1"/>
    <col min="12000" max="12000" width="35" customWidth="1"/>
    <col min="12001" max="12001" width="14.28515625" customWidth="1"/>
    <col min="12002" max="12002" width="13" customWidth="1"/>
    <col min="12003" max="12003" width="12.42578125" customWidth="1"/>
    <col min="12004" max="12004" width="16.5703125" customWidth="1"/>
    <col min="12009" max="12009" width="31.5703125" customWidth="1"/>
    <col min="12010" max="12010" width="14.28515625" customWidth="1"/>
    <col min="12011" max="12011" width="12.85546875" customWidth="1"/>
    <col min="12012" max="12012" width="12.42578125" customWidth="1"/>
    <col min="12013" max="12013" width="4.42578125" customWidth="1"/>
    <col min="12014" max="12014" width="18.28515625" customWidth="1"/>
    <col min="12015" max="12015" width="20.5703125" customWidth="1"/>
    <col min="12016" max="12016" width="14.85546875" customWidth="1"/>
    <col min="12017" max="12017" width="10.7109375" customWidth="1"/>
    <col min="12018" max="12018" width="17.5703125" customWidth="1"/>
    <col min="12020" max="12020" width="10.28515625" customWidth="1"/>
    <col min="12021" max="12021" width="14.7109375" customWidth="1"/>
    <col min="12256" max="12256" width="35" customWidth="1"/>
    <col min="12257" max="12257" width="14.28515625" customWidth="1"/>
    <col min="12258" max="12258" width="13" customWidth="1"/>
    <col min="12259" max="12259" width="12.42578125" customWidth="1"/>
    <col min="12260" max="12260" width="16.5703125" customWidth="1"/>
    <col min="12265" max="12265" width="31.5703125" customWidth="1"/>
    <col min="12266" max="12266" width="14.28515625" customWidth="1"/>
    <col min="12267" max="12267" width="12.85546875" customWidth="1"/>
    <col min="12268" max="12268" width="12.42578125" customWidth="1"/>
    <col min="12269" max="12269" width="4.42578125" customWidth="1"/>
    <col min="12270" max="12270" width="18.28515625" customWidth="1"/>
    <col min="12271" max="12271" width="20.5703125" customWidth="1"/>
    <col min="12272" max="12272" width="14.85546875" customWidth="1"/>
    <col min="12273" max="12273" width="10.7109375" customWidth="1"/>
    <col min="12274" max="12274" width="17.5703125" customWidth="1"/>
    <col min="12276" max="12276" width="10.28515625" customWidth="1"/>
    <col min="12277" max="12277" width="14.7109375" customWidth="1"/>
    <col min="12512" max="12512" width="35" customWidth="1"/>
    <col min="12513" max="12513" width="14.28515625" customWidth="1"/>
    <col min="12514" max="12514" width="13" customWidth="1"/>
    <col min="12515" max="12515" width="12.42578125" customWidth="1"/>
    <col min="12516" max="12516" width="16.5703125" customWidth="1"/>
    <col min="12521" max="12521" width="31.5703125" customWidth="1"/>
    <col min="12522" max="12522" width="14.28515625" customWidth="1"/>
    <col min="12523" max="12523" width="12.85546875" customWidth="1"/>
    <col min="12524" max="12524" width="12.42578125" customWidth="1"/>
    <col min="12525" max="12525" width="4.42578125" customWidth="1"/>
    <col min="12526" max="12526" width="18.28515625" customWidth="1"/>
    <col min="12527" max="12527" width="20.5703125" customWidth="1"/>
    <col min="12528" max="12528" width="14.85546875" customWidth="1"/>
    <col min="12529" max="12529" width="10.7109375" customWidth="1"/>
    <col min="12530" max="12530" width="17.5703125" customWidth="1"/>
    <col min="12532" max="12532" width="10.28515625" customWidth="1"/>
    <col min="12533" max="12533" width="14.7109375" customWidth="1"/>
    <col min="12768" max="12768" width="35" customWidth="1"/>
    <col min="12769" max="12769" width="14.28515625" customWidth="1"/>
    <col min="12770" max="12770" width="13" customWidth="1"/>
    <col min="12771" max="12771" width="12.42578125" customWidth="1"/>
    <col min="12772" max="12772" width="16.5703125" customWidth="1"/>
    <col min="12777" max="12777" width="31.5703125" customWidth="1"/>
    <col min="12778" max="12778" width="14.28515625" customWidth="1"/>
    <col min="12779" max="12779" width="12.85546875" customWidth="1"/>
    <col min="12780" max="12780" width="12.42578125" customWidth="1"/>
    <col min="12781" max="12781" width="4.42578125" customWidth="1"/>
    <col min="12782" max="12782" width="18.28515625" customWidth="1"/>
    <col min="12783" max="12783" width="20.5703125" customWidth="1"/>
    <col min="12784" max="12784" width="14.85546875" customWidth="1"/>
    <col min="12785" max="12785" width="10.7109375" customWidth="1"/>
    <col min="12786" max="12786" width="17.5703125" customWidth="1"/>
    <col min="12788" max="12788" width="10.28515625" customWidth="1"/>
    <col min="12789" max="12789" width="14.7109375" customWidth="1"/>
    <col min="13024" max="13024" width="35" customWidth="1"/>
    <col min="13025" max="13025" width="14.28515625" customWidth="1"/>
    <col min="13026" max="13026" width="13" customWidth="1"/>
    <col min="13027" max="13027" width="12.42578125" customWidth="1"/>
    <col min="13028" max="13028" width="16.5703125" customWidth="1"/>
    <col min="13033" max="13033" width="31.5703125" customWidth="1"/>
    <col min="13034" max="13034" width="14.28515625" customWidth="1"/>
    <col min="13035" max="13035" width="12.85546875" customWidth="1"/>
    <col min="13036" max="13036" width="12.42578125" customWidth="1"/>
    <col min="13037" max="13037" width="4.42578125" customWidth="1"/>
    <col min="13038" max="13038" width="18.28515625" customWidth="1"/>
    <col min="13039" max="13039" width="20.5703125" customWidth="1"/>
    <col min="13040" max="13040" width="14.85546875" customWidth="1"/>
    <col min="13041" max="13041" width="10.7109375" customWidth="1"/>
    <col min="13042" max="13042" width="17.5703125" customWidth="1"/>
    <col min="13044" max="13044" width="10.28515625" customWidth="1"/>
    <col min="13045" max="13045" width="14.7109375" customWidth="1"/>
    <col min="13280" max="13280" width="35" customWidth="1"/>
    <col min="13281" max="13281" width="14.28515625" customWidth="1"/>
    <col min="13282" max="13282" width="13" customWidth="1"/>
    <col min="13283" max="13283" width="12.42578125" customWidth="1"/>
    <col min="13284" max="13284" width="16.5703125" customWidth="1"/>
    <col min="13289" max="13289" width="31.5703125" customWidth="1"/>
    <col min="13290" max="13290" width="14.28515625" customWidth="1"/>
    <col min="13291" max="13291" width="12.85546875" customWidth="1"/>
    <col min="13292" max="13292" width="12.42578125" customWidth="1"/>
    <col min="13293" max="13293" width="4.42578125" customWidth="1"/>
    <col min="13294" max="13294" width="18.28515625" customWidth="1"/>
    <col min="13295" max="13295" width="20.5703125" customWidth="1"/>
    <col min="13296" max="13296" width="14.85546875" customWidth="1"/>
    <col min="13297" max="13297" width="10.7109375" customWidth="1"/>
    <col min="13298" max="13298" width="17.5703125" customWidth="1"/>
    <col min="13300" max="13300" width="10.28515625" customWidth="1"/>
    <col min="13301" max="13301" width="14.7109375" customWidth="1"/>
    <col min="13536" max="13536" width="35" customWidth="1"/>
    <col min="13537" max="13537" width="14.28515625" customWidth="1"/>
    <col min="13538" max="13538" width="13" customWidth="1"/>
    <col min="13539" max="13539" width="12.42578125" customWidth="1"/>
    <col min="13540" max="13540" width="16.5703125" customWidth="1"/>
    <col min="13545" max="13545" width="31.5703125" customWidth="1"/>
    <col min="13546" max="13546" width="14.28515625" customWidth="1"/>
    <col min="13547" max="13547" width="12.85546875" customWidth="1"/>
    <col min="13548" max="13548" width="12.42578125" customWidth="1"/>
    <col min="13549" max="13549" width="4.42578125" customWidth="1"/>
    <col min="13550" max="13550" width="18.28515625" customWidth="1"/>
    <col min="13551" max="13551" width="20.5703125" customWidth="1"/>
    <col min="13552" max="13552" width="14.85546875" customWidth="1"/>
    <col min="13553" max="13553" width="10.7109375" customWidth="1"/>
    <col min="13554" max="13554" width="17.5703125" customWidth="1"/>
    <col min="13556" max="13556" width="10.28515625" customWidth="1"/>
    <col min="13557" max="13557" width="14.7109375" customWidth="1"/>
    <col min="13792" max="13792" width="35" customWidth="1"/>
    <col min="13793" max="13793" width="14.28515625" customWidth="1"/>
    <col min="13794" max="13794" width="13" customWidth="1"/>
    <col min="13795" max="13795" width="12.42578125" customWidth="1"/>
    <col min="13796" max="13796" width="16.5703125" customWidth="1"/>
    <col min="13801" max="13801" width="31.5703125" customWidth="1"/>
    <col min="13802" max="13802" width="14.28515625" customWidth="1"/>
    <col min="13803" max="13803" width="12.85546875" customWidth="1"/>
    <col min="13804" max="13804" width="12.42578125" customWidth="1"/>
    <col min="13805" max="13805" width="4.42578125" customWidth="1"/>
    <col min="13806" max="13806" width="18.28515625" customWidth="1"/>
    <col min="13807" max="13807" width="20.5703125" customWidth="1"/>
    <col min="13808" max="13808" width="14.85546875" customWidth="1"/>
    <col min="13809" max="13809" width="10.7109375" customWidth="1"/>
    <col min="13810" max="13810" width="17.5703125" customWidth="1"/>
    <col min="13812" max="13812" width="10.28515625" customWidth="1"/>
    <col min="13813" max="13813" width="14.7109375" customWidth="1"/>
    <col min="14048" max="14048" width="35" customWidth="1"/>
    <col min="14049" max="14049" width="14.28515625" customWidth="1"/>
    <col min="14050" max="14050" width="13" customWidth="1"/>
    <col min="14051" max="14051" width="12.42578125" customWidth="1"/>
    <col min="14052" max="14052" width="16.5703125" customWidth="1"/>
    <col min="14057" max="14057" width="31.5703125" customWidth="1"/>
    <col min="14058" max="14058" width="14.28515625" customWidth="1"/>
    <col min="14059" max="14059" width="12.85546875" customWidth="1"/>
    <col min="14060" max="14060" width="12.42578125" customWidth="1"/>
    <col min="14061" max="14061" width="4.42578125" customWidth="1"/>
    <col min="14062" max="14062" width="18.28515625" customWidth="1"/>
    <col min="14063" max="14063" width="20.5703125" customWidth="1"/>
    <col min="14064" max="14064" width="14.85546875" customWidth="1"/>
    <col min="14065" max="14065" width="10.7109375" customWidth="1"/>
    <col min="14066" max="14066" width="17.5703125" customWidth="1"/>
    <col min="14068" max="14068" width="10.28515625" customWidth="1"/>
    <col min="14069" max="14069" width="14.7109375" customWidth="1"/>
    <col min="14304" max="14304" width="35" customWidth="1"/>
    <col min="14305" max="14305" width="14.28515625" customWidth="1"/>
    <col min="14306" max="14306" width="13" customWidth="1"/>
    <col min="14307" max="14307" width="12.42578125" customWidth="1"/>
    <col min="14308" max="14308" width="16.5703125" customWidth="1"/>
    <col min="14313" max="14313" width="31.5703125" customWidth="1"/>
    <col min="14314" max="14314" width="14.28515625" customWidth="1"/>
    <col min="14315" max="14315" width="12.85546875" customWidth="1"/>
    <col min="14316" max="14316" width="12.42578125" customWidth="1"/>
    <col min="14317" max="14317" width="4.42578125" customWidth="1"/>
    <col min="14318" max="14318" width="18.28515625" customWidth="1"/>
    <col min="14319" max="14319" width="20.5703125" customWidth="1"/>
    <col min="14320" max="14320" width="14.85546875" customWidth="1"/>
    <col min="14321" max="14321" width="10.7109375" customWidth="1"/>
    <col min="14322" max="14322" width="17.5703125" customWidth="1"/>
    <col min="14324" max="14324" width="10.28515625" customWidth="1"/>
    <col min="14325" max="14325" width="14.7109375" customWidth="1"/>
    <col min="14560" max="14560" width="35" customWidth="1"/>
    <col min="14561" max="14561" width="14.28515625" customWidth="1"/>
    <col min="14562" max="14562" width="13" customWidth="1"/>
    <col min="14563" max="14563" width="12.42578125" customWidth="1"/>
    <col min="14564" max="14564" width="16.5703125" customWidth="1"/>
    <col min="14569" max="14569" width="31.5703125" customWidth="1"/>
    <col min="14570" max="14570" width="14.28515625" customWidth="1"/>
    <col min="14571" max="14571" width="12.85546875" customWidth="1"/>
    <col min="14572" max="14572" width="12.42578125" customWidth="1"/>
    <col min="14573" max="14573" width="4.42578125" customWidth="1"/>
    <col min="14574" max="14574" width="18.28515625" customWidth="1"/>
    <col min="14575" max="14575" width="20.5703125" customWidth="1"/>
    <col min="14576" max="14576" width="14.85546875" customWidth="1"/>
    <col min="14577" max="14577" width="10.7109375" customWidth="1"/>
    <col min="14578" max="14578" width="17.5703125" customWidth="1"/>
    <col min="14580" max="14580" width="10.28515625" customWidth="1"/>
    <col min="14581" max="14581" width="14.7109375" customWidth="1"/>
    <col min="14816" max="14816" width="35" customWidth="1"/>
    <col min="14817" max="14817" width="14.28515625" customWidth="1"/>
    <col min="14818" max="14818" width="13" customWidth="1"/>
    <col min="14819" max="14819" width="12.42578125" customWidth="1"/>
    <col min="14820" max="14820" width="16.5703125" customWidth="1"/>
    <col min="14825" max="14825" width="31.5703125" customWidth="1"/>
    <col min="14826" max="14826" width="14.28515625" customWidth="1"/>
    <col min="14827" max="14827" width="12.85546875" customWidth="1"/>
    <col min="14828" max="14828" width="12.42578125" customWidth="1"/>
    <col min="14829" max="14829" width="4.42578125" customWidth="1"/>
    <col min="14830" max="14830" width="18.28515625" customWidth="1"/>
    <col min="14831" max="14831" width="20.5703125" customWidth="1"/>
    <col min="14832" max="14832" width="14.85546875" customWidth="1"/>
    <col min="14833" max="14833" width="10.7109375" customWidth="1"/>
    <col min="14834" max="14834" width="17.5703125" customWidth="1"/>
    <col min="14836" max="14836" width="10.28515625" customWidth="1"/>
    <col min="14837" max="14837" width="14.7109375" customWidth="1"/>
    <col min="15072" max="15072" width="35" customWidth="1"/>
    <col min="15073" max="15073" width="14.28515625" customWidth="1"/>
    <col min="15074" max="15074" width="13" customWidth="1"/>
    <col min="15075" max="15075" width="12.42578125" customWidth="1"/>
    <col min="15076" max="15076" width="16.5703125" customWidth="1"/>
    <col min="15081" max="15081" width="31.5703125" customWidth="1"/>
    <col min="15082" max="15082" width="14.28515625" customWidth="1"/>
    <col min="15083" max="15083" width="12.85546875" customWidth="1"/>
    <col min="15084" max="15084" width="12.42578125" customWidth="1"/>
    <col min="15085" max="15085" width="4.42578125" customWidth="1"/>
    <col min="15086" max="15086" width="18.28515625" customWidth="1"/>
    <col min="15087" max="15087" width="20.5703125" customWidth="1"/>
    <col min="15088" max="15088" width="14.85546875" customWidth="1"/>
    <col min="15089" max="15089" width="10.7109375" customWidth="1"/>
    <col min="15090" max="15090" width="17.5703125" customWidth="1"/>
    <col min="15092" max="15092" width="10.28515625" customWidth="1"/>
    <col min="15093" max="15093" width="14.7109375" customWidth="1"/>
    <col min="15328" max="15328" width="35" customWidth="1"/>
    <col min="15329" max="15329" width="14.28515625" customWidth="1"/>
    <col min="15330" max="15330" width="13" customWidth="1"/>
    <col min="15331" max="15331" width="12.42578125" customWidth="1"/>
    <col min="15332" max="15332" width="16.5703125" customWidth="1"/>
    <col min="15337" max="15337" width="31.5703125" customWidth="1"/>
    <col min="15338" max="15338" width="14.28515625" customWidth="1"/>
    <col min="15339" max="15339" width="12.85546875" customWidth="1"/>
    <col min="15340" max="15340" width="12.42578125" customWidth="1"/>
    <col min="15341" max="15341" width="4.42578125" customWidth="1"/>
    <col min="15342" max="15342" width="18.28515625" customWidth="1"/>
    <col min="15343" max="15343" width="20.5703125" customWidth="1"/>
    <col min="15344" max="15344" width="14.85546875" customWidth="1"/>
    <col min="15345" max="15345" width="10.7109375" customWidth="1"/>
    <col min="15346" max="15346" width="17.5703125" customWidth="1"/>
    <col min="15348" max="15348" width="10.28515625" customWidth="1"/>
    <col min="15349" max="15349" width="14.7109375" customWidth="1"/>
    <col min="15584" max="15584" width="35" customWidth="1"/>
    <col min="15585" max="15585" width="14.28515625" customWidth="1"/>
    <col min="15586" max="15586" width="13" customWidth="1"/>
    <col min="15587" max="15587" width="12.42578125" customWidth="1"/>
    <col min="15588" max="15588" width="16.5703125" customWidth="1"/>
    <col min="15593" max="15593" width="31.5703125" customWidth="1"/>
    <col min="15594" max="15594" width="14.28515625" customWidth="1"/>
    <col min="15595" max="15595" width="12.85546875" customWidth="1"/>
    <col min="15596" max="15596" width="12.42578125" customWidth="1"/>
    <col min="15597" max="15597" width="4.42578125" customWidth="1"/>
    <col min="15598" max="15598" width="18.28515625" customWidth="1"/>
    <col min="15599" max="15599" width="20.5703125" customWidth="1"/>
    <col min="15600" max="15600" width="14.85546875" customWidth="1"/>
    <col min="15601" max="15601" width="10.7109375" customWidth="1"/>
    <col min="15602" max="15602" width="17.5703125" customWidth="1"/>
    <col min="15604" max="15604" width="10.28515625" customWidth="1"/>
    <col min="15605" max="15605" width="14.7109375" customWidth="1"/>
    <col min="15840" max="15840" width="35" customWidth="1"/>
    <col min="15841" max="15841" width="14.28515625" customWidth="1"/>
    <col min="15842" max="15842" width="13" customWidth="1"/>
    <col min="15843" max="15843" width="12.42578125" customWidth="1"/>
    <col min="15844" max="15844" width="16.5703125" customWidth="1"/>
    <col min="15849" max="15849" width="31.5703125" customWidth="1"/>
    <col min="15850" max="15850" width="14.28515625" customWidth="1"/>
    <col min="15851" max="15851" width="12.85546875" customWidth="1"/>
    <col min="15852" max="15852" width="12.42578125" customWidth="1"/>
    <col min="15853" max="15853" width="4.42578125" customWidth="1"/>
    <col min="15854" max="15854" width="18.28515625" customWidth="1"/>
    <col min="15855" max="15855" width="20.5703125" customWidth="1"/>
    <col min="15856" max="15856" width="14.85546875" customWidth="1"/>
    <col min="15857" max="15857" width="10.7109375" customWidth="1"/>
    <col min="15858" max="15858" width="17.5703125" customWidth="1"/>
    <col min="15860" max="15860" width="10.28515625" customWidth="1"/>
    <col min="15861" max="15861" width="14.7109375" customWidth="1"/>
    <col min="16096" max="16096" width="35" customWidth="1"/>
    <col min="16097" max="16097" width="14.28515625" customWidth="1"/>
    <col min="16098" max="16098" width="13" customWidth="1"/>
    <col min="16099" max="16099" width="12.42578125" customWidth="1"/>
    <col min="16100" max="16100" width="16.5703125" customWidth="1"/>
    <col min="16105" max="16105" width="31.5703125" customWidth="1"/>
    <col min="16106" max="16106" width="14.28515625" customWidth="1"/>
    <col min="16107" max="16107" width="12.85546875" customWidth="1"/>
    <col min="16108" max="16108" width="12.42578125" customWidth="1"/>
    <col min="16109" max="16109" width="4.42578125" customWidth="1"/>
    <col min="16110" max="16110" width="18.28515625" customWidth="1"/>
    <col min="16111" max="16111" width="20.5703125" customWidth="1"/>
    <col min="16112" max="16112" width="14.85546875" customWidth="1"/>
    <col min="16113" max="16113" width="10.7109375" customWidth="1"/>
    <col min="16114" max="16114" width="17.5703125" customWidth="1"/>
    <col min="16116" max="16116" width="10.28515625" customWidth="1"/>
    <col min="16117" max="16117" width="14.7109375" customWidth="1"/>
    <col min="16352" max="16352" width="35" customWidth="1"/>
    <col min="16353" max="16353" width="14.28515625" customWidth="1"/>
    <col min="16354" max="16354" width="13" customWidth="1"/>
    <col min="16355" max="16355" width="12.42578125" customWidth="1"/>
    <col min="16356" max="16356" width="16.5703125" customWidth="1"/>
  </cols>
  <sheetData>
    <row r="1" spans="2:7" ht="20.25">
      <c r="B1" s="1" t="s">
        <v>311</v>
      </c>
    </row>
    <row r="2" spans="2:7" ht="15.75" thickBot="1">
      <c r="B2" s="526">
        <v>43495</v>
      </c>
      <c r="G2" s="40"/>
    </row>
    <row r="3" spans="2:7" ht="37.5" customHeight="1" thickBot="1">
      <c r="B3" s="1076" t="s">
        <v>307</v>
      </c>
      <c r="C3" s="1077"/>
      <c r="D3" s="1077"/>
      <c r="E3" s="1078"/>
      <c r="G3" s="41"/>
    </row>
    <row r="4" spans="2:7" ht="15" customHeight="1">
      <c r="B4" s="554" t="s">
        <v>315</v>
      </c>
      <c r="C4" s="1079" t="s">
        <v>71</v>
      </c>
      <c r="D4" s="1080"/>
      <c r="E4" s="555">
        <v>30</v>
      </c>
      <c r="G4" s="43"/>
    </row>
    <row r="5" spans="2:7" ht="15" customHeight="1">
      <c r="B5" s="556"/>
      <c r="C5" s="1081" t="s">
        <v>72</v>
      </c>
      <c r="D5" s="1082"/>
      <c r="E5" s="557">
        <v>365</v>
      </c>
      <c r="G5" s="45"/>
    </row>
    <row r="6" spans="2:7">
      <c r="B6" s="528"/>
      <c r="C6" s="558" t="s">
        <v>8</v>
      </c>
      <c r="D6" s="559" t="s">
        <v>9</v>
      </c>
      <c r="E6" s="560" t="s">
        <v>10</v>
      </c>
      <c r="G6" s="50"/>
    </row>
    <row r="7" spans="2:7" ht="26.25" customHeight="1">
      <c r="B7" s="884" t="str">
        <f>'Master Lookup'!B15</f>
        <v>Program Manager / Director</v>
      </c>
      <c r="C7" s="871">
        <f>'Master Lookup'!C15</f>
        <v>62995</v>
      </c>
      <c r="D7" s="885">
        <f>'[11]FTE Chart'!$B$5</f>
        <v>1</v>
      </c>
      <c r="E7" s="564">
        <f>C7*D7</f>
        <v>62995</v>
      </c>
      <c r="G7" s="51"/>
    </row>
    <row r="8" spans="2:7" ht="21.75" customHeight="1">
      <c r="B8" s="886" t="s">
        <v>73</v>
      </c>
      <c r="C8" s="871">
        <f>'Master Lookup'!C17</f>
        <v>55868</v>
      </c>
      <c r="D8" s="885">
        <f>'[11]FTE Chart'!$B$6</f>
        <v>1</v>
      </c>
      <c r="E8" s="564">
        <f t="shared" ref="E8:E12" si="0">C8*D8</f>
        <v>55868</v>
      </c>
      <c r="G8" s="429"/>
    </row>
    <row r="9" spans="2:7">
      <c r="B9" s="887" t="s">
        <v>15</v>
      </c>
      <c r="C9" s="871">
        <f>'Master Lookup'!C24</f>
        <v>40562</v>
      </c>
      <c r="D9" s="885">
        <f>'[11]FTE Chart'!$B$7</f>
        <v>3.3249999999999997</v>
      </c>
      <c r="E9" s="564">
        <f t="shared" si="0"/>
        <v>134868.65</v>
      </c>
      <c r="G9" s="53"/>
    </row>
    <row r="10" spans="2:7">
      <c r="B10" s="887" t="s">
        <v>74</v>
      </c>
      <c r="C10" s="871">
        <f>'Master Lookup'!C31</f>
        <v>30480</v>
      </c>
      <c r="D10" s="885">
        <f>4.2+1.4</f>
        <v>5.6</v>
      </c>
      <c r="E10" s="564">
        <f t="shared" si="0"/>
        <v>170688</v>
      </c>
      <c r="G10" s="54"/>
    </row>
    <row r="11" spans="2:7">
      <c r="B11" s="544" t="s">
        <v>14</v>
      </c>
      <c r="C11" s="871">
        <f>'Master Lookup'!C34</f>
        <v>30480</v>
      </c>
      <c r="D11" s="885">
        <v>3.8</v>
      </c>
      <c r="E11" s="564">
        <f t="shared" si="0"/>
        <v>115824</v>
      </c>
      <c r="G11" s="55"/>
    </row>
    <row r="12" spans="2:7" ht="15.75" thickBot="1">
      <c r="B12" s="888" t="s">
        <v>76</v>
      </c>
      <c r="C12" s="889">
        <f>'Master Lookup'!C35</f>
        <v>30480</v>
      </c>
      <c r="D12" s="890">
        <f>(D9+D10)*'Master Lookup'!C10</f>
        <v>1.3730769230769231</v>
      </c>
      <c r="E12" s="570">
        <f t="shared" si="0"/>
        <v>41851.384615384617</v>
      </c>
      <c r="G12" s="56"/>
    </row>
    <row r="13" spans="2:7" ht="15.75" thickTop="1">
      <c r="B13" s="891" t="s">
        <v>18</v>
      </c>
      <c r="C13" s="874"/>
      <c r="D13" s="892">
        <f>SUM(D7:D12)</f>
        <v>16.098076923076921</v>
      </c>
      <c r="E13" s="573">
        <f>SUM(E7:E12)</f>
        <v>582095.03461538465</v>
      </c>
      <c r="G13" s="56"/>
    </row>
    <row r="14" spans="2:7" ht="15.75" customHeight="1">
      <c r="B14" s="545" t="s">
        <v>20</v>
      </c>
      <c r="C14" s="575">
        <f>'Master Lookup'!C66</f>
        <v>0.22500000000000001</v>
      </c>
      <c r="D14" s="576"/>
      <c r="E14" s="564">
        <f>C14*E13</f>
        <v>130971.38278846155</v>
      </c>
      <c r="G14" s="56"/>
    </row>
    <row r="15" spans="2:7">
      <c r="B15" s="546" t="s">
        <v>21</v>
      </c>
      <c r="C15" s="578"/>
      <c r="D15" s="579"/>
      <c r="E15" s="674">
        <f>E13+E14</f>
        <v>713066.41740384616</v>
      </c>
      <c r="G15" s="56"/>
    </row>
    <row r="16" spans="2:7" ht="15" customHeight="1">
      <c r="B16" s="528"/>
      <c r="C16" s="582"/>
      <c r="D16" s="583"/>
      <c r="E16" s="560" t="s">
        <v>10</v>
      </c>
      <c r="G16" s="56"/>
    </row>
    <row r="17" spans="2:11">
      <c r="B17" s="547" t="s">
        <v>314</v>
      </c>
      <c r="C17" s="590">
        <v>6809</v>
      </c>
      <c r="D17" s="586"/>
      <c r="E17" s="587">
        <f>C17*D13</f>
        <v>109611.80576923075</v>
      </c>
      <c r="G17" s="56"/>
      <c r="I17" s="95"/>
    </row>
    <row r="18" spans="2:11">
      <c r="B18" s="547"/>
      <c r="C18" s="675"/>
      <c r="D18" s="676"/>
      <c r="E18" s="677"/>
      <c r="G18" s="56"/>
    </row>
    <row r="19" spans="2:11">
      <c r="B19" s="547" t="s">
        <v>308</v>
      </c>
      <c r="C19" s="588">
        <f>'Master Lookup'!E46</f>
        <v>1.3407125376974285</v>
      </c>
      <c r="D19" s="586"/>
      <c r="E19" s="587">
        <f>C19*E4*E5</f>
        <v>14680.802287786842</v>
      </c>
      <c r="G19" s="64"/>
    </row>
    <row r="20" spans="2:11" ht="46.5" customHeight="1">
      <c r="B20" s="548" t="s">
        <v>309</v>
      </c>
      <c r="C20" s="590">
        <v>0.84</v>
      </c>
      <c r="D20" s="586"/>
      <c r="E20" s="587">
        <f>C20*E4*E5</f>
        <v>9198</v>
      </c>
      <c r="G20" s="56"/>
    </row>
    <row r="21" spans="2:11" ht="37.5" customHeight="1">
      <c r="B21" s="549"/>
      <c r="C21" s="671" t="s">
        <v>24</v>
      </c>
      <c r="D21" s="672"/>
      <c r="E21" s="673" t="s">
        <v>33</v>
      </c>
      <c r="G21" s="57"/>
    </row>
    <row r="22" spans="2:11" ht="30.75" customHeight="1">
      <c r="B22" s="550" t="s">
        <v>77</v>
      </c>
      <c r="C22" s="596">
        <f>'Master Lookup'!E56</f>
        <v>1.3437732898179298</v>
      </c>
      <c r="D22" s="597"/>
      <c r="E22" s="598">
        <f>C22*E4*E5</f>
        <v>14714.317523506332</v>
      </c>
      <c r="G22" s="56"/>
    </row>
    <row r="23" spans="2:11" ht="30.75" customHeight="1">
      <c r="B23" s="551" t="s">
        <v>35</v>
      </c>
      <c r="C23" s="600"/>
      <c r="D23" s="601"/>
      <c r="E23" s="602">
        <f>SUM(E15,E17:E20,E22)</f>
        <v>861271.34298437007</v>
      </c>
      <c r="G23" s="410"/>
    </row>
    <row r="24" spans="2:11" ht="25.5" customHeight="1">
      <c r="B24" s="552" t="s">
        <v>37</v>
      </c>
      <c r="C24" s="575">
        <f>'Master Lookup'!C64</f>
        <v>0.12</v>
      </c>
      <c r="D24" s="601"/>
      <c r="E24" s="602">
        <f>E23*C24</f>
        <v>103352.5611581244</v>
      </c>
      <c r="G24" s="57"/>
    </row>
    <row r="25" spans="2:11" ht="15.75" thickBot="1">
      <c r="B25" s="893" t="str">
        <f>'Master Lookup'!B39</f>
        <v>PFMLA Trust Contribution</v>
      </c>
      <c r="C25" s="894">
        <f>'Master Lookup'!E39</f>
        <v>6.3E-3</v>
      </c>
      <c r="D25" s="895"/>
      <c r="E25" s="896">
        <f>C25*E13</f>
        <v>3667.1987180769233</v>
      </c>
      <c r="G25" s="57"/>
    </row>
    <row r="26" spans="2:11" ht="27.75" customHeight="1" thickTop="1">
      <c r="B26" s="527" t="s">
        <v>32</v>
      </c>
      <c r="C26" s="604"/>
      <c r="D26" s="604"/>
      <c r="E26" s="573">
        <f>E23+E24+E25</f>
        <v>968291.10286057135</v>
      </c>
      <c r="G26" s="68"/>
    </row>
    <row r="27" spans="2:11">
      <c r="B27" s="553" t="s">
        <v>284</v>
      </c>
      <c r="C27" s="606"/>
      <c r="D27" s="607"/>
      <c r="E27" s="608">
        <f>E26/(E4*E5)</f>
        <v>88.428411220143502</v>
      </c>
      <c r="G27" s="71"/>
    </row>
    <row r="28" spans="2:11" ht="34.15" customHeight="1" thickBot="1">
      <c r="B28" s="553" t="s">
        <v>285</v>
      </c>
      <c r="C28" s="609">
        <v>0.9</v>
      </c>
      <c r="D28" s="610"/>
      <c r="E28" s="611">
        <f>E26/(E4*E5)/C28</f>
        <v>98.253790244603891</v>
      </c>
      <c r="G28" s="71"/>
    </row>
    <row r="29" spans="2:11" ht="16.5" customHeight="1" thickBot="1">
      <c r="B29" s="542" t="s">
        <v>246</v>
      </c>
      <c r="C29" s="613">
        <f>'Master Lookup'!C65</f>
        <v>2.3531493276716206E-2</v>
      </c>
      <c r="D29" s="614"/>
      <c r="E29" s="670">
        <f>E28*(1+C29)</f>
        <v>100.56584864915666</v>
      </c>
      <c r="G29" s="869"/>
    </row>
    <row r="30" spans="2:11">
      <c r="B30" s="73"/>
      <c r="C30" s="321"/>
      <c r="D30" s="322"/>
      <c r="E30" s="323"/>
      <c r="G30" s="869"/>
      <c r="I30" s="362"/>
    </row>
    <row r="31" spans="2:11">
      <c r="B31" s="387"/>
      <c r="C31" s="387"/>
      <c r="D31" s="387"/>
      <c r="G31" s="40"/>
    </row>
    <row r="32" spans="2:11">
      <c r="C32" s="387"/>
      <c r="D32" s="387"/>
      <c r="G32" s="40"/>
      <c r="I32" s="2"/>
      <c r="J32" s="2"/>
      <c r="K32" s="2"/>
    </row>
    <row r="33" spans="2:11" ht="19.5" customHeight="1">
      <c r="B33" s="401"/>
      <c r="C33" s="402"/>
      <c r="D33" s="2"/>
      <c r="G33" s="75"/>
      <c r="I33" s="2"/>
      <c r="J33" s="2"/>
      <c r="K33" s="2"/>
    </row>
    <row r="34" spans="2:11" ht="16.5" customHeight="1">
      <c r="B34" s="401"/>
      <c r="C34" s="362"/>
      <c r="D34" s="79"/>
      <c r="G34" s="2"/>
      <c r="I34" s="2"/>
      <c r="J34" s="2"/>
      <c r="K34" s="2"/>
    </row>
    <row r="35" spans="2:11">
      <c r="B35" s="2"/>
      <c r="C35" s="362"/>
      <c r="D35" s="2"/>
      <c r="G35" s="75"/>
      <c r="I35" s="2"/>
      <c r="J35" s="2"/>
      <c r="K35" s="2"/>
    </row>
    <row r="36" spans="2:11">
      <c r="B36" s="77"/>
      <c r="C36" s="2"/>
      <c r="D36" s="2"/>
      <c r="G36" s="75"/>
      <c r="I36" s="2"/>
      <c r="J36" s="2"/>
      <c r="K36" s="2"/>
    </row>
    <row r="37" spans="2:11">
      <c r="B37" s="78"/>
      <c r="C37" s="412"/>
      <c r="D37" s="77"/>
      <c r="G37" s="75"/>
      <c r="I37" s="2"/>
      <c r="J37" s="2"/>
      <c r="K37" s="2"/>
    </row>
    <row r="38" spans="2:11">
      <c r="C38" s="413"/>
      <c r="D38" s="78"/>
      <c r="G38" s="75"/>
      <c r="I38" s="2"/>
      <c r="J38" s="2"/>
      <c r="K38" s="2"/>
    </row>
    <row r="39" spans="2:11">
      <c r="G39" s="75"/>
      <c r="I39" s="2"/>
      <c r="J39" s="2"/>
      <c r="K39" s="2"/>
    </row>
    <row r="40" spans="2:11">
      <c r="G40" s="75"/>
      <c r="I40" s="2"/>
      <c r="J40" s="2"/>
      <c r="K40" s="2"/>
    </row>
    <row r="41" spans="2:11">
      <c r="B41" s="2"/>
      <c r="G41" s="40"/>
    </row>
    <row r="42" spans="2:11" s="2" customFormat="1" ht="15.75" customHeight="1">
      <c r="B42"/>
      <c r="F42"/>
    </row>
    <row r="43" spans="2:11" s="2" customFormat="1">
      <c r="B43"/>
      <c r="C43"/>
      <c r="D43"/>
      <c r="E43"/>
      <c r="F43"/>
    </row>
    <row r="44" spans="2:11" s="2" customFormat="1">
      <c r="B44" s="428"/>
      <c r="C44"/>
      <c r="D44"/>
      <c r="E44"/>
      <c r="F44" s="428"/>
    </row>
    <row r="45" spans="2:11" s="2" customFormat="1">
      <c r="B45" s="428"/>
      <c r="C45" s="428"/>
      <c r="D45" s="428"/>
      <c r="E45" s="428"/>
      <c r="F45" s="428"/>
    </row>
    <row r="46" spans="2:11" s="2" customFormat="1">
      <c r="B46" s="428"/>
      <c r="C46" s="428"/>
      <c r="D46" s="428"/>
      <c r="E46" s="428"/>
      <c r="F46" s="428"/>
    </row>
    <row r="47" spans="2:11" s="2" customFormat="1">
      <c r="B47" s="428"/>
      <c r="C47" s="428"/>
      <c r="D47" s="428"/>
      <c r="E47" s="428"/>
      <c r="F47" s="428"/>
    </row>
    <row r="48" spans="2:11" s="2" customFormat="1">
      <c r="B48" s="79"/>
      <c r="C48" s="428"/>
      <c r="D48" s="428"/>
      <c r="E48" s="428"/>
      <c r="F48" s="80"/>
    </row>
    <row r="49" spans="2:6" s="2" customFormat="1">
      <c r="B49" s="79"/>
      <c r="C49" s="79"/>
      <c r="D49" s="84"/>
      <c r="E49" s="82"/>
      <c r="F49" s="82"/>
    </row>
    <row r="50" spans="2:6" s="2" customFormat="1">
      <c r="B50" s="79"/>
      <c r="C50" s="85"/>
      <c r="D50" s="85"/>
      <c r="E50" s="86"/>
      <c r="F50" s="84"/>
    </row>
    <row r="51" spans="2:6" s="2" customFormat="1">
      <c r="B51" s="79"/>
      <c r="C51" s="85"/>
      <c r="D51" s="85"/>
      <c r="E51" s="86"/>
      <c r="F51" s="85"/>
    </row>
    <row r="52" spans="2:6" s="2" customFormat="1">
      <c r="B52" s="79"/>
      <c r="C52" s="85"/>
      <c r="D52" s="87"/>
      <c r="E52" s="87"/>
      <c r="F52" s="85"/>
    </row>
    <row r="53" spans="2:6" s="2" customFormat="1">
      <c r="B53" s="81"/>
      <c r="C53" s="85"/>
      <c r="D53" s="85"/>
      <c r="E53" s="86"/>
      <c r="F53" s="85"/>
    </row>
    <row r="54" spans="2:6" s="2" customFormat="1">
      <c r="B54" s="88"/>
      <c r="C54" s="81"/>
      <c r="D54" s="87"/>
      <c r="E54" s="86"/>
      <c r="F54" s="85"/>
    </row>
    <row r="55" spans="2:6" s="2" customFormat="1">
      <c r="C55" s="89"/>
      <c r="D55" s="89"/>
      <c r="E55" s="89"/>
      <c r="F55" s="86"/>
    </row>
    <row r="56" spans="2:6" s="2" customFormat="1">
      <c r="F56" s="89"/>
    </row>
    <row r="57" spans="2:6" s="2" customFormat="1"/>
    <row r="58" spans="2:6" s="2" customFormat="1">
      <c r="B58"/>
    </row>
    <row r="59" spans="2:6">
      <c r="F59" s="2"/>
    </row>
  </sheetData>
  <mergeCells count="3">
    <mergeCell ref="B3:E3"/>
    <mergeCell ref="C4:D4"/>
    <mergeCell ref="C5:D5"/>
  </mergeCells>
  <pageMargins left="0.25" right="0" top="0" bottom="0" header="0.3" footer="0.3"/>
  <pageSetup scale="73" orientation="landscape" r:id="rId1"/>
  <headerFooter>
    <oddHeader>&amp;CBENCHMARKED ADULT RESI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S25"/>
  <sheetViews>
    <sheetView zoomScale="85" zoomScaleNormal="85" workbookViewId="0">
      <selection activeCell="S17" sqref="S17"/>
    </sheetView>
  </sheetViews>
  <sheetFormatPr defaultRowHeight="15"/>
  <cols>
    <col min="1" max="1" width="5.42578125" customWidth="1"/>
    <col min="2" max="2" width="27.7109375" customWidth="1"/>
    <col min="3" max="3" width="17.7109375" customWidth="1"/>
    <col min="4" max="4" width="8.28515625" bestFit="1" customWidth="1"/>
    <col min="5" max="5" width="12.7109375" customWidth="1"/>
    <col min="6" max="6" width="4.28515625" customWidth="1"/>
    <col min="7" max="7" width="28.28515625" hidden="1" customWidth="1"/>
    <col min="8" max="8" width="17.7109375" hidden="1" customWidth="1"/>
    <col min="9" max="9" width="7.7109375" hidden="1" customWidth="1"/>
    <col min="10" max="10" width="12.7109375" hidden="1" customWidth="1"/>
    <col min="11" max="11" width="4.140625" hidden="1" customWidth="1"/>
    <col min="12" max="12" width="29.42578125" hidden="1" customWidth="1"/>
    <col min="13" max="13" width="17.7109375" hidden="1" customWidth="1"/>
    <col min="14" max="14" width="7.7109375" hidden="1" customWidth="1"/>
    <col min="15" max="15" width="12.7109375" hidden="1" customWidth="1"/>
    <col min="16" max="16" width="9.85546875" customWidth="1"/>
    <col min="17" max="17" width="19.85546875" customWidth="1"/>
    <col min="18" max="18" width="17.42578125" customWidth="1"/>
    <col min="19" max="19" width="27" customWidth="1"/>
    <col min="20" max="20" width="20.5703125" customWidth="1"/>
    <col min="234" max="234" width="35" customWidth="1"/>
    <col min="235" max="235" width="14.28515625" customWidth="1"/>
    <col min="236" max="236" width="13" customWidth="1"/>
    <col min="237" max="237" width="12.42578125" customWidth="1"/>
    <col min="238" max="238" width="16.5703125" customWidth="1"/>
    <col min="243" max="243" width="31.5703125" customWidth="1"/>
    <col min="244" max="244" width="14.28515625" customWidth="1"/>
    <col min="245" max="245" width="12.85546875" customWidth="1"/>
    <col min="246" max="246" width="12.42578125" customWidth="1"/>
    <col min="247" max="247" width="4.42578125" customWidth="1"/>
    <col min="248" max="248" width="18.28515625" customWidth="1"/>
    <col min="249" max="249" width="20.5703125" customWidth="1"/>
    <col min="250" max="250" width="14.85546875" customWidth="1"/>
    <col min="251" max="251" width="10.7109375" customWidth="1"/>
    <col min="252" max="252" width="17.5703125" customWidth="1"/>
    <col min="254" max="254" width="10.28515625" customWidth="1"/>
    <col min="255" max="255" width="14.7109375" customWidth="1"/>
    <col min="490" max="490" width="35" customWidth="1"/>
    <col min="491" max="491" width="14.28515625" customWidth="1"/>
    <col min="492" max="492" width="13" customWidth="1"/>
    <col min="493" max="493" width="12.42578125" customWidth="1"/>
    <col min="494" max="494" width="16.5703125" customWidth="1"/>
    <col min="499" max="499" width="31.5703125" customWidth="1"/>
    <col min="500" max="500" width="14.28515625" customWidth="1"/>
    <col min="501" max="501" width="12.85546875" customWidth="1"/>
    <col min="502" max="502" width="12.42578125" customWidth="1"/>
    <col min="503" max="503" width="4.42578125" customWidth="1"/>
    <col min="504" max="504" width="18.28515625" customWidth="1"/>
    <col min="505" max="505" width="20.5703125" customWidth="1"/>
    <col min="506" max="506" width="14.85546875" customWidth="1"/>
    <col min="507" max="507" width="10.7109375" customWidth="1"/>
    <col min="508" max="508" width="17.5703125" customWidth="1"/>
    <col min="510" max="510" width="10.28515625" customWidth="1"/>
    <col min="511" max="511" width="14.7109375" customWidth="1"/>
    <col min="746" max="746" width="35" customWidth="1"/>
    <col min="747" max="747" width="14.28515625" customWidth="1"/>
    <col min="748" max="748" width="13" customWidth="1"/>
    <col min="749" max="749" width="12.42578125" customWidth="1"/>
    <col min="750" max="750" width="16.5703125" customWidth="1"/>
    <col min="755" max="755" width="31.5703125" customWidth="1"/>
    <col min="756" max="756" width="14.28515625" customWidth="1"/>
    <col min="757" max="757" width="12.85546875" customWidth="1"/>
    <col min="758" max="758" width="12.42578125" customWidth="1"/>
    <col min="759" max="759" width="4.42578125" customWidth="1"/>
    <col min="760" max="760" width="18.28515625" customWidth="1"/>
    <col min="761" max="761" width="20.5703125" customWidth="1"/>
    <col min="762" max="762" width="14.85546875" customWidth="1"/>
    <col min="763" max="763" width="10.7109375" customWidth="1"/>
    <col min="764" max="764" width="17.5703125" customWidth="1"/>
    <col min="766" max="766" width="10.28515625" customWidth="1"/>
    <col min="767" max="767" width="14.7109375" customWidth="1"/>
    <col min="1002" max="1002" width="35" customWidth="1"/>
    <col min="1003" max="1003" width="14.28515625" customWidth="1"/>
    <col min="1004" max="1004" width="13" customWidth="1"/>
    <col min="1005" max="1005" width="12.42578125" customWidth="1"/>
    <col min="1006" max="1006" width="16.5703125" customWidth="1"/>
    <col min="1011" max="1011" width="31.5703125" customWidth="1"/>
    <col min="1012" max="1012" width="14.28515625" customWidth="1"/>
    <col min="1013" max="1013" width="12.85546875" customWidth="1"/>
    <col min="1014" max="1014" width="12.42578125" customWidth="1"/>
    <col min="1015" max="1015" width="4.42578125" customWidth="1"/>
    <col min="1016" max="1016" width="18.28515625" customWidth="1"/>
    <col min="1017" max="1017" width="20.5703125" customWidth="1"/>
    <col min="1018" max="1018" width="14.85546875" customWidth="1"/>
    <col min="1019" max="1019" width="10.7109375" customWidth="1"/>
    <col min="1020" max="1020" width="17.5703125" customWidth="1"/>
    <col min="1022" max="1022" width="10.28515625" customWidth="1"/>
    <col min="1023" max="1023" width="14.7109375" customWidth="1"/>
    <col min="1258" max="1258" width="35" customWidth="1"/>
    <col min="1259" max="1259" width="14.28515625" customWidth="1"/>
    <col min="1260" max="1260" width="13" customWidth="1"/>
    <col min="1261" max="1261" width="12.42578125" customWidth="1"/>
    <col min="1262" max="1262" width="16.5703125" customWidth="1"/>
    <col min="1267" max="1267" width="31.5703125" customWidth="1"/>
    <col min="1268" max="1268" width="14.28515625" customWidth="1"/>
    <col min="1269" max="1269" width="12.85546875" customWidth="1"/>
    <col min="1270" max="1270" width="12.42578125" customWidth="1"/>
    <col min="1271" max="1271" width="4.42578125" customWidth="1"/>
    <col min="1272" max="1272" width="18.28515625" customWidth="1"/>
    <col min="1273" max="1273" width="20.5703125" customWidth="1"/>
    <col min="1274" max="1274" width="14.85546875" customWidth="1"/>
    <col min="1275" max="1275" width="10.7109375" customWidth="1"/>
    <col min="1276" max="1276" width="17.5703125" customWidth="1"/>
    <col min="1278" max="1278" width="10.28515625" customWidth="1"/>
    <col min="1279" max="1279" width="14.7109375" customWidth="1"/>
    <col min="1514" max="1514" width="35" customWidth="1"/>
    <col min="1515" max="1515" width="14.28515625" customWidth="1"/>
    <col min="1516" max="1516" width="13" customWidth="1"/>
    <col min="1517" max="1517" width="12.42578125" customWidth="1"/>
    <col min="1518" max="1518" width="16.5703125" customWidth="1"/>
    <col min="1523" max="1523" width="31.5703125" customWidth="1"/>
    <col min="1524" max="1524" width="14.28515625" customWidth="1"/>
    <col min="1525" max="1525" width="12.85546875" customWidth="1"/>
    <col min="1526" max="1526" width="12.42578125" customWidth="1"/>
    <col min="1527" max="1527" width="4.42578125" customWidth="1"/>
    <col min="1528" max="1528" width="18.28515625" customWidth="1"/>
    <col min="1529" max="1529" width="20.5703125" customWidth="1"/>
    <col min="1530" max="1530" width="14.85546875" customWidth="1"/>
    <col min="1531" max="1531" width="10.7109375" customWidth="1"/>
    <col min="1532" max="1532" width="17.5703125" customWidth="1"/>
    <col min="1534" max="1534" width="10.28515625" customWidth="1"/>
    <col min="1535" max="1535" width="14.7109375" customWidth="1"/>
    <col min="1770" max="1770" width="35" customWidth="1"/>
    <col min="1771" max="1771" width="14.28515625" customWidth="1"/>
    <col min="1772" max="1772" width="13" customWidth="1"/>
    <col min="1773" max="1773" width="12.42578125" customWidth="1"/>
    <col min="1774" max="1774" width="16.5703125" customWidth="1"/>
    <col min="1779" max="1779" width="31.5703125" customWidth="1"/>
    <col min="1780" max="1780" width="14.28515625" customWidth="1"/>
    <col min="1781" max="1781" width="12.85546875" customWidth="1"/>
    <col min="1782" max="1782" width="12.42578125" customWidth="1"/>
    <col min="1783" max="1783" width="4.42578125" customWidth="1"/>
    <col min="1784" max="1784" width="18.28515625" customWidth="1"/>
    <col min="1785" max="1785" width="20.5703125" customWidth="1"/>
    <col min="1786" max="1786" width="14.85546875" customWidth="1"/>
    <col min="1787" max="1787" width="10.7109375" customWidth="1"/>
    <col min="1788" max="1788" width="17.5703125" customWidth="1"/>
    <col min="1790" max="1790" width="10.28515625" customWidth="1"/>
    <col min="1791" max="1791" width="14.7109375" customWidth="1"/>
    <col min="2026" max="2026" width="35" customWidth="1"/>
    <col min="2027" max="2027" width="14.28515625" customWidth="1"/>
    <col min="2028" max="2028" width="13" customWidth="1"/>
    <col min="2029" max="2029" width="12.42578125" customWidth="1"/>
    <col min="2030" max="2030" width="16.5703125" customWidth="1"/>
    <col min="2035" max="2035" width="31.5703125" customWidth="1"/>
    <col min="2036" max="2036" width="14.28515625" customWidth="1"/>
    <col min="2037" max="2037" width="12.85546875" customWidth="1"/>
    <col min="2038" max="2038" width="12.42578125" customWidth="1"/>
    <col min="2039" max="2039" width="4.42578125" customWidth="1"/>
    <col min="2040" max="2040" width="18.28515625" customWidth="1"/>
    <col min="2041" max="2041" width="20.5703125" customWidth="1"/>
    <col min="2042" max="2042" width="14.85546875" customWidth="1"/>
    <col min="2043" max="2043" width="10.7109375" customWidth="1"/>
    <col min="2044" max="2044" width="17.5703125" customWidth="1"/>
    <col min="2046" max="2046" width="10.28515625" customWidth="1"/>
    <col min="2047" max="2047" width="14.7109375" customWidth="1"/>
    <col min="2282" max="2282" width="35" customWidth="1"/>
    <col min="2283" max="2283" width="14.28515625" customWidth="1"/>
    <col min="2284" max="2284" width="13" customWidth="1"/>
    <col min="2285" max="2285" width="12.42578125" customWidth="1"/>
    <col min="2286" max="2286" width="16.5703125" customWidth="1"/>
    <col min="2291" max="2291" width="31.5703125" customWidth="1"/>
    <col min="2292" max="2292" width="14.28515625" customWidth="1"/>
    <col min="2293" max="2293" width="12.85546875" customWidth="1"/>
    <col min="2294" max="2294" width="12.42578125" customWidth="1"/>
    <col min="2295" max="2295" width="4.42578125" customWidth="1"/>
    <col min="2296" max="2296" width="18.28515625" customWidth="1"/>
    <col min="2297" max="2297" width="20.5703125" customWidth="1"/>
    <col min="2298" max="2298" width="14.85546875" customWidth="1"/>
    <col min="2299" max="2299" width="10.7109375" customWidth="1"/>
    <col min="2300" max="2300" width="17.5703125" customWidth="1"/>
    <col min="2302" max="2302" width="10.28515625" customWidth="1"/>
    <col min="2303" max="2303" width="14.7109375" customWidth="1"/>
    <col min="2538" max="2538" width="35" customWidth="1"/>
    <col min="2539" max="2539" width="14.28515625" customWidth="1"/>
    <col min="2540" max="2540" width="13" customWidth="1"/>
    <col min="2541" max="2541" width="12.42578125" customWidth="1"/>
    <col min="2542" max="2542" width="16.5703125" customWidth="1"/>
    <col min="2547" max="2547" width="31.5703125" customWidth="1"/>
    <col min="2548" max="2548" width="14.28515625" customWidth="1"/>
    <col min="2549" max="2549" width="12.85546875" customWidth="1"/>
    <col min="2550" max="2550" width="12.42578125" customWidth="1"/>
    <col min="2551" max="2551" width="4.42578125" customWidth="1"/>
    <col min="2552" max="2552" width="18.28515625" customWidth="1"/>
    <col min="2553" max="2553" width="20.5703125" customWidth="1"/>
    <col min="2554" max="2554" width="14.85546875" customWidth="1"/>
    <col min="2555" max="2555" width="10.7109375" customWidth="1"/>
    <col min="2556" max="2556" width="17.5703125" customWidth="1"/>
    <col min="2558" max="2558" width="10.28515625" customWidth="1"/>
    <col min="2559" max="2559" width="14.7109375" customWidth="1"/>
    <col min="2794" max="2794" width="35" customWidth="1"/>
    <col min="2795" max="2795" width="14.28515625" customWidth="1"/>
    <col min="2796" max="2796" width="13" customWidth="1"/>
    <col min="2797" max="2797" width="12.42578125" customWidth="1"/>
    <col min="2798" max="2798" width="16.5703125" customWidth="1"/>
    <col min="2803" max="2803" width="31.5703125" customWidth="1"/>
    <col min="2804" max="2804" width="14.28515625" customWidth="1"/>
    <col min="2805" max="2805" width="12.85546875" customWidth="1"/>
    <col min="2806" max="2806" width="12.42578125" customWidth="1"/>
    <col min="2807" max="2807" width="4.42578125" customWidth="1"/>
    <col min="2808" max="2808" width="18.28515625" customWidth="1"/>
    <col min="2809" max="2809" width="20.5703125" customWidth="1"/>
    <col min="2810" max="2810" width="14.85546875" customWidth="1"/>
    <col min="2811" max="2811" width="10.7109375" customWidth="1"/>
    <col min="2812" max="2812" width="17.5703125" customWidth="1"/>
    <col min="2814" max="2814" width="10.28515625" customWidth="1"/>
    <col min="2815" max="2815" width="14.7109375" customWidth="1"/>
    <col min="3050" max="3050" width="35" customWidth="1"/>
    <col min="3051" max="3051" width="14.28515625" customWidth="1"/>
    <col min="3052" max="3052" width="13" customWidth="1"/>
    <col min="3053" max="3053" width="12.42578125" customWidth="1"/>
    <col min="3054" max="3054" width="16.5703125" customWidth="1"/>
    <col min="3059" max="3059" width="31.5703125" customWidth="1"/>
    <col min="3060" max="3060" width="14.28515625" customWidth="1"/>
    <col min="3061" max="3061" width="12.85546875" customWidth="1"/>
    <col min="3062" max="3062" width="12.42578125" customWidth="1"/>
    <col min="3063" max="3063" width="4.42578125" customWidth="1"/>
    <col min="3064" max="3064" width="18.28515625" customWidth="1"/>
    <col min="3065" max="3065" width="20.5703125" customWidth="1"/>
    <col min="3066" max="3066" width="14.85546875" customWidth="1"/>
    <col min="3067" max="3067" width="10.7109375" customWidth="1"/>
    <col min="3068" max="3068" width="17.5703125" customWidth="1"/>
    <col min="3070" max="3070" width="10.28515625" customWidth="1"/>
    <col min="3071" max="3071" width="14.7109375" customWidth="1"/>
    <col min="3306" max="3306" width="35" customWidth="1"/>
    <col min="3307" max="3307" width="14.28515625" customWidth="1"/>
    <col min="3308" max="3308" width="13" customWidth="1"/>
    <col min="3309" max="3309" width="12.42578125" customWidth="1"/>
    <col min="3310" max="3310" width="16.5703125" customWidth="1"/>
    <col min="3315" max="3315" width="31.5703125" customWidth="1"/>
    <col min="3316" max="3316" width="14.28515625" customWidth="1"/>
    <col min="3317" max="3317" width="12.85546875" customWidth="1"/>
    <col min="3318" max="3318" width="12.42578125" customWidth="1"/>
    <col min="3319" max="3319" width="4.42578125" customWidth="1"/>
    <col min="3320" max="3320" width="18.28515625" customWidth="1"/>
    <col min="3321" max="3321" width="20.5703125" customWidth="1"/>
    <col min="3322" max="3322" width="14.85546875" customWidth="1"/>
    <col min="3323" max="3323" width="10.7109375" customWidth="1"/>
    <col min="3324" max="3324" width="17.5703125" customWidth="1"/>
    <col min="3326" max="3326" width="10.28515625" customWidth="1"/>
    <col min="3327" max="3327" width="14.7109375" customWidth="1"/>
    <col min="3562" max="3562" width="35" customWidth="1"/>
    <col min="3563" max="3563" width="14.28515625" customWidth="1"/>
    <col min="3564" max="3564" width="13" customWidth="1"/>
    <col min="3565" max="3565" width="12.42578125" customWidth="1"/>
    <col min="3566" max="3566" width="16.5703125" customWidth="1"/>
    <col min="3571" max="3571" width="31.5703125" customWidth="1"/>
    <col min="3572" max="3572" width="14.28515625" customWidth="1"/>
    <col min="3573" max="3573" width="12.85546875" customWidth="1"/>
    <col min="3574" max="3574" width="12.42578125" customWidth="1"/>
    <col min="3575" max="3575" width="4.42578125" customWidth="1"/>
    <col min="3576" max="3576" width="18.28515625" customWidth="1"/>
    <col min="3577" max="3577" width="20.5703125" customWidth="1"/>
    <col min="3578" max="3578" width="14.85546875" customWidth="1"/>
    <col min="3579" max="3579" width="10.7109375" customWidth="1"/>
    <col min="3580" max="3580" width="17.5703125" customWidth="1"/>
    <col min="3582" max="3582" width="10.28515625" customWidth="1"/>
    <col min="3583" max="3583" width="14.7109375" customWidth="1"/>
    <col min="3818" max="3818" width="35" customWidth="1"/>
    <col min="3819" max="3819" width="14.28515625" customWidth="1"/>
    <col min="3820" max="3820" width="13" customWidth="1"/>
    <col min="3821" max="3821" width="12.42578125" customWidth="1"/>
    <col min="3822" max="3822" width="16.5703125" customWidth="1"/>
    <col min="3827" max="3827" width="31.5703125" customWidth="1"/>
    <col min="3828" max="3828" width="14.28515625" customWidth="1"/>
    <col min="3829" max="3829" width="12.85546875" customWidth="1"/>
    <col min="3830" max="3830" width="12.42578125" customWidth="1"/>
    <col min="3831" max="3831" width="4.42578125" customWidth="1"/>
    <col min="3832" max="3832" width="18.28515625" customWidth="1"/>
    <col min="3833" max="3833" width="20.5703125" customWidth="1"/>
    <col min="3834" max="3834" width="14.85546875" customWidth="1"/>
    <col min="3835" max="3835" width="10.7109375" customWidth="1"/>
    <col min="3836" max="3836" width="17.5703125" customWidth="1"/>
    <col min="3838" max="3838" width="10.28515625" customWidth="1"/>
    <col min="3839" max="3839" width="14.7109375" customWidth="1"/>
    <col min="4074" max="4074" width="35" customWidth="1"/>
    <col min="4075" max="4075" width="14.28515625" customWidth="1"/>
    <col min="4076" max="4076" width="13" customWidth="1"/>
    <col min="4077" max="4077" width="12.42578125" customWidth="1"/>
    <col min="4078" max="4078" width="16.5703125" customWidth="1"/>
    <col min="4083" max="4083" width="31.5703125" customWidth="1"/>
    <col min="4084" max="4084" width="14.28515625" customWidth="1"/>
    <col min="4085" max="4085" width="12.85546875" customWidth="1"/>
    <col min="4086" max="4086" width="12.42578125" customWidth="1"/>
    <col min="4087" max="4087" width="4.42578125" customWidth="1"/>
    <col min="4088" max="4088" width="18.28515625" customWidth="1"/>
    <col min="4089" max="4089" width="20.5703125" customWidth="1"/>
    <col min="4090" max="4090" width="14.85546875" customWidth="1"/>
    <col min="4091" max="4091" width="10.7109375" customWidth="1"/>
    <col min="4092" max="4092" width="17.5703125" customWidth="1"/>
    <col min="4094" max="4094" width="10.28515625" customWidth="1"/>
    <col min="4095" max="4095" width="14.7109375" customWidth="1"/>
    <col min="4330" max="4330" width="35" customWidth="1"/>
    <col min="4331" max="4331" width="14.28515625" customWidth="1"/>
    <col min="4332" max="4332" width="13" customWidth="1"/>
    <col min="4333" max="4333" width="12.42578125" customWidth="1"/>
    <col min="4334" max="4334" width="16.5703125" customWidth="1"/>
    <col min="4339" max="4339" width="31.5703125" customWidth="1"/>
    <col min="4340" max="4340" width="14.28515625" customWidth="1"/>
    <col min="4341" max="4341" width="12.85546875" customWidth="1"/>
    <col min="4342" max="4342" width="12.42578125" customWidth="1"/>
    <col min="4343" max="4343" width="4.42578125" customWidth="1"/>
    <col min="4344" max="4344" width="18.28515625" customWidth="1"/>
    <col min="4345" max="4345" width="20.5703125" customWidth="1"/>
    <col min="4346" max="4346" width="14.85546875" customWidth="1"/>
    <col min="4347" max="4347" width="10.7109375" customWidth="1"/>
    <col min="4348" max="4348" width="17.5703125" customWidth="1"/>
    <col min="4350" max="4350" width="10.28515625" customWidth="1"/>
    <col min="4351" max="4351" width="14.7109375" customWidth="1"/>
    <col min="4586" max="4586" width="35" customWidth="1"/>
    <col min="4587" max="4587" width="14.28515625" customWidth="1"/>
    <col min="4588" max="4588" width="13" customWidth="1"/>
    <col min="4589" max="4589" width="12.42578125" customWidth="1"/>
    <col min="4590" max="4590" width="16.5703125" customWidth="1"/>
    <col min="4595" max="4595" width="31.5703125" customWidth="1"/>
    <col min="4596" max="4596" width="14.28515625" customWidth="1"/>
    <col min="4597" max="4597" width="12.85546875" customWidth="1"/>
    <col min="4598" max="4598" width="12.42578125" customWidth="1"/>
    <col min="4599" max="4599" width="4.42578125" customWidth="1"/>
    <col min="4600" max="4600" width="18.28515625" customWidth="1"/>
    <col min="4601" max="4601" width="20.5703125" customWidth="1"/>
    <col min="4602" max="4602" width="14.85546875" customWidth="1"/>
    <col min="4603" max="4603" width="10.7109375" customWidth="1"/>
    <col min="4604" max="4604" width="17.5703125" customWidth="1"/>
    <col min="4606" max="4606" width="10.28515625" customWidth="1"/>
    <col min="4607" max="4607" width="14.7109375" customWidth="1"/>
    <col min="4842" max="4842" width="35" customWidth="1"/>
    <col min="4843" max="4843" width="14.28515625" customWidth="1"/>
    <col min="4844" max="4844" width="13" customWidth="1"/>
    <col min="4845" max="4845" width="12.42578125" customWidth="1"/>
    <col min="4846" max="4846" width="16.5703125" customWidth="1"/>
    <col min="4851" max="4851" width="31.5703125" customWidth="1"/>
    <col min="4852" max="4852" width="14.28515625" customWidth="1"/>
    <col min="4853" max="4853" width="12.85546875" customWidth="1"/>
    <col min="4854" max="4854" width="12.42578125" customWidth="1"/>
    <col min="4855" max="4855" width="4.42578125" customWidth="1"/>
    <col min="4856" max="4856" width="18.28515625" customWidth="1"/>
    <col min="4857" max="4857" width="20.5703125" customWidth="1"/>
    <col min="4858" max="4858" width="14.85546875" customWidth="1"/>
    <col min="4859" max="4859" width="10.7109375" customWidth="1"/>
    <col min="4860" max="4860" width="17.5703125" customWidth="1"/>
    <col min="4862" max="4862" width="10.28515625" customWidth="1"/>
    <col min="4863" max="4863" width="14.7109375" customWidth="1"/>
    <col min="5098" max="5098" width="35" customWidth="1"/>
    <col min="5099" max="5099" width="14.28515625" customWidth="1"/>
    <col min="5100" max="5100" width="13" customWidth="1"/>
    <col min="5101" max="5101" width="12.42578125" customWidth="1"/>
    <col min="5102" max="5102" width="16.5703125" customWidth="1"/>
    <col min="5107" max="5107" width="31.5703125" customWidth="1"/>
    <col min="5108" max="5108" width="14.28515625" customWidth="1"/>
    <col min="5109" max="5109" width="12.85546875" customWidth="1"/>
    <col min="5110" max="5110" width="12.42578125" customWidth="1"/>
    <col min="5111" max="5111" width="4.42578125" customWidth="1"/>
    <col min="5112" max="5112" width="18.28515625" customWidth="1"/>
    <col min="5113" max="5113" width="20.5703125" customWidth="1"/>
    <col min="5114" max="5114" width="14.85546875" customWidth="1"/>
    <col min="5115" max="5115" width="10.7109375" customWidth="1"/>
    <col min="5116" max="5116" width="17.5703125" customWidth="1"/>
    <col min="5118" max="5118" width="10.28515625" customWidth="1"/>
    <col min="5119" max="5119" width="14.7109375" customWidth="1"/>
    <col min="5354" max="5354" width="35" customWidth="1"/>
    <col min="5355" max="5355" width="14.28515625" customWidth="1"/>
    <col min="5356" max="5356" width="13" customWidth="1"/>
    <col min="5357" max="5357" width="12.42578125" customWidth="1"/>
    <col min="5358" max="5358" width="16.5703125" customWidth="1"/>
    <col min="5363" max="5363" width="31.5703125" customWidth="1"/>
    <col min="5364" max="5364" width="14.28515625" customWidth="1"/>
    <col min="5365" max="5365" width="12.85546875" customWidth="1"/>
    <col min="5366" max="5366" width="12.42578125" customWidth="1"/>
    <col min="5367" max="5367" width="4.42578125" customWidth="1"/>
    <col min="5368" max="5368" width="18.28515625" customWidth="1"/>
    <col min="5369" max="5369" width="20.5703125" customWidth="1"/>
    <col min="5370" max="5370" width="14.85546875" customWidth="1"/>
    <col min="5371" max="5371" width="10.7109375" customWidth="1"/>
    <col min="5372" max="5372" width="17.5703125" customWidth="1"/>
    <col min="5374" max="5374" width="10.28515625" customWidth="1"/>
    <col min="5375" max="5375" width="14.7109375" customWidth="1"/>
    <col min="5610" max="5610" width="35" customWidth="1"/>
    <col min="5611" max="5611" width="14.28515625" customWidth="1"/>
    <col min="5612" max="5612" width="13" customWidth="1"/>
    <col min="5613" max="5613" width="12.42578125" customWidth="1"/>
    <col min="5614" max="5614" width="16.5703125" customWidth="1"/>
    <col min="5619" max="5619" width="31.5703125" customWidth="1"/>
    <col min="5620" max="5620" width="14.28515625" customWidth="1"/>
    <col min="5621" max="5621" width="12.85546875" customWidth="1"/>
    <col min="5622" max="5622" width="12.42578125" customWidth="1"/>
    <col min="5623" max="5623" width="4.42578125" customWidth="1"/>
    <col min="5624" max="5624" width="18.28515625" customWidth="1"/>
    <col min="5625" max="5625" width="20.5703125" customWidth="1"/>
    <col min="5626" max="5626" width="14.85546875" customWidth="1"/>
    <col min="5627" max="5627" width="10.7109375" customWidth="1"/>
    <col min="5628" max="5628" width="17.5703125" customWidth="1"/>
    <col min="5630" max="5630" width="10.28515625" customWidth="1"/>
    <col min="5631" max="5631" width="14.7109375" customWidth="1"/>
    <col min="5866" max="5866" width="35" customWidth="1"/>
    <col min="5867" max="5867" width="14.28515625" customWidth="1"/>
    <col min="5868" max="5868" width="13" customWidth="1"/>
    <col min="5869" max="5869" width="12.42578125" customWidth="1"/>
    <col min="5870" max="5870" width="16.5703125" customWidth="1"/>
    <col min="5875" max="5875" width="31.5703125" customWidth="1"/>
    <col min="5876" max="5876" width="14.28515625" customWidth="1"/>
    <col min="5877" max="5877" width="12.85546875" customWidth="1"/>
    <col min="5878" max="5878" width="12.42578125" customWidth="1"/>
    <col min="5879" max="5879" width="4.42578125" customWidth="1"/>
    <col min="5880" max="5880" width="18.28515625" customWidth="1"/>
    <col min="5881" max="5881" width="20.5703125" customWidth="1"/>
    <col min="5882" max="5882" width="14.85546875" customWidth="1"/>
    <col min="5883" max="5883" width="10.7109375" customWidth="1"/>
    <col min="5884" max="5884" width="17.5703125" customWidth="1"/>
    <col min="5886" max="5886" width="10.28515625" customWidth="1"/>
    <col min="5887" max="5887" width="14.7109375" customWidth="1"/>
    <col min="6122" max="6122" width="35" customWidth="1"/>
    <col min="6123" max="6123" width="14.28515625" customWidth="1"/>
    <col min="6124" max="6124" width="13" customWidth="1"/>
    <col min="6125" max="6125" width="12.42578125" customWidth="1"/>
    <col min="6126" max="6126" width="16.5703125" customWidth="1"/>
    <col min="6131" max="6131" width="31.5703125" customWidth="1"/>
    <col min="6132" max="6132" width="14.28515625" customWidth="1"/>
    <col min="6133" max="6133" width="12.85546875" customWidth="1"/>
    <col min="6134" max="6134" width="12.42578125" customWidth="1"/>
    <col min="6135" max="6135" width="4.42578125" customWidth="1"/>
    <col min="6136" max="6136" width="18.28515625" customWidth="1"/>
    <col min="6137" max="6137" width="20.5703125" customWidth="1"/>
    <col min="6138" max="6138" width="14.85546875" customWidth="1"/>
    <col min="6139" max="6139" width="10.7109375" customWidth="1"/>
    <col min="6140" max="6140" width="17.5703125" customWidth="1"/>
    <col min="6142" max="6142" width="10.28515625" customWidth="1"/>
    <col min="6143" max="6143" width="14.7109375" customWidth="1"/>
    <col min="6378" max="6378" width="35" customWidth="1"/>
    <col min="6379" max="6379" width="14.28515625" customWidth="1"/>
    <col min="6380" max="6380" width="13" customWidth="1"/>
    <col min="6381" max="6381" width="12.42578125" customWidth="1"/>
    <col min="6382" max="6382" width="16.5703125" customWidth="1"/>
    <col min="6387" max="6387" width="31.5703125" customWidth="1"/>
    <col min="6388" max="6388" width="14.28515625" customWidth="1"/>
    <col min="6389" max="6389" width="12.85546875" customWidth="1"/>
    <col min="6390" max="6390" width="12.42578125" customWidth="1"/>
    <col min="6391" max="6391" width="4.42578125" customWidth="1"/>
    <col min="6392" max="6392" width="18.28515625" customWidth="1"/>
    <col min="6393" max="6393" width="20.5703125" customWidth="1"/>
    <col min="6394" max="6394" width="14.85546875" customWidth="1"/>
    <col min="6395" max="6395" width="10.7109375" customWidth="1"/>
    <col min="6396" max="6396" width="17.5703125" customWidth="1"/>
    <col min="6398" max="6398" width="10.28515625" customWidth="1"/>
    <col min="6399" max="6399" width="14.7109375" customWidth="1"/>
    <col min="6634" max="6634" width="35" customWidth="1"/>
    <col min="6635" max="6635" width="14.28515625" customWidth="1"/>
    <col min="6636" max="6636" width="13" customWidth="1"/>
    <col min="6637" max="6637" width="12.42578125" customWidth="1"/>
    <col min="6638" max="6638" width="16.5703125" customWidth="1"/>
    <col min="6643" max="6643" width="31.5703125" customWidth="1"/>
    <col min="6644" max="6644" width="14.28515625" customWidth="1"/>
    <col min="6645" max="6645" width="12.85546875" customWidth="1"/>
    <col min="6646" max="6646" width="12.42578125" customWidth="1"/>
    <col min="6647" max="6647" width="4.42578125" customWidth="1"/>
    <col min="6648" max="6648" width="18.28515625" customWidth="1"/>
    <col min="6649" max="6649" width="20.5703125" customWidth="1"/>
    <col min="6650" max="6650" width="14.85546875" customWidth="1"/>
    <col min="6651" max="6651" width="10.7109375" customWidth="1"/>
    <col min="6652" max="6652" width="17.5703125" customWidth="1"/>
    <col min="6654" max="6654" width="10.28515625" customWidth="1"/>
    <col min="6655" max="6655" width="14.7109375" customWidth="1"/>
    <col min="6890" max="6890" width="35" customWidth="1"/>
    <col min="6891" max="6891" width="14.28515625" customWidth="1"/>
    <col min="6892" max="6892" width="13" customWidth="1"/>
    <col min="6893" max="6893" width="12.42578125" customWidth="1"/>
    <col min="6894" max="6894" width="16.5703125" customWidth="1"/>
    <col min="6899" max="6899" width="31.5703125" customWidth="1"/>
    <col min="6900" max="6900" width="14.28515625" customWidth="1"/>
    <col min="6901" max="6901" width="12.85546875" customWidth="1"/>
    <col min="6902" max="6902" width="12.42578125" customWidth="1"/>
    <col min="6903" max="6903" width="4.42578125" customWidth="1"/>
    <col min="6904" max="6904" width="18.28515625" customWidth="1"/>
    <col min="6905" max="6905" width="20.5703125" customWidth="1"/>
    <col min="6906" max="6906" width="14.85546875" customWidth="1"/>
    <col min="6907" max="6907" width="10.7109375" customWidth="1"/>
    <col min="6908" max="6908" width="17.5703125" customWidth="1"/>
    <col min="6910" max="6910" width="10.28515625" customWidth="1"/>
    <col min="6911" max="6911" width="14.7109375" customWidth="1"/>
    <col min="7146" max="7146" width="35" customWidth="1"/>
    <col min="7147" max="7147" width="14.28515625" customWidth="1"/>
    <col min="7148" max="7148" width="13" customWidth="1"/>
    <col min="7149" max="7149" width="12.42578125" customWidth="1"/>
    <col min="7150" max="7150" width="16.5703125" customWidth="1"/>
    <col min="7155" max="7155" width="31.5703125" customWidth="1"/>
    <col min="7156" max="7156" width="14.28515625" customWidth="1"/>
    <col min="7157" max="7157" width="12.85546875" customWidth="1"/>
    <col min="7158" max="7158" width="12.42578125" customWidth="1"/>
    <col min="7159" max="7159" width="4.42578125" customWidth="1"/>
    <col min="7160" max="7160" width="18.28515625" customWidth="1"/>
    <col min="7161" max="7161" width="20.5703125" customWidth="1"/>
    <col min="7162" max="7162" width="14.85546875" customWidth="1"/>
    <col min="7163" max="7163" width="10.7109375" customWidth="1"/>
    <col min="7164" max="7164" width="17.5703125" customWidth="1"/>
    <col min="7166" max="7166" width="10.28515625" customWidth="1"/>
    <col min="7167" max="7167" width="14.7109375" customWidth="1"/>
    <col min="7402" max="7402" width="35" customWidth="1"/>
    <col min="7403" max="7403" width="14.28515625" customWidth="1"/>
    <col min="7404" max="7404" width="13" customWidth="1"/>
    <col min="7405" max="7405" width="12.42578125" customWidth="1"/>
    <col min="7406" max="7406" width="16.5703125" customWidth="1"/>
    <col min="7411" max="7411" width="31.5703125" customWidth="1"/>
    <col min="7412" max="7412" width="14.28515625" customWidth="1"/>
    <col min="7413" max="7413" width="12.85546875" customWidth="1"/>
    <col min="7414" max="7414" width="12.42578125" customWidth="1"/>
    <col min="7415" max="7415" width="4.42578125" customWidth="1"/>
    <col min="7416" max="7416" width="18.28515625" customWidth="1"/>
    <col min="7417" max="7417" width="20.5703125" customWidth="1"/>
    <col min="7418" max="7418" width="14.85546875" customWidth="1"/>
    <col min="7419" max="7419" width="10.7109375" customWidth="1"/>
    <col min="7420" max="7420" width="17.5703125" customWidth="1"/>
    <col min="7422" max="7422" width="10.28515625" customWidth="1"/>
    <col min="7423" max="7423" width="14.7109375" customWidth="1"/>
    <col min="7658" max="7658" width="35" customWidth="1"/>
    <col min="7659" max="7659" width="14.28515625" customWidth="1"/>
    <col min="7660" max="7660" width="13" customWidth="1"/>
    <col min="7661" max="7661" width="12.42578125" customWidth="1"/>
    <col min="7662" max="7662" width="16.5703125" customWidth="1"/>
    <col min="7667" max="7667" width="31.5703125" customWidth="1"/>
    <col min="7668" max="7668" width="14.28515625" customWidth="1"/>
    <col min="7669" max="7669" width="12.85546875" customWidth="1"/>
    <col min="7670" max="7670" width="12.42578125" customWidth="1"/>
    <col min="7671" max="7671" width="4.42578125" customWidth="1"/>
    <col min="7672" max="7672" width="18.28515625" customWidth="1"/>
    <col min="7673" max="7673" width="20.5703125" customWidth="1"/>
    <col min="7674" max="7674" width="14.85546875" customWidth="1"/>
    <col min="7675" max="7675" width="10.7109375" customWidth="1"/>
    <col min="7676" max="7676" width="17.5703125" customWidth="1"/>
    <col min="7678" max="7678" width="10.28515625" customWidth="1"/>
    <col min="7679" max="7679" width="14.7109375" customWidth="1"/>
    <col min="7914" max="7914" width="35" customWidth="1"/>
    <col min="7915" max="7915" width="14.28515625" customWidth="1"/>
    <col min="7916" max="7916" width="13" customWidth="1"/>
    <col min="7917" max="7917" width="12.42578125" customWidth="1"/>
    <col min="7918" max="7918" width="16.5703125" customWidth="1"/>
    <col min="7923" max="7923" width="31.5703125" customWidth="1"/>
    <col min="7924" max="7924" width="14.28515625" customWidth="1"/>
    <col min="7925" max="7925" width="12.85546875" customWidth="1"/>
    <col min="7926" max="7926" width="12.42578125" customWidth="1"/>
    <col min="7927" max="7927" width="4.42578125" customWidth="1"/>
    <col min="7928" max="7928" width="18.28515625" customWidth="1"/>
    <col min="7929" max="7929" width="20.5703125" customWidth="1"/>
    <col min="7930" max="7930" width="14.85546875" customWidth="1"/>
    <col min="7931" max="7931" width="10.7109375" customWidth="1"/>
    <col min="7932" max="7932" width="17.5703125" customWidth="1"/>
    <col min="7934" max="7934" width="10.28515625" customWidth="1"/>
    <col min="7935" max="7935" width="14.7109375" customWidth="1"/>
    <col min="8170" max="8170" width="35" customWidth="1"/>
    <col min="8171" max="8171" width="14.28515625" customWidth="1"/>
    <col min="8172" max="8172" width="13" customWidth="1"/>
    <col min="8173" max="8173" width="12.42578125" customWidth="1"/>
    <col min="8174" max="8174" width="16.5703125" customWidth="1"/>
    <col min="8179" max="8179" width="31.5703125" customWidth="1"/>
    <col min="8180" max="8180" width="14.28515625" customWidth="1"/>
    <col min="8181" max="8181" width="12.85546875" customWidth="1"/>
    <col min="8182" max="8182" width="12.42578125" customWidth="1"/>
    <col min="8183" max="8183" width="4.42578125" customWidth="1"/>
    <col min="8184" max="8184" width="18.28515625" customWidth="1"/>
    <col min="8185" max="8185" width="20.5703125" customWidth="1"/>
    <col min="8186" max="8186" width="14.85546875" customWidth="1"/>
    <col min="8187" max="8187" width="10.7109375" customWidth="1"/>
    <col min="8188" max="8188" width="17.5703125" customWidth="1"/>
    <col min="8190" max="8190" width="10.28515625" customWidth="1"/>
    <col min="8191" max="8191" width="14.7109375" customWidth="1"/>
    <col min="8426" max="8426" width="35" customWidth="1"/>
    <col min="8427" max="8427" width="14.28515625" customWidth="1"/>
    <col min="8428" max="8428" width="13" customWidth="1"/>
    <col min="8429" max="8429" width="12.42578125" customWidth="1"/>
    <col min="8430" max="8430" width="16.5703125" customWidth="1"/>
    <col min="8435" max="8435" width="31.5703125" customWidth="1"/>
    <col min="8436" max="8436" width="14.28515625" customWidth="1"/>
    <col min="8437" max="8437" width="12.85546875" customWidth="1"/>
    <col min="8438" max="8438" width="12.42578125" customWidth="1"/>
    <col min="8439" max="8439" width="4.42578125" customWidth="1"/>
    <col min="8440" max="8440" width="18.28515625" customWidth="1"/>
    <col min="8441" max="8441" width="20.5703125" customWidth="1"/>
    <col min="8442" max="8442" width="14.85546875" customWidth="1"/>
    <col min="8443" max="8443" width="10.7109375" customWidth="1"/>
    <col min="8444" max="8444" width="17.5703125" customWidth="1"/>
    <col min="8446" max="8446" width="10.28515625" customWidth="1"/>
    <col min="8447" max="8447" width="14.7109375" customWidth="1"/>
    <col min="8682" max="8682" width="35" customWidth="1"/>
    <col min="8683" max="8683" width="14.28515625" customWidth="1"/>
    <col min="8684" max="8684" width="13" customWidth="1"/>
    <col min="8685" max="8685" width="12.42578125" customWidth="1"/>
    <col min="8686" max="8686" width="16.5703125" customWidth="1"/>
    <col min="8691" max="8691" width="31.5703125" customWidth="1"/>
    <col min="8692" max="8692" width="14.28515625" customWidth="1"/>
    <col min="8693" max="8693" width="12.85546875" customWidth="1"/>
    <col min="8694" max="8694" width="12.42578125" customWidth="1"/>
    <col min="8695" max="8695" width="4.42578125" customWidth="1"/>
    <col min="8696" max="8696" width="18.28515625" customWidth="1"/>
    <col min="8697" max="8697" width="20.5703125" customWidth="1"/>
    <col min="8698" max="8698" width="14.85546875" customWidth="1"/>
    <col min="8699" max="8699" width="10.7109375" customWidth="1"/>
    <col min="8700" max="8700" width="17.5703125" customWidth="1"/>
    <col min="8702" max="8702" width="10.28515625" customWidth="1"/>
    <col min="8703" max="8703" width="14.7109375" customWidth="1"/>
    <col min="8938" max="8938" width="35" customWidth="1"/>
    <col min="8939" max="8939" width="14.28515625" customWidth="1"/>
    <col min="8940" max="8940" width="13" customWidth="1"/>
    <col min="8941" max="8941" width="12.42578125" customWidth="1"/>
    <col min="8942" max="8942" width="16.5703125" customWidth="1"/>
    <col min="8947" max="8947" width="31.5703125" customWidth="1"/>
    <col min="8948" max="8948" width="14.28515625" customWidth="1"/>
    <col min="8949" max="8949" width="12.85546875" customWidth="1"/>
    <col min="8950" max="8950" width="12.42578125" customWidth="1"/>
    <col min="8951" max="8951" width="4.42578125" customWidth="1"/>
    <col min="8952" max="8952" width="18.28515625" customWidth="1"/>
    <col min="8953" max="8953" width="20.5703125" customWidth="1"/>
    <col min="8954" max="8954" width="14.85546875" customWidth="1"/>
    <col min="8955" max="8955" width="10.7109375" customWidth="1"/>
    <col min="8956" max="8956" width="17.5703125" customWidth="1"/>
    <col min="8958" max="8958" width="10.28515625" customWidth="1"/>
    <col min="8959" max="8959" width="14.7109375" customWidth="1"/>
    <col min="9194" max="9194" width="35" customWidth="1"/>
    <col min="9195" max="9195" width="14.28515625" customWidth="1"/>
    <col min="9196" max="9196" width="13" customWidth="1"/>
    <col min="9197" max="9197" width="12.42578125" customWidth="1"/>
    <col min="9198" max="9198" width="16.5703125" customWidth="1"/>
    <col min="9203" max="9203" width="31.5703125" customWidth="1"/>
    <col min="9204" max="9204" width="14.28515625" customWidth="1"/>
    <col min="9205" max="9205" width="12.85546875" customWidth="1"/>
    <col min="9206" max="9206" width="12.42578125" customWidth="1"/>
    <col min="9207" max="9207" width="4.42578125" customWidth="1"/>
    <col min="9208" max="9208" width="18.28515625" customWidth="1"/>
    <col min="9209" max="9209" width="20.5703125" customWidth="1"/>
    <col min="9210" max="9210" width="14.85546875" customWidth="1"/>
    <col min="9211" max="9211" width="10.7109375" customWidth="1"/>
    <col min="9212" max="9212" width="17.5703125" customWidth="1"/>
    <col min="9214" max="9214" width="10.28515625" customWidth="1"/>
    <col min="9215" max="9215" width="14.7109375" customWidth="1"/>
    <col min="9450" max="9450" width="35" customWidth="1"/>
    <col min="9451" max="9451" width="14.28515625" customWidth="1"/>
    <col min="9452" max="9452" width="13" customWidth="1"/>
    <col min="9453" max="9453" width="12.42578125" customWidth="1"/>
    <col min="9454" max="9454" width="16.5703125" customWidth="1"/>
    <col min="9459" max="9459" width="31.5703125" customWidth="1"/>
    <col min="9460" max="9460" width="14.28515625" customWidth="1"/>
    <col min="9461" max="9461" width="12.85546875" customWidth="1"/>
    <col min="9462" max="9462" width="12.42578125" customWidth="1"/>
    <col min="9463" max="9463" width="4.42578125" customWidth="1"/>
    <col min="9464" max="9464" width="18.28515625" customWidth="1"/>
    <col min="9465" max="9465" width="20.5703125" customWidth="1"/>
    <col min="9466" max="9466" width="14.85546875" customWidth="1"/>
    <col min="9467" max="9467" width="10.7109375" customWidth="1"/>
    <col min="9468" max="9468" width="17.5703125" customWidth="1"/>
    <col min="9470" max="9470" width="10.28515625" customWidth="1"/>
    <col min="9471" max="9471" width="14.7109375" customWidth="1"/>
    <col min="9706" max="9706" width="35" customWidth="1"/>
    <col min="9707" max="9707" width="14.28515625" customWidth="1"/>
    <col min="9708" max="9708" width="13" customWidth="1"/>
    <col min="9709" max="9709" width="12.42578125" customWidth="1"/>
    <col min="9710" max="9710" width="16.5703125" customWidth="1"/>
    <col min="9715" max="9715" width="31.5703125" customWidth="1"/>
    <col min="9716" max="9716" width="14.28515625" customWidth="1"/>
    <col min="9717" max="9717" width="12.85546875" customWidth="1"/>
    <col min="9718" max="9718" width="12.42578125" customWidth="1"/>
    <col min="9719" max="9719" width="4.42578125" customWidth="1"/>
    <col min="9720" max="9720" width="18.28515625" customWidth="1"/>
    <col min="9721" max="9721" width="20.5703125" customWidth="1"/>
    <col min="9722" max="9722" width="14.85546875" customWidth="1"/>
    <col min="9723" max="9723" width="10.7109375" customWidth="1"/>
    <col min="9724" max="9724" width="17.5703125" customWidth="1"/>
    <col min="9726" max="9726" width="10.28515625" customWidth="1"/>
    <col min="9727" max="9727" width="14.7109375" customWidth="1"/>
    <col min="9962" max="9962" width="35" customWidth="1"/>
    <col min="9963" max="9963" width="14.28515625" customWidth="1"/>
    <col min="9964" max="9964" width="13" customWidth="1"/>
    <col min="9965" max="9965" width="12.42578125" customWidth="1"/>
    <col min="9966" max="9966" width="16.5703125" customWidth="1"/>
    <col min="9971" max="9971" width="31.5703125" customWidth="1"/>
    <col min="9972" max="9972" width="14.28515625" customWidth="1"/>
    <col min="9973" max="9973" width="12.85546875" customWidth="1"/>
    <col min="9974" max="9974" width="12.42578125" customWidth="1"/>
    <col min="9975" max="9975" width="4.42578125" customWidth="1"/>
    <col min="9976" max="9976" width="18.28515625" customWidth="1"/>
    <col min="9977" max="9977" width="20.5703125" customWidth="1"/>
    <col min="9978" max="9978" width="14.85546875" customWidth="1"/>
    <col min="9979" max="9979" width="10.7109375" customWidth="1"/>
    <col min="9980" max="9980" width="17.5703125" customWidth="1"/>
    <col min="9982" max="9982" width="10.28515625" customWidth="1"/>
    <col min="9983" max="9983" width="14.7109375" customWidth="1"/>
    <col min="10218" max="10218" width="35" customWidth="1"/>
    <col min="10219" max="10219" width="14.28515625" customWidth="1"/>
    <col min="10220" max="10220" width="13" customWidth="1"/>
    <col min="10221" max="10221" width="12.42578125" customWidth="1"/>
    <col min="10222" max="10222" width="16.5703125" customWidth="1"/>
    <col min="10227" max="10227" width="31.5703125" customWidth="1"/>
    <col min="10228" max="10228" width="14.28515625" customWidth="1"/>
    <col min="10229" max="10229" width="12.85546875" customWidth="1"/>
    <col min="10230" max="10230" width="12.42578125" customWidth="1"/>
    <col min="10231" max="10231" width="4.42578125" customWidth="1"/>
    <col min="10232" max="10232" width="18.28515625" customWidth="1"/>
    <col min="10233" max="10233" width="20.5703125" customWidth="1"/>
    <col min="10234" max="10234" width="14.85546875" customWidth="1"/>
    <col min="10235" max="10235" width="10.7109375" customWidth="1"/>
    <col min="10236" max="10236" width="17.5703125" customWidth="1"/>
    <col min="10238" max="10238" width="10.28515625" customWidth="1"/>
    <col min="10239" max="10239" width="14.7109375" customWidth="1"/>
    <col min="10474" max="10474" width="35" customWidth="1"/>
    <col min="10475" max="10475" width="14.28515625" customWidth="1"/>
    <col min="10476" max="10476" width="13" customWidth="1"/>
    <col min="10477" max="10477" width="12.42578125" customWidth="1"/>
    <col min="10478" max="10478" width="16.5703125" customWidth="1"/>
    <col min="10483" max="10483" width="31.5703125" customWidth="1"/>
    <col min="10484" max="10484" width="14.28515625" customWidth="1"/>
    <col min="10485" max="10485" width="12.85546875" customWidth="1"/>
    <col min="10486" max="10486" width="12.42578125" customWidth="1"/>
    <col min="10487" max="10487" width="4.42578125" customWidth="1"/>
    <col min="10488" max="10488" width="18.28515625" customWidth="1"/>
    <col min="10489" max="10489" width="20.5703125" customWidth="1"/>
    <col min="10490" max="10490" width="14.85546875" customWidth="1"/>
    <col min="10491" max="10491" width="10.7109375" customWidth="1"/>
    <col min="10492" max="10492" width="17.5703125" customWidth="1"/>
    <col min="10494" max="10494" width="10.28515625" customWidth="1"/>
    <col min="10495" max="10495" width="14.7109375" customWidth="1"/>
    <col min="10730" max="10730" width="35" customWidth="1"/>
    <col min="10731" max="10731" width="14.28515625" customWidth="1"/>
    <col min="10732" max="10732" width="13" customWidth="1"/>
    <col min="10733" max="10733" width="12.42578125" customWidth="1"/>
    <col min="10734" max="10734" width="16.5703125" customWidth="1"/>
    <col min="10739" max="10739" width="31.5703125" customWidth="1"/>
    <col min="10740" max="10740" width="14.28515625" customWidth="1"/>
    <col min="10741" max="10741" width="12.85546875" customWidth="1"/>
    <col min="10742" max="10742" width="12.42578125" customWidth="1"/>
    <col min="10743" max="10743" width="4.42578125" customWidth="1"/>
    <col min="10744" max="10744" width="18.28515625" customWidth="1"/>
    <col min="10745" max="10745" width="20.5703125" customWidth="1"/>
    <col min="10746" max="10746" width="14.85546875" customWidth="1"/>
    <col min="10747" max="10747" width="10.7109375" customWidth="1"/>
    <col min="10748" max="10748" width="17.5703125" customWidth="1"/>
    <col min="10750" max="10750" width="10.28515625" customWidth="1"/>
    <col min="10751" max="10751" width="14.7109375" customWidth="1"/>
    <col min="10986" max="10986" width="35" customWidth="1"/>
    <col min="10987" max="10987" width="14.28515625" customWidth="1"/>
    <col min="10988" max="10988" width="13" customWidth="1"/>
    <col min="10989" max="10989" width="12.42578125" customWidth="1"/>
    <col min="10990" max="10990" width="16.5703125" customWidth="1"/>
    <col min="10995" max="10995" width="31.5703125" customWidth="1"/>
    <col min="10996" max="10996" width="14.28515625" customWidth="1"/>
    <col min="10997" max="10997" width="12.85546875" customWidth="1"/>
    <col min="10998" max="10998" width="12.42578125" customWidth="1"/>
    <col min="10999" max="10999" width="4.42578125" customWidth="1"/>
    <col min="11000" max="11000" width="18.28515625" customWidth="1"/>
    <col min="11001" max="11001" width="20.5703125" customWidth="1"/>
    <col min="11002" max="11002" width="14.85546875" customWidth="1"/>
    <col min="11003" max="11003" width="10.7109375" customWidth="1"/>
    <col min="11004" max="11004" width="17.5703125" customWidth="1"/>
    <col min="11006" max="11006" width="10.28515625" customWidth="1"/>
    <col min="11007" max="11007" width="14.7109375" customWidth="1"/>
    <col min="11242" max="11242" width="35" customWidth="1"/>
    <col min="11243" max="11243" width="14.28515625" customWidth="1"/>
    <col min="11244" max="11244" width="13" customWidth="1"/>
    <col min="11245" max="11245" width="12.42578125" customWidth="1"/>
    <col min="11246" max="11246" width="16.5703125" customWidth="1"/>
    <col min="11251" max="11251" width="31.5703125" customWidth="1"/>
    <col min="11252" max="11252" width="14.28515625" customWidth="1"/>
    <col min="11253" max="11253" width="12.85546875" customWidth="1"/>
    <col min="11254" max="11254" width="12.42578125" customWidth="1"/>
    <col min="11255" max="11255" width="4.42578125" customWidth="1"/>
    <col min="11256" max="11256" width="18.28515625" customWidth="1"/>
    <col min="11257" max="11257" width="20.5703125" customWidth="1"/>
    <col min="11258" max="11258" width="14.85546875" customWidth="1"/>
    <col min="11259" max="11259" width="10.7109375" customWidth="1"/>
    <col min="11260" max="11260" width="17.5703125" customWidth="1"/>
    <col min="11262" max="11262" width="10.28515625" customWidth="1"/>
    <col min="11263" max="11263" width="14.7109375" customWidth="1"/>
    <col min="11498" max="11498" width="35" customWidth="1"/>
    <col min="11499" max="11499" width="14.28515625" customWidth="1"/>
    <col min="11500" max="11500" width="13" customWidth="1"/>
    <col min="11501" max="11501" width="12.42578125" customWidth="1"/>
    <col min="11502" max="11502" width="16.5703125" customWidth="1"/>
    <col min="11507" max="11507" width="31.5703125" customWidth="1"/>
    <col min="11508" max="11508" width="14.28515625" customWidth="1"/>
    <col min="11509" max="11509" width="12.85546875" customWidth="1"/>
    <col min="11510" max="11510" width="12.42578125" customWidth="1"/>
    <col min="11511" max="11511" width="4.42578125" customWidth="1"/>
    <col min="11512" max="11512" width="18.28515625" customWidth="1"/>
    <col min="11513" max="11513" width="20.5703125" customWidth="1"/>
    <col min="11514" max="11514" width="14.85546875" customWidth="1"/>
    <col min="11515" max="11515" width="10.7109375" customWidth="1"/>
    <col min="11516" max="11516" width="17.5703125" customWidth="1"/>
    <col min="11518" max="11518" width="10.28515625" customWidth="1"/>
    <col min="11519" max="11519" width="14.7109375" customWidth="1"/>
    <col min="11754" max="11754" width="35" customWidth="1"/>
    <col min="11755" max="11755" width="14.28515625" customWidth="1"/>
    <col min="11756" max="11756" width="13" customWidth="1"/>
    <col min="11757" max="11757" width="12.42578125" customWidth="1"/>
    <col min="11758" max="11758" width="16.5703125" customWidth="1"/>
    <col min="11763" max="11763" width="31.5703125" customWidth="1"/>
    <col min="11764" max="11764" width="14.28515625" customWidth="1"/>
    <col min="11765" max="11765" width="12.85546875" customWidth="1"/>
    <col min="11766" max="11766" width="12.42578125" customWidth="1"/>
    <col min="11767" max="11767" width="4.42578125" customWidth="1"/>
    <col min="11768" max="11768" width="18.28515625" customWidth="1"/>
    <col min="11769" max="11769" width="20.5703125" customWidth="1"/>
    <col min="11770" max="11770" width="14.85546875" customWidth="1"/>
    <col min="11771" max="11771" width="10.7109375" customWidth="1"/>
    <col min="11772" max="11772" width="17.5703125" customWidth="1"/>
    <col min="11774" max="11774" width="10.28515625" customWidth="1"/>
    <col min="11775" max="11775" width="14.7109375" customWidth="1"/>
    <col min="12010" max="12010" width="35" customWidth="1"/>
    <col min="12011" max="12011" width="14.28515625" customWidth="1"/>
    <col min="12012" max="12012" width="13" customWidth="1"/>
    <col min="12013" max="12013" width="12.42578125" customWidth="1"/>
    <col min="12014" max="12014" width="16.5703125" customWidth="1"/>
    <col min="12019" max="12019" width="31.5703125" customWidth="1"/>
    <col min="12020" max="12020" width="14.28515625" customWidth="1"/>
    <col min="12021" max="12021" width="12.85546875" customWidth="1"/>
    <col min="12022" max="12022" width="12.42578125" customWidth="1"/>
    <col min="12023" max="12023" width="4.42578125" customWidth="1"/>
    <col min="12024" max="12024" width="18.28515625" customWidth="1"/>
    <col min="12025" max="12025" width="20.5703125" customWidth="1"/>
    <col min="12026" max="12026" width="14.85546875" customWidth="1"/>
    <col min="12027" max="12027" width="10.7109375" customWidth="1"/>
    <col min="12028" max="12028" width="17.5703125" customWidth="1"/>
    <col min="12030" max="12030" width="10.28515625" customWidth="1"/>
    <col min="12031" max="12031" width="14.7109375" customWidth="1"/>
    <col min="12266" max="12266" width="35" customWidth="1"/>
    <col min="12267" max="12267" width="14.28515625" customWidth="1"/>
    <col min="12268" max="12268" width="13" customWidth="1"/>
    <col min="12269" max="12269" width="12.42578125" customWidth="1"/>
    <col min="12270" max="12270" width="16.5703125" customWidth="1"/>
    <col min="12275" max="12275" width="31.5703125" customWidth="1"/>
    <col min="12276" max="12276" width="14.28515625" customWidth="1"/>
    <col min="12277" max="12277" width="12.85546875" customWidth="1"/>
    <col min="12278" max="12278" width="12.42578125" customWidth="1"/>
    <col min="12279" max="12279" width="4.42578125" customWidth="1"/>
    <col min="12280" max="12280" width="18.28515625" customWidth="1"/>
    <col min="12281" max="12281" width="20.5703125" customWidth="1"/>
    <col min="12282" max="12282" width="14.85546875" customWidth="1"/>
    <col min="12283" max="12283" width="10.7109375" customWidth="1"/>
    <col min="12284" max="12284" width="17.5703125" customWidth="1"/>
    <col min="12286" max="12286" width="10.28515625" customWidth="1"/>
    <col min="12287" max="12287" width="14.7109375" customWidth="1"/>
    <col min="12522" max="12522" width="35" customWidth="1"/>
    <col min="12523" max="12523" width="14.28515625" customWidth="1"/>
    <col min="12524" max="12524" width="13" customWidth="1"/>
    <col min="12525" max="12525" width="12.42578125" customWidth="1"/>
    <col min="12526" max="12526" width="16.5703125" customWidth="1"/>
    <col min="12531" max="12531" width="31.5703125" customWidth="1"/>
    <col min="12532" max="12532" width="14.28515625" customWidth="1"/>
    <col min="12533" max="12533" width="12.85546875" customWidth="1"/>
    <col min="12534" max="12534" width="12.42578125" customWidth="1"/>
    <col min="12535" max="12535" width="4.42578125" customWidth="1"/>
    <col min="12536" max="12536" width="18.28515625" customWidth="1"/>
    <col min="12537" max="12537" width="20.5703125" customWidth="1"/>
    <col min="12538" max="12538" width="14.85546875" customWidth="1"/>
    <col min="12539" max="12539" width="10.7109375" customWidth="1"/>
    <col min="12540" max="12540" width="17.5703125" customWidth="1"/>
    <col min="12542" max="12542" width="10.28515625" customWidth="1"/>
    <col min="12543" max="12543" width="14.7109375" customWidth="1"/>
    <col min="12778" max="12778" width="35" customWidth="1"/>
    <col min="12779" max="12779" width="14.28515625" customWidth="1"/>
    <col min="12780" max="12780" width="13" customWidth="1"/>
    <col min="12781" max="12781" width="12.42578125" customWidth="1"/>
    <col min="12782" max="12782" width="16.5703125" customWidth="1"/>
    <col min="12787" max="12787" width="31.5703125" customWidth="1"/>
    <col min="12788" max="12788" width="14.28515625" customWidth="1"/>
    <col min="12789" max="12789" width="12.85546875" customWidth="1"/>
    <col min="12790" max="12790" width="12.42578125" customWidth="1"/>
    <col min="12791" max="12791" width="4.42578125" customWidth="1"/>
    <col min="12792" max="12792" width="18.28515625" customWidth="1"/>
    <col min="12793" max="12793" width="20.5703125" customWidth="1"/>
    <col min="12794" max="12794" width="14.85546875" customWidth="1"/>
    <col min="12795" max="12795" width="10.7109375" customWidth="1"/>
    <col min="12796" max="12796" width="17.5703125" customWidth="1"/>
    <col min="12798" max="12798" width="10.28515625" customWidth="1"/>
    <col min="12799" max="12799" width="14.7109375" customWidth="1"/>
    <col min="13034" max="13034" width="35" customWidth="1"/>
    <col min="13035" max="13035" width="14.28515625" customWidth="1"/>
    <col min="13036" max="13036" width="13" customWidth="1"/>
    <col min="13037" max="13037" width="12.42578125" customWidth="1"/>
    <col min="13038" max="13038" width="16.5703125" customWidth="1"/>
    <col min="13043" max="13043" width="31.5703125" customWidth="1"/>
    <col min="13044" max="13044" width="14.28515625" customWidth="1"/>
    <col min="13045" max="13045" width="12.85546875" customWidth="1"/>
    <col min="13046" max="13046" width="12.42578125" customWidth="1"/>
    <col min="13047" max="13047" width="4.42578125" customWidth="1"/>
    <col min="13048" max="13048" width="18.28515625" customWidth="1"/>
    <col min="13049" max="13049" width="20.5703125" customWidth="1"/>
    <col min="13050" max="13050" width="14.85546875" customWidth="1"/>
    <col min="13051" max="13051" width="10.7109375" customWidth="1"/>
    <col min="13052" max="13052" width="17.5703125" customWidth="1"/>
    <col min="13054" max="13054" width="10.28515625" customWidth="1"/>
    <col min="13055" max="13055" width="14.7109375" customWidth="1"/>
    <col min="13290" max="13290" width="35" customWidth="1"/>
    <col min="13291" max="13291" width="14.28515625" customWidth="1"/>
    <col min="13292" max="13292" width="13" customWidth="1"/>
    <col min="13293" max="13293" width="12.42578125" customWidth="1"/>
    <col min="13294" max="13294" width="16.5703125" customWidth="1"/>
    <col min="13299" max="13299" width="31.5703125" customWidth="1"/>
    <col min="13300" max="13300" width="14.28515625" customWidth="1"/>
    <col min="13301" max="13301" width="12.85546875" customWidth="1"/>
    <col min="13302" max="13302" width="12.42578125" customWidth="1"/>
    <col min="13303" max="13303" width="4.42578125" customWidth="1"/>
    <col min="13304" max="13304" width="18.28515625" customWidth="1"/>
    <col min="13305" max="13305" width="20.5703125" customWidth="1"/>
    <col min="13306" max="13306" width="14.85546875" customWidth="1"/>
    <col min="13307" max="13307" width="10.7109375" customWidth="1"/>
    <col min="13308" max="13308" width="17.5703125" customWidth="1"/>
    <col min="13310" max="13310" width="10.28515625" customWidth="1"/>
    <col min="13311" max="13311" width="14.7109375" customWidth="1"/>
    <col min="13546" max="13546" width="35" customWidth="1"/>
    <col min="13547" max="13547" width="14.28515625" customWidth="1"/>
    <col min="13548" max="13548" width="13" customWidth="1"/>
    <col min="13549" max="13549" width="12.42578125" customWidth="1"/>
    <col min="13550" max="13550" width="16.5703125" customWidth="1"/>
    <col min="13555" max="13555" width="31.5703125" customWidth="1"/>
    <col min="13556" max="13556" width="14.28515625" customWidth="1"/>
    <col min="13557" max="13557" width="12.85546875" customWidth="1"/>
    <col min="13558" max="13558" width="12.42578125" customWidth="1"/>
    <col min="13559" max="13559" width="4.42578125" customWidth="1"/>
    <col min="13560" max="13560" width="18.28515625" customWidth="1"/>
    <col min="13561" max="13561" width="20.5703125" customWidth="1"/>
    <col min="13562" max="13562" width="14.85546875" customWidth="1"/>
    <col min="13563" max="13563" width="10.7109375" customWidth="1"/>
    <col min="13564" max="13564" width="17.5703125" customWidth="1"/>
    <col min="13566" max="13566" width="10.28515625" customWidth="1"/>
    <col min="13567" max="13567" width="14.7109375" customWidth="1"/>
    <col min="13802" max="13802" width="35" customWidth="1"/>
    <col min="13803" max="13803" width="14.28515625" customWidth="1"/>
    <col min="13804" max="13804" width="13" customWidth="1"/>
    <col min="13805" max="13805" width="12.42578125" customWidth="1"/>
    <col min="13806" max="13806" width="16.5703125" customWidth="1"/>
    <col min="13811" max="13811" width="31.5703125" customWidth="1"/>
    <col min="13812" max="13812" width="14.28515625" customWidth="1"/>
    <col min="13813" max="13813" width="12.85546875" customWidth="1"/>
    <col min="13814" max="13814" width="12.42578125" customWidth="1"/>
    <col min="13815" max="13815" width="4.42578125" customWidth="1"/>
    <col min="13816" max="13816" width="18.28515625" customWidth="1"/>
    <col min="13817" max="13817" width="20.5703125" customWidth="1"/>
    <col min="13818" max="13818" width="14.85546875" customWidth="1"/>
    <col min="13819" max="13819" width="10.7109375" customWidth="1"/>
    <col min="13820" max="13820" width="17.5703125" customWidth="1"/>
    <col min="13822" max="13822" width="10.28515625" customWidth="1"/>
    <col min="13823" max="13823" width="14.7109375" customWidth="1"/>
    <col min="14058" max="14058" width="35" customWidth="1"/>
    <col min="14059" max="14059" width="14.28515625" customWidth="1"/>
    <col min="14060" max="14060" width="13" customWidth="1"/>
    <col min="14061" max="14061" width="12.42578125" customWidth="1"/>
    <col min="14062" max="14062" width="16.5703125" customWidth="1"/>
    <col min="14067" max="14067" width="31.5703125" customWidth="1"/>
    <col min="14068" max="14068" width="14.28515625" customWidth="1"/>
    <col min="14069" max="14069" width="12.85546875" customWidth="1"/>
    <col min="14070" max="14070" width="12.42578125" customWidth="1"/>
    <col min="14071" max="14071" width="4.42578125" customWidth="1"/>
    <col min="14072" max="14072" width="18.28515625" customWidth="1"/>
    <col min="14073" max="14073" width="20.5703125" customWidth="1"/>
    <col min="14074" max="14074" width="14.85546875" customWidth="1"/>
    <col min="14075" max="14075" width="10.7109375" customWidth="1"/>
    <col min="14076" max="14076" width="17.5703125" customWidth="1"/>
    <col min="14078" max="14078" width="10.28515625" customWidth="1"/>
    <col min="14079" max="14079" width="14.7109375" customWidth="1"/>
    <col min="14314" max="14314" width="35" customWidth="1"/>
    <col min="14315" max="14315" width="14.28515625" customWidth="1"/>
    <col min="14316" max="14316" width="13" customWidth="1"/>
    <col min="14317" max="14317" width="12.42578125" customWidth="1"/>
    <col min="14318" max="14318" width="16.5703125" customWidth="1"/>
    <col min="14323" max="14323" width="31.5703125" customWidth="1"/>
    <col min="14324" max="14324" width="14.28515625" customWidth="1"/>
    <col min="14325" max="14325" width="12.85546875" customWidth="1"/>
    <col min="14326" max="14326" width="12.42578125" customWidth="1"/>
    <col min="14327" max="14327" width="4.42578125" customWidth="1"/>
    <col min="14328" max="14328" width="18.28515625" customWidth="1"/>
    <col min="14329" max="14329" width="20.5703125" customWidth="1"/>
    <col min="14330" max="14330" width="14.85546875" customWidth="1"/>
    <col min="14331" max="14331" width="10.7109375" customWidth="1"/>
    <col min="14332" max="14332" width="17.5703125" customWidth="1"/>
    <col min="14334" max="14334" width="10.28515625" customWidth="1"/>
    <col min="14335" max="14335" width="14.7109375" customWidth="1"/>
    <col min="14570" max="14570" width="35" customWidth="1"/>
    <col min="14571" max="14571" width="14.28515625" customWidth="1"/>
    <col min="14572" max="14572" width="13" customWidth="1"/>
    <col min="14573" max="14573" width="12.42578125" customWidth="1"/>
    <col min="14574" max="14574" width="16.5703125" customWidth="1"/>
    <col min="14579" max="14579" width="31.5703125" customWidth="1"/>
    <col min="14580" max="14580" width="14.28515625" customWidth="1"/>
    <col min="14581" max="14581" width="12.85546875" customWidth="1"/>
    <col min="14582" max="14582" width="12.42578125" customWidth="1"/>
    <col min="14583" max="14583" width="4.42578125" customWidth="1"/>
    <col min="14584" max="14584" width="18.28515625" customWidth="1"/>
    <col min="14585" max="14585" width="20.5703125" customWidth="1"/>
    <col min="14586" max="14586" width="14.85546875" customWidth="1"/>
    <col min="14587" max="14587" width="10.7109375" customWidth="1"/>
    <col min="14588" max="14588" width="17.5703125" customWidth="1"/>
    <col min="14590" max="14590" width="10.28515625" customWidth="1"/>
    <col min="14591" max="14591" width="14.7109375" customWidth="1"/>
    <col min="14826" max="14826" width="35" customWidth="1"/>
    <col min="14827" max="14827" width="14.28515625" customWidth="1"/>
    <col min="14828" max="14828" width="13" customWidth="1"/>
    <col min="14829" max="14829" width="12.42578125" customWidth="1"/>
    <col min="14830" max="14830" width="16.5703125" customWidth="1"/>
    <col min="14835" max="14835" width="31.5703125" customWidth="1"/>
    <col min="14836" max="14836" width="14.28515625" customWidth="1"/>
    <col min="14837" max="14837" width="12.85546875" customWidth="1"/>
    <col min="14838" max="14838" width="12.42578125" customWidth="1"/>
    <col min="14839" max="14839" width="4.42578125" customWidth="1"/>
    <col min="14840" max="14840" width="18.28515625" customWidth="1"/>
    <col min="14841" max="14841" width="20.5703125" customWidth="1"/>
    <col min="14842" max="14842" width="14.85546875" customWidth="1"/>
    <col min="14843" max="14843" width="10.7109375" customWidth="1"/>
    <col min="14844" max="14844" width="17.5703125" customWidth="1"/>
    <col min="14846" max="14846" width="10.28515625" customWidth="1"/>
    <col min="14847" max="14847" width="14.7109375" customWidth="1"/>
    <col min="15082" max="15082" width="35" customWidth="1"/>
    <col min="15083" max="15083" width="14.28515625" customWidth="1"/>
    <col min="15084" max="15084" width="13" customWidth="1"/>
    <col min="15085" max="15085" width="12.42578125" customWidth="1"/>
    <col min="15086" max="15086" width="16.5703125" customWidth="1"/>
    <col min="15091" max="15091" width="31.5703125" customWidth="1"/>
    <col min="15092" max="15092" width="14.28515625" customWidth="1"/>
    <col min="15093" max="15093" width="12.85546875" customWidth="1"/>
    <col min="15094" max="15094" width="12.42578125" customWidth="1"/>
    <col min="15095" max="15095" width="4.42578125" customWidth="1"/>
    <col min="15096" max="15096" width="18.28515625" customWidth="1"/>
    <col min="15097" max="15097" width="20.5703125" customWidth="1"/>
    <col min="15098" max="15098" width="14.85546875" customWidth="1"/>
    <col min="15099" max="15099" width="10.7109375" customWidth="1"/>
    <col min="15100" max="15100" width="17.5703125" customWidth="1"/>
    <col min="15102" max="15102" width="10.28515625" customWidth="1"/>
    <col min="15103" max="15103" width="14.7109375" customWidth="1"/>
    <col min="15338" max="15338" width="35" customWidth="1"/>
    <col min="15339" max="15339" width="14.28515625" customWidth="1"/>
    <col min="15340" max="15340" width="13" customWidth="1"/>
    <col min="15341" max="15341" width="12.42578125" customWidth="1"/>
    <col min="15342" max="15342" width="16.5703125" customWidth="1"/>
    <col min="15347" max="15347" width="31.5703125" customWidth="1"/>
    <col min="15348" max="15348" width="14.28515625" customWidth="1"/>
    <col min="15349" max="15349" width="12.85546875" customWidth="1"/>
    <col min="15350" max="15350" width="12.42578125" customWidth="1"/>
    <col min="15351" max="15351" width="4.42578125" customWidth="1"/>
    <col min="15352" max="15352" width="18.28515625" customWidth="1"/>
    <col min="15353" max="15353" width="20.5703125" customWidth="1"/>
    <col min="15354" max="15354" width="14.85546875" customWidth="1"/>
    <col min="15355" max="15355" width="10.7109375" customWidth="1"/>
    <col min="15356" max="15356" width="17.5703125" customWidth="1"/>
    <col min="15358" max="15358" width="10.28515625" customWidth="1"/>
    <col min="15359" max="15359" width="14.7109375" customWidth="1"/>
    <col min="15594" max="15594" width="35" customWidth="1"/>
    <col min="15595" max="15595" width="14.28515625" customWidth="1"/>
    <col min="15596" max="15596" width="13" customWidth="1"/>
    <col min="15597" max="15597" width="12.42578125" customWidth="1"/>
    <col min="15598" max="15598" width="16.5703125" customWidth="1"/>
    <col min="15603" max="15603" width="31.5703125" customWidth="1"/>
    <col min="15604" max="15604" width="14.28515625" customWidth="1"/>
    <col min="15605" max="15605" width="12.85546875" customWidth="1"/>
    <col min="15606" max="15606" width="12.42578125" customWidth="1"/>
    <col min="15607" max="15607" width="4.42578125" customWidth="1"/>
    <col min="15608" max="15608" width="18.28515625" customWidth="1"/>
    <col min="15609" max="15609" width="20.5703125" customWidth="1"/>
    <col min="15610" max="15610" width="14.85546875" customWidth="1"/>
    <col min="15611" max="15611" width="10.7109375" customWidth="1"/>
    <col min="15612" max="15612" width="17.5703125" customWidth="1"/>
    <col min="15614" max="15614" width="10.28515625" customWidth="1"/>
    <col min="15615" max="15615" width="14.7109375" customWidth="1"/>
    <col min="15850" max="15850" width="35" customWidth="1"/>
    <col min="15851" max="15851" width="14.28515625" customWidth="1"/>
    <col min="15852" max="15852" width="13" customWidth="1"/>
    <col min="15853" max="15853" width="12.42578125" customWidth="1"/>
    <col min="15854" max="15854" width="16.5703125" customWidth="1"/>
    <col min="15859" max="15859" width="31.5703125" customWidth="1"/>
    <col min="15860" max="15860" width="14.28515625" customWidth="1"/>
    <col min="15861" max="15861" width="12.85546875" customWidth="1"/>
    <col min="15862" max="15862" width="12.42578125" customWidth="1"/>
    <col min="15863" max="15863" width="4.42578125" customWidth="1"/>
    <col min="15864" max="15864" width="18.28515625" customWidth="1"/>
    <col min="15865" max="15865" width="20.5703125" customWidth="1"/>
    <col min="15866" max="15866" width="14.85546875" customWidth="1"/>
    <col min="15867" max="15867" width="10.7109375" customWidth="1"/>
    <col min="15868" max="15868" width="17.5703125" customWidth="1"/>
    <col min="15870" max="15870" width="10.28515625" customWidth="1"/>
    <col min="15871" max="15871" width="14.7109375" customWidth="1"/>
    <col min="16106" max="16106" width="35" customWidth="1"/>
    <col min="16107" max="16107" width="14.28515625" customWidth="1"/>
    <col min="16108" max="16108" width="13" customWidth="1"/>
    <col min="16109" max="16109" width="12.42578125" customWidth="1"/>
    <col min="16110" max="16110" width="16.5703125" customWidth="1"/>
    <col min="16115" max="16115" width="31.5703125" customWidth="1"/>
    <col min="16116" max="16116" width="14.28515625" customWidth="1"/>
    <col min="16117" max="16117" width="12.85546875" customWidth="1"/>
    <col min="16118" max="16118" width="12.42578125" customWidth="1"/>
    <col min="16119" max="16119" width="4.42578125" customWidth="1"/>
    <col min="16120" max="16120" width="18.28515625" customWidth="1"/>
    <col min="16121" max="16121" width="20.5703125" customWidth="1"/>
    <col min="16122" max="16122" width="14.85546875" customWidth="1"/>
    <col min="16123" max="16123" width="10.7109375" customWidth="1"/>
    <col min="16124" max="16124" width="17.5703125" customWidth="1"/>
    <col min="16126" max="16126" width="10.28515625" customWidth="1"/>
    <col min="16127" max="16127" width="14.7109375" customWidth="1"/>
    <col min="16362" max="16362" width="35" customWidth="1"/>
    <col min="16363" max="16363" width="14.28515625" customWidth="1"/>
    <col min="16364" max="16364" width="13" customWidth="1"/>
    <col min="16365" max="16365" width="12.42578125" customWidth="1"/>
    <col min="16366" max="16366" width="16.5703125" customWidth="1"/>
  </cols>
  <sheetData>
    <row r="1" spans="2:19" ht="20.25">
      <c r="B1" s="1" t="s">
        <v>322</v>
      </c>
      <c r="Q1" s="40"/>
    </row>
    <row r="2" spans="2:19" ht="15.75" customHeight="1" thickBot="1">
      <c r="B2" s="99" t="s">
        <v>305</v>
      </c>
      <c r="Q2" s="40"/>
    </row>
    <row r="3" spans="2:19" ht="37.5" customHeight="1" thickBot="1">
      <c r="B3" s="1087" t="s">
        <v>323</v>
      </c>
      <c r="C3" s="1088"/>
      <c r="D3" s="1088"/>
      <c r="E3" s="1089"/>
      <c r="G3" s="1090" t="s">
        <v>69</v>
      </c>
      <c r="H3" s="1091"/>
      <c r="I3" s="1091"/>
      <c r="J3" s="1092"/>
      <c r="L3" s="1090" t="s">
        <v>70</v>
      </c>
      <c r="M3" s="1091"/>
      <c r="N3" s="1091"/>
      <c r="O3" s="1092"/>
      <c r="Q3" s="41"/>
    </row>
    <row r="4" spans="2:19" ht="15" customHeight="1">
      <c r="B4" s="554" t="s">
        <v>319</v>
      </c>
      <c r="C4" s="1079" t="s">
        <v>71</v>
      </c>
      <c r="D4" s="1080"/>
      <c r="E4" s="555">
        <v>30</v>
      </c>
      <c r="G4" s="287" t="s">
        <v>140</v>
      </c>
      <c r="H4" s="1093" t="s">
        <v>71</v>
      </c>
      <c r="I4" s="1094"/>
      <c r="J4" s="42">
        <v>30</v>
      </c>
      <c r="L4" s="286" t="s">
        <v>141</v>
      </c>
      <c r="M4" s="1093" t="s">
        <v>71</v>
      </c>
      <c r="N4" s="1094"/>
      <c r="O4" s="42">
        <v>30</v>
      </c>
      <c r="P4" s="17"/>
      <c r="Q4" s="43"/>
    </row>
    <row r="5" spans="2:19" ht="15" customHeight="1">
      <c r="B5" s="556"/>
      <c r="C5" s="1081" t="s">
        <v>72</v>
      </c>
      <c r="D5" s="1082"/>
      <c r="E5" s="557">
        <v>365</v>
      </c>
      <c r="G5" s="44"/>
      <c r="H5" s="1083" t="s">
        <v>72</v>
      </c>
      <c r="I5" s="1084"/>
      <c r="J5" s="6">
        <v>365</v>
      </c>
      <c r="L5" s="5"/>
      <c r="M5" s="1083" t="s">
        <v>72</v>
      </c>
      <c r="N5" s="1084"/>
      <c r="O5" s="6">
        <v>365</v>
      </c>
      <c r="P5" s="17"/>
      <c r="Q5" s="45"/>
    </row>
    <row r="6" spans="2:19">
      <c r="B6" s="528"/>
      <c r="C6" s="558" t="s">
        <v>8</v>
      </c>
      <c r="D6" s="559" t="s">
        <v>9</v>
      </c>
      <c r="E6" s="560" t="s">
        <v>10</v>
      </c>
      <c r="G6" s="49"/>
      <c r="H6" s="46" t="s">
        <v>8</v>
      </c>
      <c r="I6" s="47" t="s">
        <v>9</v>
      </c>
      <c r="J6" s="48" t="s">
        <v>10</v>
      </c>
      <c r="L6" s="7"/>
      <c r="M6" s="46" t="s">
        <v>8</v>
      </c>
      <c r="N6" s="47" t="s">
        <v>9</v>
      </c>
      <c r="O6" s="48" t="s">
        <v>10</v>
      </c>
      <c r="P6" s="17"/>
      <c r="Q6" s="50"/>
    </row>
    <row r="7" spans="2:19" ht="15" customHeight="1">
      <c r="B7" s="581"/>
      <c r="C7" s="582" t="s">
        <v>24</v>
      </c>
      <c r="D7" s="583"/>
      <c r="E7" s="560" t="s">
        <v>10</v>
      </c>
      <c r="G7" s="9"/>
      <c r="H7" s="59" t="s">
        <v>24</v>
      </c>
      <c r="I7" s="60"/>
      <c r="J7" s="48" t="s">
        <v>10</v>
      </c>
      <c r="L7" s="381" t="s">
        <v>27</v>
      </c>
      <c r="M7" s="448" t="e">
        <f>H9</f>
        <v>#REF!</v>
      </c>
      <c r="N7" s="383"/>
      <c r="O7" s="61" t="e">
        <f>M7*$O$5*$O$4</f>
        <v>#REF!</v>
      </c>
      <c r="Q7" s="56"/>
    </row>
    <row r="8" spans="2:19">
      <c r="B8" s="585" t="s">
        <v>25</v>
      </c>
      <c r="C8" s="590">
        <v>3.82</v>
      </c>
      <c r="D8" s="586"/>
      <c r="E8" s="584">
        <f>C8*E4*E5</f>
        <v>41829</v>
      </c>
      <c r="G8" s="9" t="s">
        <v>25</v>
      </c>
      <c r="H8" s="62">
        <f>'Master Lookup'!E41</f>
        <v>13.500493901243001</v>
      </c>
      <c r="I8" s="63"/>
      <c r="J8" s="61">
        <f>H8*$J$4*$J$5</f>
        <v>147830.40821861086</v>
      </c>
      <c r="L8" s="381" t="s">
        <v>29</v>
      </c>
      <c r="M8" s="385">
        <f>'Master Lookup'!E47</f>
        <v>1.4817285866755505</v>
      </c>
      <c r="N8" s="383"/>
      <c r="O8" s="61">
        <f>M8*$O$5*$O$4</f>
        <v>16224.928024097278</v>
      </c>
      <c r="P8" s="67"/>
      <c r="Q8" s="543"/>
      <c r="S8" s="95"/>
    </row>
    <row r="9" spans="2:19" ht="36.75" customHeight="1">
      <c r="B9" s="585" t="s">
        <v>27</v>
      </c>
      <c r="C9" s="678">
        <f>'Master Lookup'!E43</f>
        <v>8.36</v>
      </c>
      <c r="D9" s="586"/>
      <c r="E9" s="587">
        <f>C9*E5*E4</f>
        <v>91541.999999999985</v>
      </c>
      <c r="G9" s="9" t="s">
        <v>27</v>
      </c>
      <c r="H9" s="447" t="e">
        <f>#REF!</f>
        <v>#REF!</v>
      </c>
      <c r="I9" s="63"/>
      <c r="J9" s="61" t="e">
        <f>H9*$J$4*$J$5</f>
        <v>#REF!</v>
      </c>
      <c r="L9" s="382" t="s">
        <v>31</v>
      </c>
      <c r="M9" s="411">
        <f>'Master Lookup'!E52</f>
        <v>1.3</v>
      </c>
      <c r="N9" s="384"/>
      <c r="O9" s="61">
        <f>M9*$O$5*$O$4</f>
        <v>14235</v>
      </c>
      <c r="Q9" s="56"/>
    </row>
    <row r="10" spans="2:19" ht="25.5" thickBot="1">
      <c r="B10" s="577" t="s">
        <v>35</v>
      </c>
      <c r="C10" s="600"/>
      <c r="D10" s="601"/>
      <c r="E10" s="580">
        <f>E9+E8</f>
        <v>133371</v>
      </c>
      <c r="G10" s="496" t="s">
        <v>35</v>
      </c>
      <c r="H10" s="499"/>
      <c r="I10" s="500"/>
      <c r="J10" s="497" t="e">
        <f>SUM(J8:J9,#REF!)</f>
        <v>#REF!</v>
      </c>
      <c r="L10" s="13" t="s">
        <v>37</v>
      </c>
      <c r="M10" s="14">
        <f>H11</f>
        <v>0.12</v>
      </c>
      <c r="N10" s="10"/>
      <c r="O10" s="65" t="e">
        <f>#REF!*M10</f>
        <v>#REF!</v>
      </c>
      <c r="Q10" s="410"/>
    </row>
    <row r="11" spans="2:19" ht="25.5" customHeight="1" thickTop="1">
      <c r="B11" s="585" t="s">
        <v>37</v>
      </c>
      <c r="C11" s="575">
        <f>'Master Lookup'!C64</f>
        <v>0.12</v>
      </c>
      <c r="D11" s="601"/>
      <c r="E11" s="580">
        <f>E10*C11</f>
        <v>16004.519999999999</v>
      </c>
      <c r="G11" s="498" t="s">
        <v>37</v>
      </c>
      <c r="H11" s="58">
        <f>'Master Lookup'!C64</f>
        <v>0.12</v>
      </c>
      <c r="I11" s="500"/>
      <c r="J11" s="497" t="e">
        <f>J10*H11</f>
        <v>#REF!</v>
      </c>
      <c r="L11" s="11" t="s">
        <v>32</v>
      </c>
      <c r="M11" s="12"/>
      <c r="N11" s="12"/>
      <c r="O11" s="8" t="e">
        <f>SUM(O10:O10)</f>
        <v>#REF!</v>
      </c>
      <c r="Q11" s="57"/>
    </row>
    <row r="12" spans="2:19" s="2" customFormat="1" ht="15.75" thickBot="1">
      <c r="B12" s="897"/>
      <c r="C12" s="894"/>
      <c r="D12" s="895"/>
      <c r="E12" s="898"/>
      <c r="G12" s="899" t="e">
        <f>#REF!</f>
        <v>#REF!</v>
      </c>
      <c r="H12" s="900" t="e">
        <f>#REF!</f>
        <v>#REF!</v>
      </c>
      <c r="I12" s="901"/>
      <c r="J12" s="902" t="e">
        <f>#REF!*H12</f>
        <v>#REF!</v>
      </c>
      <c r="L12" s="903" t="s">
        <v>284</v>
      </c>
      <c r="M12" s="904"/>
      <c r="N12" s="905"/>
      <c r="O12" s="906" t="e">
        <f>$O$11/($O$4*$O$5)</f>
        <v>#REF!</v>
      </c>
    </row>
    <row r="13" spans="2:19" ht="16.5" thickTop="1" thickBot="1">
      <c r="B13" s="571" t="s">
        <v>32</v>
      </c>
      <c r="C13" s="604"/>
      <c r="D13" s="604"/>
      <c r="E13" s="573">
        <f>E10+E11+E12</f>
        <v>149375.51999999999</v>
      </c>
      <c r="G13" s="501" t="s">
        <v>32</v>
      </c>
      <c r="H13" s="66"/>
      <c r="I13" s="66"/>
      <c r="J13" s="502" t="e">
        <f>SUM(J10:J12)</f>
        <v>#REF!</v>
      </c>
      <c r="L13" s="310" t="s">
        <v>285</v>
      </c>
      <c r="M13" s="462">
        <v>0.9</v>
      </c>
      <c r="N13" s="309"/>
      <c r="O13" s="315" t="e">
        <f>$O$11/(($O$4*$O$5)*M13)</f>
        <v>#REF!</v>
      </c>
      <c r="P13" s="67"/>
    </row>
    <row r="14" spans="2:19" ht="15.75" thickBot="1">
      <c r="B14" s="605" t="s">
        <v>284</v>
      </c>
      <c r="C14" s="606"/>
      <c r="D14" s="607"/>
      <c r="E14" s="608">
        <f>E13/(E4*E5)</f>
        <v>13.641599999999999</v>
      </c>
      <c r="G14" s="314" t="s">
        <v>284</v>
      </c>
      <c r="H14" s="308"/>
      <c r="I14" s="309"/>
      <c r="J14" s="315" t="e">
        <f>$J$13/($J$4*$J$5)</f>
        <v>#REF!</v>
      </c>
      <c r="K14" s="327"/>
      <c r="L14" s="312" t="s">
        <v>246</v>
      </c>
      <c r="M14" s="326" t="e">
        <f>#REF!</f>
        <v>#REF!</v>
      </c>
      <c r="N14" s="326"/>
      <c r="O14" s="473" t="e">
        <f>O13*(1+M14)</f>
        <v>#REF!</v>
      </c>
      <c r="P14" s="70"/>
    </row>
    <row r="15" spans="2:19" ht="34.15" customHeight="1" thickBot="1">
      <c r="B15" s="605" t="s">
        <v>285</v>
      </c>
      <c r="C15" s="609">
        <v>0.9</v>
      </c>
      <c r="D15" s="610"/>
      <c r="E15" s="611">
        <f>E13/(E4*E5)/C15</f>
        <v>15.157333333333332</v>
      </c>
      <c r="G15" s="310" t="s">
        <v>285</v>
      </c>
      <c r="H15" s="462">
        <v>0.8</v>
      </c>
      <c r="I15" s="309"/>
      <c r="J15" s="461" t="e">
        <f>$J$13/(($J$4*$J$5)*H15)</f>
        <v>#REF!</v>
      </c>
      <c r="K15" s="3"/>
      <c r="L15" s="3"/>
      <c r="M15" s="466" t="s">
        <v>283</v>
      </c>
      <c r="N15" s="475">
        <v>83.7</v>
      </c>
      <c r="O15" s="3"/>
      <c r="P15" s="70"/>
    </row>
    <row r="16" spans="2:19" ht="16.5" customHeight="1" thickBot="1">
      <c r="B16" s="612" t="s">
        <v>246</v>
      </c>
      <c r="C16" s="613">
        <f>'Master Lookup'!C65</f>
        <v>2.3531493276716206E-2</v>
      </c>
      <c r="D16" s="614"/>
      <c r="E16" s="670">
        <f>E15*(1+C16)</f>
        <v>15.51400802075961</v>
      </c>
      <c r="G16" s="319" t="s">
        <v>79</v>
      </c>
      <c r="H16" s="1085" t="s">
        <v>80</v>
      </c>
      <c r="I16" s="1086"/>
      <c r="J16" s="320" t="e">
        <f>J15-#REF!</f>
        <v>#REF!</v>
      </c>
      <c r="K16" s="3"/>
      <c r="L16" s="3"/>
      <c r="M16" s="468" t="s">
        <v>289</v>
      </c>
      <c r="N16" s="474" t="e">
        <f>(O14-N15)/N15</f>
        <v>#REF!</v>
      </c>
      <c r="O16" s="3"/>
      <c r="P16" s="70"/>
    </row>
    <row r="17" spans="2:16" ht="15.75" thickBot="1">
      <c r="B17" s="73"/>
      <c r="C17" s="321"/>
      <c r="D17" s="322"/>
      <c r="E17" s="323"/>
      <c r="G17" s="312" t="s">
        <v>246</v>
      </c>
      <c r="H17" s="313" t="e">
        <f>#REF!</f>
        <v>#REF!</v>
      </c>
      <c r="I17" s="324"/>
      <c r="J17" s="325"/>
      <c r="K17" s="3"/>
      <c r="P17" s="70"/>
    </row>
    <row r="18" spans="2:16" ht="16.5" thickBot="1">
      <c r="G18" s="334" t="s">
        <v>42</v>
      </c>
      <c r="H18" s="335"/>
      <c r="I18" s="336"/>
      <c r="J18" s="344" t="e">
        <f>J15*(1+H17)</f>
        <v>#REF!</v>
      </c>
      <c r="K18" s="3"/>
      <c r="L18" s="470" t="s">
        <v>81</v>
      </c>
      <c r="M18" s="471"/>
      <c r="N18" s="471"/>
      <c r="O18" s="472"/>
      <c r="P18" s="70"/>
    </row>
    <row r="19" spans="2:16">
      <c r="B19" s="57"/>
    </row>
    <row r="20" spans="2:16">
      <c r="B20" s="68"/>
    </row>
    <row r="21" spans="2:16">
      <c r="B21" s="71"/>
    </row>
    <row r="22" spans="2:16">
      <c r="B22" s="71"/>
    </row>
    <row r="23" spans="2:16">
      <c r="B23" s="72"/>
    </row>
    <row r="24" spans="2:16">
      <c r="B24" s="72"/>
    </row>
    <row r="25" spans="2:16">
      <c r="B25" s="72"/>
    </row>
  </sheetData>
  <mergeCells count="10">
    <mergeCell ref="M5:N5"/>
    <mergeCell ref="H16:I16"/>
    <mergeCell ref="B3:E3"/>
    <mergeCell ref="G3:J3"/>
    <mergeCell ref="C5:D5"/>
    <mergeCell ref="H5:I5"/>
    <mergeCell ref="L3:O3"/>
    <mergeCell ref="C4:D4"/>
    <mergeCell ref="H4:I4"/>
    <mergeCell ref="M4:N4"/>
  </mergeCells>
  <pageMargins left="0.25" right="0" top="0" bottom="0" header="0.3" footer="0.3"/>
  <pageSetup scale="79" orientation="landscape" r:id="rId1"/>
  <headerFooter>
    <oddHeader>&amp;CBENCHMARKED ADULT RESI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P63"/>
  <sheetViews>
    <sheetView topLeftCell="A22" zoomScale="90" zoomScaleNormal="90" workbookViewId="0">
      <selection activeCell="M31" sqref="M31"/>
    </sheetView>
  </sheetViews>
  <sheetFormatPr defaultRowHeight="15"/>
  <cols>
    <col min="1" max="1" width="4.28515625" customWidth="1"/>
    <col min="2" max="2" width="28.28515625" customWidth="1"/>
    <col min="3" max="3" width="17.7109375" customWidth="1"/>
    <col min="4" max="4" width="7.7109375" customWidth="1"/>
    <col min="5" max="5" width="12.7109375" customWidth="1"/>
    <col min="6" max="6" width="4.140625" customWidth="1"/>
    <col min="7" max="7" width="29.42578125" customWidth="1"/>
    <col min="8" max="8" width="17.7109375" customWidth="1"/>
    <col min="9" max="9" width="7.7109375" customWidth="1"/>
    <col min="10" max="10" width="12.7109375" customWidth="1"/>
    <col min="11" max="11" width="9.85546875" customWidth="1"/>
    <col min="12" max="12" width="19.85546875" customWidth="1"/>
    <col min="13" max="13" width="17.42578125" customWidth="1"/>
    <col min="14" max="14" width="27" customWidth="1"/>
    <col min="15" max="15" width="20.5703125" customWidth="1"/>
    <col min="229" max="229" width="35" customWidth="1"/>
    <col min="230" max="230" width="14.28515625" customWidth="1"/>
    <col min="231" max="231" width="13" customWidth="1"/>
    <col min="232" max="232" width="12.42578125" customWidth="1"/>
    <col min="233" max="233" width="16.5703125" customWidth="1"/>
    <col min="238" max="238" width="31.5703125" customWidth="1"/>
    <col min="239" max="239" width="14.28515625" customWidth="1"/>
    <col min="240" max="240" width="12.85546875" customWidth="1"/>
    <col min="241" max="241" width="12.42578125" customWidth="1"/>
    <col min="242" max="242" width="4.42578125" customWidth="1"/>
    <col min="243" max="243" width="18.28515625" customWidth="1"/>
    <col min="244" max="244" width="20.5703125" customWidth="1"/>
    <col min="245" max="245" width="14.85546875" customWidth="1"/>
    <col min="246" max="246" width="10.7109375" customWidth="1"/>
    <col min="247" max="247" width="17.5703125" customWidth="1"/>
    <col min="249" max="249" width="10.28515625" customWidth="1"/>
    <col min="250" max="250" width="14.7109375" customWidth="1"/>
    <col min="485" max="485" width="35" customWidth="1"/>
    <col min="486" max="486" width="14.28515625" customWidth="1"/>
    <col min="487" max="487" width="13" customWidth="1"/>
    <col min="488" max="488" width="12.42578125" customWidth="1"/>
    <col min="489" max="489" width="16.5703125" customWidth="1"/>
    <col min="494" max="494" width="31.5703125" customWidth="1"/>
    <col min="495" max="495" width="14.28515625" customWidth="1"/>
    <col min="496" max="496" width="12.85546875" customWidth="1"/>
    <col min="497" max="497" width="12.42578125" customWidth="1"/>
    <col min="498" max="498" width="4.42578125" customWidth="1"/>
    <col min="499" max="499" width="18.28515625" customWidth="1"/>
    <col min="500" max="500" width="20.5703125" customWidth="1"/>
    <col min="501" max="501" width="14.85546875" customWidth="1"/>
    <col min="502" max="502" width="10.7109375" customWidth="1"/>
    <col min="503" max="503" width="17.5703125" customWidth="1"/>
    <col min="505" max="505" width="10.28515625" customWidth="1"/>
    <col min="506" max="506" width="14.7109375" customWidth="1"/>
    <col min="741" max="741" width="35" customWidth="1"/>
    <col min="742" max="742" width="14.28515625" customWidth="1"/>
    <col min="743" max="743" width="13" customWidth="1"/>
    <col min="744" max="744" width="12.42578125" customWidth="1"/>
    <col min="745" max="745" width="16.5703125" customWidth="1"/>
    <col min="750" max="750" width="31.5703125" customWidth="1"/>
    <col min="751" max="751" width="14.28515625" customWidth="1"/>
    <col min="752" max="752" width="12.85546875" customWidth="1"/>
    <col min="753" max="753" width="12.42578125" customWidth="1"/>
    <col min="754" max="754" width="4.42578125" customWidth="1"/>
    <col min="755" max="755" width="18.28515625" customWidth="1"/>
    <col min="756" max="756" width="20.5703125" customWidth="1"/>
    <col min="757" max="757" width="14.85546875" customWidth="1"/>
    <col min="758" max="758" width="10.7109375" customWidth="1"/>
    <col min="759" max="759" width="17.5703125" customWidth="1"/>
    <col min="761" max="761" width="10.28515625" customWidth="1"/>
    <col min="762" max="762" width="14.7109375" customWidth="1"/>
    <col min="997" max="997" width="35" customWidth="1"/>
    <col min="998" max="998" width="14.28515625" customWidth="1"/>
    <col min="999" max="999" width="13" customWidth="1"/>
    <col min="1000" max="1000" width="12.42578125" customWidth="1"/>
    <col min="1001" max="1001" width="16.5703125" customWidth="1"/>
    <col min="1006" max="1006" width="31.5703125" customWidth="1"/>
    <col min="1007" max="1007" width="14.28515625" customWidth="1"/>
    <col min="1008" max="1008" width="12.85546875" customWidth="1"/>
    <col min="1009" max="1009" width="12.42578125" customWidth="1"/>
    <col min="1010" max="1010" width="4.42578125" customWidth="1"/>
    <col min="1011" max="1011" width="18.28515625" customWidth="1"/>
    <col min="1012" max="1012" width="20.5703125" customWidth="1"/>
    <col min="1013" max="1013" width="14.85546875" customWidth="1"/>
    <col min="1014" max="1014" width="10.7109375" customWidth="1"/>
    <col min="1015" max="1015" width="17.5703125" customWidth="1"/>
    <col min="1017" max="1017" width="10.28515625" customWidth="1"/>
    <col min="1018" max="1018" width="14.7109375" customWidth="1"/>
    <col min="1253" max="1253" width="35" customWidth="1"/>
    <col min="1254" max="1254" width="14.28515625" customWidth="1"/>
    <col min="1255" max="1255" width="13" customWidth="1"/>
    <col min="1256" max="1256" width="12.42578125" customWidth="1"/>
    <col min="1257" max="1257" width="16.5703125" customWidth="1"/>
    <col min="1262" max="1262" width="31.5703125" customWidth="1"/>
    <col min="1263" max="1263" width="14.28515625" customWidth="1"/>
    <col min="1264" max="1264" width="12.85546875" customWidth="1"/>
    <col min="1265" max="1265" width="12.42578125" customWidth="1"/>
    <col min="1266" max="1266" width="4.42578125" customWidth="1"/>
    <col min="1267" max="1267" width="18.28515625" customWidth="1"/>
    <col min="1268" max="1268" width="20.5703125" customWidth="1"/>
    <col min="1269" max="1269" width="14.85546875" customWidth="1"/>
    <col min="1270" max="1270" width="10.7109375" customWidth="1"/>
    <col min="1271" max="1271" width="17.5703125" customWidth="1"/>
    <col min="1273" max="1273" width="10.28515625" customWidth="1"/>
    <col min="1274" max="1274" width="14.7109375" customWidth="1"/>
    <col min="1509" max="1509" width="35" customWidth="1"/>
    <col min="1510" max="1510" width="14.28515625" customWidth="1"/>
    <col min="1511" max="1511" width="13" customWidth="1"/>
    <col min="1512" max="1512" width="12.42578125" customWidth="1"/>
    <col min="1513" max="1513" width="16.5703125" customWidth="1"/>
    <col min="1518" max="1518" width="31.5703125" customWidth="1"/>
    <col min="1519" max="1519" width="14.28515625" customWidth="1"/>
    <col min="1520" max="1520" width="12.85546875" customWidth="1"/>
    <col min="1521" max="1521" width="12.42578125" customWidth="1"/>
    <col min="1522" max="1522" width="4.42578125" customWidth="1"/>
    <col min="1523" max="1523" width="18.28515625" customWidth="1"/>
    <col min="1524" max="1524" width="20.5703125" customWidth="1"/>
    <col min="1525" max="1525" width="14.85546875" customWidth="1"/>
    <col min="1526" max="1526" width="10.7109375" customWidth="1"/>
    <col min="1527" max="1527" width="17.5703125" customWidth="1"/>
    <col min="1529" max="1529" width="10.28515625" customWidth="1"/>
    <col min="1530" max="1530" width="14.7109375" customWidth="1"/>
    <col min="1765" max="1765" width="35" customWidth="1"/>
    <col min="1766" max="1766" width="14.28515625" customWidth="1"/>
    <col min="1767" max="1767" width="13" customWidth="1"/>
    <col min="1768" max="1768" width="12.42578125" customWidth="1"/>
    <col min="1769" max="1769" width="16.5703125" customWidth="1"/>
    <col min="1774" max="1774" width="31.5703125" customWidth="1"/>
    <col min="1775" max="1775" width="14.28515625" customWidth="1"/>
    <col min="1776" max="1776" width="12.85546875" customWidth="1"/>
    <col min="1777" max="1777" width="12.42578125" customWidth="1"/>
    <col min="1778" max="1778" width="4.42578125" customWidth="1"/>
    <col min="1779" max="1779" width="18.28515625" customWidth="1"/>
    <col min="1780" max="1780" width="20.5703125" customWidth="1"/>
    <col min="1781" max="1781" width="14.85546875" customWidth="1"/>
    <col min="1782" max="1782" width="10.7109375" customWidth="1"/>
    <col min="1783" max="1783" width="17.5703125" customWidth="1"/>
    <col min="1785" max="1785" width="10.28515625" customWidth="1"/>
    <col min="1786" max="1786" width="14.7109375" customWidth="1"/>
    <col min="2021" max="2021" width="35" customWidth="1"/>
    <col min="2022" max="2022" width="14.28515625" customWidth="1"/>
    <col min="2023" max="2023" width="13" customWidth="1"/>
    <col min="2024" max="2024" width="12.42578125" customWidth="1"/>
    <col min="2025" max="2025" width="16.5703125" customWidth="1"/>
    <col min="2030" max="2030" width="31.5703125" customWidth="1"/>
    <col min="2031" max="2031" width="14.28515625" customWidth="1"/>
    <col min="2032" max="2032" width="12.85546875" customWidth="1"/>
    <col min="2033" max="2033" width="12.42578125" customWidth="1"/>
    <col min="2034" max="2034" width="4.42578125" customWidth="1"/>
    <col min="2035" max="2035" width="18.28515625" customWidth="1"/>
    <col min="2036" max="2036" width="20.5703125" customWidth="1"/>
    <col min="2037" max="2037" width="14.85546875" customWidth="1"/>
    <col min="2038" max="2038" width="10.7109375" customWidth="1"/>
    <col min="2039" max="2039" width="17.5703125" customWidth="1"/>
    <col min="2041" max="2041" width="10.28515625" customWidth="1"/>
    <col min="2042" max="2042" width="14.7109375" customWidth="1"/>
    <col min="2277" max="2277" width="35" customWidth="1"/>
    <col min="2278" max="2278" width="14.28515625" customWidth="1"/>
    <col min="2279" max="2279" width="13" customWidth="1"/>
    <col min="2280" max="2280" width="12.42578125" customWidth="1"/>
    <col min="2281" max="2281" width="16.5703125" customWidth="1"/>
    <col min="2286" max="2286" width="31.5703125" customWidth="1"/>
    <col min="2287" max="2287" width="14.28515625" customWidth="1"/>
    <col min="2288" max="2288" width="12.85546875" customWidth="1"/>
    <col min="2289" max="2289" width="12.42578125" customWidth="1"/>
    <col min="2290" max="2290" width="4.42578125" customWidth="1"/>
    <col min="2291" max="2291" width="18.28515625" customWidth="1"/>
    <col min="2292" max="2292" width="20.5703125" customWidth="1"/>
    <col min="2293" max="2293" width="14.85546875" customWidth="1"/>
    <col min="2294" max="2294" width="10.7109375" customWidth="1"/>
    <col min="2295" max="2295" width="17.5703125" customWidth="1"/>
    <col min="2297" max="2297" width="10.28515625" customWidth="1"/>
    <col min="2298" max="2298" width="14.7109375" customWidth="1"/>
    <col min="2533" max="2533" width="35" customWidth="1"/>
    <col min="2534" max="2534" width="14.28515625" customWidth="1"/>
    <col min="2535" max="2535" width="13" customWidth="1"/>
    <col min="2536" max="2536" width="12.42578125" customWidth="1"/>
    <col min="2537" max="2537" width="16.5703125" customWidth="1"/>
    <col min="2542" max="2542" width="31.5703125" customWidth="1"/>
    <col min="2543" max="2543" width="14.28515625" customWidth="1"/>
    <col min="2544" max="2544" width="12.85546875" customWidth="1"/>
    <col min="2545" max="2545" width="12.42578125" customWidth="1"/>
    <col min="2546" max="2546" width="4.42578125" customWidth="1"/>
    <col min="2547" max="2547" width="18.28515625" customWidth="1"/>
    <col min="2548" max="2548" width="20.5703125" customWidth="1"/>
    <col min="2549" max="2549" width="14.85546875" customWidth="1"/>
    <col min="2550" max="2550" width="10.7109375" customWidth="1"/>
    <col min="2551" max="2551" width="17.5703125" customWidth="1"/>
    <col min="2553" max="2553" width="10.28515625" customWidth="1"/>
    <col min="2554" max="2554" width="14.7109375" customWidth="1"/>
    <col min="2789" max="2789" width="35" customWidth="1"/>
    <col min="2790" max="2790" width="14.28515625" customWidth="1"/>
    <col min="2791" max="2791" width="13" customWidth="1"/>
    <col min="2792" max="2792" width="12.42578125" customWidth="1"/>
    <col min="2793" max="2793" width="16.5703125" customWidth="1"/>
    <col min="2798" max="2798" width="31.5703125" customWidth="1"/>
    <col min="2799" max="2799" width="14.28515625" customWidth="1"/>
    <col min="2800" max="2800" width="12.85546875" customWidth="1"/>
    <col min="2801" max="2801" width="12.42578125" customWidth="1"/>
    <col min="2802" max="2802" width="4.42578125" customWidth="1"/>
    <col min="2803" max="2803" width="18.28515625" customWidth="1"/>
    <col min="2804" max="2804" width="20.5703125" customWidth="1"/>
    <col min="2805" max="2805" width="14.85546875" customWidth="1"/>
    <col min="2806" max="2806" width="10.7109375" customWidth="1"/>
    <col min="2807" max="2807" width="17.5703125" customWidth="1"/>
    <col min="2809" max="2809" width="10.28515625" customWidth="1"/>
    <col min="2810" max="2810" width="14.7109375" customWidth="1"/>
    <col min="3045" max="3045" width="35" customWidth="1"/>
    <col min="3046" max="3046" width="14.28515625" customWidth="1"/>
    <col min="3047" max="3047" width="13" customWidth="1"/>
    <col min="3048" max="3048" width="12.42578125" customWidth="1"/>
    <col min="3049" max="3049" width="16.5703125" customWidth="1"/>
    <col min="3054" max="3054" width="31.5703125" customWidth="1"/>
    <col min="3055" max="3055" width="14.28515625" customWidth="1"/>
    <col min="3056" max="3056" width="12.85546875" customWidth="1"/>
    <col min="3057" max="3057" width="12.42578125" customWidth="1"/>
    <col min="3058" max="3058" width="4.42578125" customWidth="1"/>
    <col min="3059" max="3059" width="18.28515625" customWidth="1"/>
    <col min="3060" max="3060" width="20.5703125" customWidth="1"/>
    <col min="3061" max="3061" width="14.85546875" customWidth="1"/>
    <col min="3062" max="3062" width="10.7109375" customWidth="1"/>
    <col min="3063" max="3063" width="17.5703125" customWidth="1"/>
    <col min="3065" max="3065" width="10.28515625" customWidth="1"/>
    <col min="3066" max="3066" width="14.7109375" customWidth="1"/>
    <col min="3301" max="3301" width="35" customWidth="1"/>
    <col min="3302" max="3302" width="14.28515625" customWidth="1"/>
    <col min="3303" max="3303" width="13" customWidth="1"/>
    <col min="3304" max="3304" width="12.42578125" customWidth="1"/>
    <col min="3305" max="3305" width="16.5703125" customWidth="1"/>
    <col min="3310" max="3310" width="31.5703125" customWidth="1"/>
    <col min="3311" max="3311" width="14.28515625" customWidth="1"/>
    <col min="3312" max="3312" width="12.85546875" customWidth="1"/>
    <col min="3313" max="3313" width="12.42578125" customWidth="1"/>
    <col min="3314" max="3314" width="4.42578125" customWidth="1"/>
    <col min="3315" max="3315" width="18.28515625" customWidth="1"/>
    <col min="3316" max="3316" width="20.5703125" customWidth="1"/>
    <col min="3317" max="3317" width="14.85546875" customWidth="1"/>
    <col min="3318" max="3318" width="10.7109375" customWidth="1"/>
    <col min="3319" max="3319" width="17.5703125" customWidth="1"/>
    <col min="3321" max="3321" width="10.28515625" customWidth="1"/>
    <col min="3322" max="3322" width="14.7109375" customWidth="1"/>
    <col min="3557" max="3557" width="35" customWidth="1"/>
    <col min="3558" max="3558" width="14.28515625" customWidth="1"/>
    <col min="3559" max="3559" width="13" customWidth="1"/>
    <col min="3560" max="3560" width="12.42578125" customWidth="1"/>
    <col min="3561" max="3561" width="16.5703125" customWidth="1"/>
    <col min="3566" max="3566" width="31.5703125" customWidth="1"/>
    <col min="3567" max="3567" width="14.28515625" customWidth="1"/>
    <col min="3568" max="3568" width="12.85546875" customWidth="1"/>
    <col min="3569" max="3569" width="12.42578125" customWidth="1"/>
    <col min="3570" max="3570" width="4.42578125" customWidth="1"/>
    <col min="3571" max="3571" width="18.28515625" customWidth="1"/>
    <col min="3572" max="3572" width="20.5703125" customWidth="1"/>
    <col min="3573" max="3573" width="14.85546875" customWidth="1"/>
    <col min="3574" max="3574" width="10.7109375" customWidth="1"/>
    <col min="3575" max="3575" width="17.5703125" customWidth="1"/>
    <col min="3577" max="3577" width="10.28515625" customWidth="1"/>
    <col min="3578" max="3578" width="14.7109375" customWidth="1"/>
    <col min="3813" max="3813" width="35" customWidth="1"/>
    <col min="3814" max="3814" width="14.28515625" customWidth="1"/>
    <col min="3815" max="3815" width="13" customWidth="1"/>
    <col min="3816" max="3816" width="12.42578125" customWidth="1"/>
    <col min="3817" max="3817" width="16.5703125" customWidth="1"/>
    <col min="3822" max="3822" width="31.5703125" customWidth="1"/>
    <col min="3823" max="3823" width="14.28515625" customWidth="1"/>
    <col min="3824" max="3824" width="12.85546875" customWidth="1"/>
    <col min="3825" max="3825" width="12.42578125" customWidth="1"/>
    <col min="3826" max="3826" width="4.42578125" customWidth="1"/>
    <col min="3827" max="3827" width="18.28515625" customWidth="1"/>
    <col min="3828" max="3828" width="20.5703125" customWidth="1"/>
    <col min="3829" max="3829" width="14.85546875" customWidth="1"/>
    <col min="3830" max="3830" width="10.7109375" customWidth="1"/>
    <col min="3831" max="3831" width="17.5703125" customWidth="1"/>
    <col min="3833" max="3833" width="10.28515625" customWidth="1"/>
    <col min="3834" max="3834" width="14.7109375" customWidth="1"/>
    <col min="4069" max="4069" width="35" customWidth="1"/>
    <col min="4070" max="4070" width="14.28515625" customWidth="1"/>
    <col min="4071" max="4071" width="13" customWidth="1"/>
    <col min="4072" max="4072" width="12.42578125" customWidth="1"/>
    <col min="4073" max="4073" width="16.5703125" customWidth="1"/>
    <col min="4078" max="4078" width="31.5703125" customWidth="1"/>
    <col min="4079" max="4079" width="14.28515625" customWidth="1"/>
    <col min="4080" max="4080" width="12.85546875" customWidth="1"/>
    <col min="4081" max="4081" width="12.42578125" customWidth="1"/>
    <col min="4082" max="4082" width="4.42578125" customWidth="1"/>
    <col min="4083" max="4083" width="18.28515625" customWidth="1"/>
    <col min="4084" max="4084" width="20.5703125" customWidth="1"/>
    <col min="4085" max="4085" width="14.85546875" customWidth="1"/>
    <col min="4086" max="4086" width="10.7109375" customWidth="1"/>
    <col min="4087" max="4087" width="17.5703125" customWidth="1"/>
    <col min="4089" max="4089" width="10.28515625" customWidth="1"/>
    <col min="4090" max="4090" width="14.7109375" customWidth="1"/>
    <col min="4325" max="4325" width="35" customWidth="1"/>
    <col min="4326" max="4326" width="14.28515625" customWidth="1"/>
    <col min="4327" max="4327" width="13" customWidth="1"/>
    <col min="4328" max="4328" width="12.42578125" customWidth="1"/>
    <col min="4329" max="4329" width="16.5703125" customWidth="1"/>
    <col min="4334" max="4334" width="31.5703125" customWidth="1"/>
    <col min="4335" max="4335" width="14.28515625" customWidth="1"/>
    <col min="4336" max="4336" width="12.85546875" customWidth="1"/>
    <col min="4337" max="4337" width="12.42578125" customWidth="1"/>
    <col min="4338" max="4338" width="4.42578125" customWidth="1"/>
    <col min="4339" max="4339" width="18.28515625" customWidth="1"/>
    <col min="4340" max="4340" width="20.5703125" customWidth="1"/>
    <col min="4341" max="4341" width="14.85546875" customWidth="1"/>
    <col min="4342" max="4342" width="10.7109375" customWidth="1"/>
    <col min="4343" max="4343" width="17.5703125" customWidth="1"/>
    <col min="4345" max="4345" width="10.28515625" customWidth="1"/>
    <col min="4346" max="4346" width="14.7109375" customWidth="1"/>
    <col min="4581" max="4581" width="35" customWidth="1"/>
    <col min="4582" max="4582" width="14.28515625" customWidth="1"/>
    <col min="4583" max="4583" width="13" customWidth="1"/>
    <col min="4584" max="4584" width="12.42578125" customWidth="1"/>
    <col min="4585" max="4585" width="16.5703125" customWidth="1"/>
    <col min="4590" max="4590" width="31.5703125" customWidth="1"/>
    <col min="4591" max="4591" width="14.28515625" customWidth="1"/>
    <col min="4592" max="4592" width="12.85546875" customWidth="1"/>
    <col min="4593" max="4593" width="12.42578125" customWidth="1"/>
    <col min="4594" max="4594" width="4.42578125" customWidth="1"/>
    <col min="4595" max="4595" width="18.28515625" customWidth="1"/>
    <col min="4596" max="4596" width="20.5703125" customWidth="1"/>
    <col min="4597" max="4597" width="14.85546875" customWidth="1"/>
    <col min="4598" max="4598" width="10.7109375" customWidth="1"/>
    <col min="4599" max="4599" width="17.5703125" customWidth="1"/>
    <col min="4601" max="4601" width="10.28515625" customWidth="1"/>
    <col min="4602" max="4602" width="14.7109375" customWidth="1"/>
    <col min="4837" max="4837" width="35" customWidth="1"/>
    <col min="4838" max="4838" width="14.28515625" customWidth="1"/>
    <col min="4839" max="4839" width="13" customWidth="1"/>
    <col min="4840" max="4840" width="12.42578125" customWidth="1"/>
    <col min="4841" max="4841" width="16.5703125" customWidth="1"/>
    <col min="4846" max="4846" width="31.5703125" customWidth="1"/>
    <col min="4847" max="4847" width="14.28515625" customWidth="1"/>
    <col min="4848" max="4848" width="12.85546875" customWidth="1"/>
    <col min="4849" max="4849" width="12.42578125" customWidth="1"/>
    <col min="4850" max="4850" width="4.42578125" customWidth="1"/>
    <col min="4851" max="4851" width="18.28515625" customWidth="1"/>
    <col min="4852" max="4852" width="20.5703125" customWidth="1"/>
    <col min="4853" max="4853" width="14.85546875" customWidth="1"/>
    <col min="4854" max="4854" width="10.7109375" customWidth="1"/>
    <col min="4855" max="4855" width="17.5703125" customWidth="1"/>
    <col min="4857" max="4857" width="10.28515625" customWidth="1"/>
    <col min="4858" max="4858" width="14.7109375" customWidth="1"/>
    <col min="5093" max="5093" width="35" customWidth="1"/>
    <col min="5094" max="5094" width="14.28515625" customWidth="1"/>
    <col min="5095" max="5095" width="13" customWidth="1"/>
    <col min="5096" max="5096" width="12.42578125" customWidth="1"/>
    <col min="5097" max="5097" width="16.5703125" customWidth="1"/>
    <col min="5102" max="5102" width="31.5703125" customWidth="1"/>
    <col min="5103" max="5103" width="14.28515625" customWidth="1"/>
    <col min="5104" max="5104" width="12.85546875" customWidth="1"/>
    <col min="5105" max="5105" width="12.42578125" customWidth="1"/>
    <col min="5106" max="5106" width="4.42578125" customWidth="1"/>
    <col min="5107" max="5107" width="18.28515625" customWidth="1"/>
    <col min="5108" max="5108" width="20.5703125" customWidth="1"/>
    <col min="5109" max="5109" width="14.85546875" customWidth="1"/>
    <col min="5110" max="5110" width="10.7109375" customWidth="1"/>
    <col min="5111" max="5111" width="17.5703125" customWidth="1"/>
    <col min="5113" max="5113" width="10.28515625" customWidth="1"/>
    <col min="5114" max="5114" width="14.7109375" customWidth="1"/>
    <col min="5349" max="5349" width="35" customWidth="1"/>
    <col min="5350" max="5350" width="14.28515625" customWidth="1"/>
    <col min="5351" max="5351" width="13" customWidth="1"/>
    <col min="5352" max="5352" width="12.42578125" customWidth="1"/>
    <col min="5353" max="5353" width="16.5703125" customWidth="1"/>
    <col min="5358" max="5358" width="31.5703125" customWidth="1"/>
    <col min="5359" max="5359" width="14.28515625" customWidth="1"/>
    <col min="5360" max="5360" width="12.85546875" customWidth="1"/>
    <col min="5361" max="5361" width="12.42578125" customWidth="1"/>
    <col min="5362" max="5362" width="4.42578125" customWidth="1"/>
    <col min="5363" max="5363" width="18.28515625" customWidth="1"/>
    <col min="5364" max="5364" width="20.5703125" customWidth="1"/>
    <col min="5365" max="5365" width="14.85546875" customWidth="1"/>
    <col min="5366" max="5366" width="10.7109375" customWidth="1"/>
    <col min="5367" max="5367" width="17.5703125" customWidth="1"/>
    <col min="5369" max="5369" width="10.28515625" customWidth="1"/>
    <col min="5370" max="5370" width="14.7109375" customWidth="1"/>
    <col min="5605" max="5605" width="35" customWidth="1"/>
    <col min="5606" max="5606" width="14.28515625" customWidth="1"/>
    <col min="5607" max="5607" width="13" customWidth="1"/>
    <col min="5608" max="5608" width="12.42578125" customWidth="1"/>
    <col min="5609" max="5609" width="16.5703125" customWidth="1"/>
    <col min="5614" max="5614" width="31.5703125" customWidth="1"/>
    <col min="5615" max="5615" width="14.28515625" customWidth="1"/>
    <col min="5616" max="5616" width="12.85546875" customWidth="1"/>
    <col min="5617" max="5617" width="12.42578125" customWidth="1"/>
    <col min="5618" max="5618" width="4.42578125" customWidth="1"/>
    <col min="5619" max="5619" width="18.28515625" customWidth="1"/>
    <col min="5620" max="5620" width="20.5703125" customWidth="1"/>
    <col min="5621" max="5621" width="14.85546875" customWidth="1"/>
    <col min="5622" max="5622" width="10.7109375" customWidth="1"/>
    <col min="5623" max="5623" width="17.5703125" customWidth="1"/>
    <col min="5625" max="5625" width="10.28515625" customWidth="1"/>
    <col min="5626" max="5626" width="14.7109375" customWidth="1"/>
    <col min="5861" max="5861" width="35" customWidth="1"/>
    <col min="5862" max="5862" width="14.28515625" customWidth="1"/>
    <col min="5863" max="5863" width="13" customWidth="1"/>
    <col min="5864" max="5864" width="12.42578125" customWidth="1"/>
    <col min="5865" max="5865" width="16.5703125" customWidth="1"/>
    <col min="5870" max="5870" width="31.5703125" customWidth="1"/>
    <col min="5871" max="5871" width="14.28515625" customWidth="1"/>
    <col min="5872" max="5872" width="12.85546875" customWidth="1"/>
    <col min="5873" max="5873" width="12.42578125" customWidth="1"/>
    <col min="5874" max="5874" width="4.42578125" customWidth="1"/>
    <col min="5875" max="5875" width="18.28515625" customWidth="1"/>
    <col min="5876" max="5876" width="20.5703125" customWidth="1"/>
    <col min="5877" max="5877" width="14.85546875" customWidth="1"/>
    <col min="5878" max="5878" width="10.7109375" customWidth="1"/>
    <col min="5879" max="5879" width="17.5703125" customWidth="1"/>
    <col min="5881" max="5881" width="10.28515625" customWidth="1"/>
    <col min="5882" max="5882" width="14.7109375" customWidth="1"/>
    <col min="6117" max="6117" width="35" customWidth="1"/>
    <col min="6118" max="6118" width="14.28515625" customWidth="1"/>
    <col min="6119" max="6119" width="13" customWidth="1"/>
    <col min="6120" max="6120" width="12.42578125" customWidth="1"/>
    <col min="6121" max="6121" width="16.5703125" customWidth="1"/>
    <col min="6126" max="6126" width="31.5703125" customWidth="1"/>
    <col min="6127" max="6127" width="14.28515625" customWidth="1"/>
    <col min="6128" max="6128" width="12.85546875" customWidth="1"/>
    <col min="6129" max="6129" width="12.42578125" customWidth="1"/>
    <col min="6130" max="6130" width="4.42578125" customWidth="1"/>
    <col min="6131" max="6131" width="18.28515625" customWidth="1"/>
    <col min="6132" max="6132" width="20.5703125" customWidth="1"/>
    <col min="6133" max="6133" width="14.85546875" customWidth="1"/>
    <col min="6134" max="6134" width="10.7109375" customWidth="1"/>
    <col min="6135" max="6135" width="17.5703125" customWidth="1"/>
    <col min="6137" max="6137" width="10.28515625" customWidth="1"/>
    <col min="6138" max="6138" width="14.7109375" customWidth="1"/>
    <col min="6373" max="6373" width="35" customWidth="1"/>
    <col min="6374" max="6374" width="14.28515625" customWidth="1"/>
    <col min="6375" max="6375" width="13" customWidth="1"/>
    <col min="6376" max="6376" width="12.42578125" customWidth="1"/>
    <col min="6377" max="6377" width="16.5703125" customWidth="1"/>
    <col min="6382" max="6382" width="31.5703125" customWidth="1"/>
    <col min="6383" max="6383" width="14.28515625" customWidth="1"/>
    <col min="6384" max="6384" width="12.85546875" customWidth="1"/>
    <col min="6385" max="6385" width="12.42578125" customWidth="1"/>
    <col min="6386" max="6386" width="4.42578125" customWidth="1"/>
    <col min="6387" max="6387" width="18.28515625" customWidth="1"/>
    <col min="6388" max="6388" width="20.5703125" customWidth="1"/>
    <col min="6389" max="6389" width="14.85546875" customWidth="1"/>
    <col min="6390" max="6390" width="10.7109375" customWidth="1"/>
    <col min="6391" max="6391" width="17.5703125" customWidth="1"/>
    <col min="6393" max="6393" width="10.28515625" customWidth="1"/>
    <col min="6394" max="6394" width="14.7109375" customWidth="1"/>
    <col min="6629" max="6629" width="35" customWidth="1"/>
    <col min="6630" max="6630" width="14.28515625" customWidth="1"/>
    <col min="6631" max="6631" width="13" customWidth="1"/>
    <col min="6632" max="6632" width="12.42578125" customWidth="1"/>
    <col min="6633" max="6633" width="16.5703125" customWidth="1"/>
    <col min="6638" max="6638" width="31.5703125" customWidth="1"/>
    <col min="6639" max="6639" width="14.28515625" customWidth="1"/>
    <col min="6640" max="6640" width="12.85546875" customWidth="1"/>
    <col min="6641" max="6641" width="12.42578125" customWidth="1"/>
    <col min="6642" max="6642" width="4.42578125" customWidth="1"/>
    <col min="6643" max="6643" width="18.28515625" customWidth="1"/>
    <col min="6644" max="6644" width="20.5703125" customWidth="1"/>
    <col min="6645" max="6645" width="14.85546875" customWidth="1"/>
    <col min="6646" max="6646" width="10.7109375" customWidth="1"/>
    <col min="6647" max="6647" width="17.5703125" customWidth="1"/>
    <col min="6649" max="6649" width="10.28515625" customWidth="1"/>
    <col min="6650" max="6650" width="14.7109375" customWidth="1"/>
    <col min="6885" max="6885" width="35" customWidth="1"/>
    <col min="6886" max="6886" width="14.28515625" customWidth="1"/>
    <col min="6887" max="6887" width="13" customWidth="1"/>
    <col min="6888" max="6888" width="12.42578125" customWidth="1"/>
    <col min="6889" max="6889" width="16.5703125" customWidth="1"/>
    <col min="6894" max="6894" width="31.5703125" customWidth="1"/>
    <col min="6895" max="6895" width="14.28515625" customWidth="1"/>
    <col min="6896" max="6896" width="12.85546875" customWidth="1"/>
    <col min="6897" max="6897" width="12.42578125" customWidth="1"/>
    <col min="6898" max="6898" width="4.42578125" customWidth="1"/>
    <col min="6899" max="6899" width="18.28515625" customWidth="1"/>
    <col min="6900" max="6900" width="20.5703125" customWidth="1"/>
    <col min="6901" max="6901" width="14.85546875" customWidth="1"/>
    <col min="6902" max="6902" width="10.7109375" customWidth="1"/>
    <col min="6903" max="6903" width="17.5703125" customWidth="1"/>
    <col min="6905" max="6905" width="10.28515625" customWidth="1"/>
    <col min="6906" max="6906" width="14.7109375" customWidth="1"/>
    <col min="7141" max="7141" width="35" customWidth="1"/>
    <col min="7142" max="7142" width="14.28515625" customWidth="1"/>
    <col min="7143" max="7143" width="13" customWidth="1"/>
    <col min="7144" max="7144" width="12.42578125" customWidth="1"/>
    <col min="7145" max="7145" width="16.5703125" customWidth="1"/>
    <col min="7150" max="7150" width="31.5703125" customWidth="1"/>
    <col min="7151" max="7151" width="14.28515625" customWidth="1"/>
    <col min="7152" max="7152" width="12.85546875" customWidth="1"/>
    <col min="7153" max="7153" width="12.42578125" customWidth="1"/>
    <col min="7154" max="7154" width="4.42578125" customWidth="1"/>
    <col min="7155" max="7155" width="18.28515625" customWidth="1"/>
    <col min="7156" max="7156" width="20.5703125" customWidth="1"/>
    <col min="7157" max="7157" width="14.85546875" customWidth="1"/>
    <col min="7158" max="7158" width="10.7109375" customWidth="1"/>
    <col min="7159" max="7159" width="17.5703125" customWidth="1"/>
    <col min="7161" max="7161" width="10.28515625" customWidth="1"/>
    <col min="7162" max="7162" width="14.7109375" customWidth="1"/>
    <col min="7397" max="7397" width="35" customWidth="1"/>
    <col min="7398" max="7398" width="14.28515625" customWidth="1"/>
    <col min="7399" max="7399" width="13" customWidth="1"/>
    <col min="7400" max="7400" width="12.42578125" customWidth="1"/>
    <col min="7401" max="7401" width="16.5703125" customWidth="1"/>
    <col min="7406" max="7406" width="31.5703125" customWidth="1"/>
    <col min="7407" max="7407" width="14.28515625" customWidth="1"/>
    <col min="7408" max="7408" width="12.85546875" customWidth="1"/>
    <col min="7409" max="7409" width="12.42578125" customWidth="1"/>
    <col min="7410" max="7410" width="4.42578125" customWidth="1"/>
    <col min="7411" max="7411" width="18.28515625" customWidth="1"/>
    <col min="7412" max="7412" width="20.5703125" customWidth="1"/>
    <col min="7413" max="7413" width="14.85546875" customWidth="1"/>
    <col min="7414" max="7414" width="10.7109375" customWidth="1"/>
    <col min="7415" max="7415" width="17.5703125" customWidth="1"/>
    <col min="7417" max="7417" width="10.28515625" customWidth="1"/>
    <col min="7418" max="7418" width="14.7109375" customWidth="1"/>
    <col min="7653" max="7653" width="35" customWidth="1"/>
    <col min="7654" max="7654" width="14.28515625" customWidth="1"/>
    <col min="7655" max="7655" width="13" customWidth="1"/>
    <col min="7656" max="7656" width="12.42578125" customWidth="1"/>
    <col min="7657" max="7657" width="16.5703125" customWidth="1"/>
    <col min="7662" max="7662" width="31.5703125" customWidth="1"/>
    <col min="7663" max="7663" width="14.28515625" customWidth="1"/>
    <col min="7664" max="7664" width="12.85546875" customWidth="1"/>
    <col min="7665" max="7665" width="12.42578125" customWidth="1"/>
    <col min="7666" max="7666" width="4.42578125" customWidth="1"/>
    <col min="7667" max="7667" width="18.28515625" customWidth="1"/>
    <col min="7668" max="7668" width="20.5703125" customWidth="1"/>
    <col min="7669" max="7669" width="14.85546875" customWidth="1"/>
    <col min="7670" max="7670" width="10.7109375" customWidth="1"/>
    <col min="7671" max="7671" width="17.5703125" customWidth="1"/>
    <col min="7673" max="7673" width="10.28515625" customWidth="1"/>
    <col min="7674" max="7674" width="14.7109375" customWidth="1"/>
    <col min="7909" max="7909" width="35" customWidth="1"/>
    <col min="7910" max="7910" width="14.28515625" customWidth="1"/>
    <col min="7911" max="7911" width="13" customWidth="1"/>
    <col min="7912" max="7912" width="12.42578125" customWidth="1"/>
    <col min="7913" max="7913" width="16.5703125" customWidth="1"/>
    <col min="7918" max="7918" width="31.5703125" customWidth="1"/>
    <col min="7919" max="7919" width="14.28515625" customWidth="1"/>
    <col min="7920" max="7920" width="12.85546875" customWidth="1"/>
    <col min="7921" max="7921" width="12.42578125" customWidth="1"/>
    <col min="7922" max="7922" width="4.42578125" customWidth="1"/>
    <col min="7923" max="7923" width="18.28515625" customWidth="1"/>
    <col min="7924" max="7924" width="20.5703125" customWidth="1"/>
    <col min="7925" max="7925" width="14.85546875" customWidth="1"/>
    <col min="7926" max="7926" width="10.7109375" customWidth="1"/>
    <col min="7927" max="7927" width="17.5703125" customWidth="1"/>
    <col min="7929" max="7929" width="10.28515625" customWidth="1"/>
    <col min="7930" max="7930" width="14.7109375" customWidth="1"/>
    <col min="8165" max="8165" width="35" customWidth="1"/>
    <col min="8166" max="8166" width="14.28515625" customWidth="1"/>
    <col min="8167" max="8167" width="13" customWidth="1"/>
    <col min="8168" max="8168" width="12.42578125" customWidth="1"/>
    <col min="8169" max="8169" width="16.5703125" customWidth="1"/>
    <col min="8174" max="8174" width="31.5703125" customWidth="1"/>
    <col min="8175" max="8175" width="14.28515625" customWidth="1"/>
    <col min="8176" max="8176" width="12.85546875" customWidth="1"/>
    <col min="8177" max="8177" width="12.42578125" customWidth="1"/>
    <col min="8178" max="8178" width="4.42578125" customWidth="1"/>
    <col min="8179" max="8179" width="18.28515625" customWidth="1"/>
    <col min="8180" max="8180" width="20.5703125" customWidth="1"/>
    <col min="8181" max="8181" width="14.85546875" customWidth="1"/>
    <col min="8182" max="8182" width="10.7109375" customWidth="1"/>
    <col min="8183" max="8183" width="17.5703125" customWidth="1"/>
    <col min="8185" max="8185" width="10.28515625" customWidth="1"/>
    <col min="8186" max="8186" width="14.7109375" customWidth="1"/>
    <col min="8421" max="8421" width="35" customWidth="1"/>
    <col min="8422" max="8422" width="14.28515625" customWidth="1"/>
    <col min="8423" max="8423" width="13" customWidth="1"/>
    <col min="8424" max="8424" width="12.42578125" customWidth="1"/>
    <col min="8425" max="8425" width="16.5703125" customWidth="1"/>
    <col min="8430" max="8430" width="31.5703125" customWidth="1"/>
    <col min="8431" max="8431" width="14.28515625" customWidth="1"/>
    <col min="8432" max="8432" width="12.85546875" customWidth="1"/>
    <col min="8433" max="8433" width="12.42578125" customWidth="1"/>
    <col min="8434" max="8434" width="4.42578125" customWidth="1"/>
    <col min="8435" max="8435" width="18.28515625" customWidth="1"/>
    <col min="8436" max="8436" width="20.5703125" customWidth="1"/>
    <col min="8437" max="8437" width="14.85546875" customWidth="1"/>
    <col min="8438" max="8438" width="10.7109375" customWidth="1"/>
    <col min="8439" max="8439" width="17.5703125" customWidth="1"/>
    <col min="8441" max="8441" width="10.28515625" customWidth="1"/>
    <col min="8442" max="8442" width="14.7109375" customWidth="1"/>
    <col min="8677" max="8677" width="35" customWidth="1"/>
    <col min="8678" max="8678" width="14.28515625" customWidth="1"/>
    <col min="8679" max="8679" width="13" customWidth="1"/>
    <col min="8680" max="8680" width="12.42578125" customWidth="1"/>
    <col min="8681" max="8681" width="16.5703125" customWidth="1"/>
    <col min="8686" max="8686" width="31.5703125" customWidth="1"/>
    <col min="8687" max="8687" width="14.28515625" customWidth="1"/>
    <col min="8688" max="8688" width="12.85546875" customWidth="1"/>
    <col min="8689" max="8689" width="12.42578125" customWidth="1"/>
    <col min="8690" max="8690" width="4.42578125" customWidth="1"/>
    <col min="8691" max="8691" width="18.28515625" customWidth="1"/>
    <col min="8692" max="8692" width="20.5703125" customWidth="1"/>
    <col min="8693" max="8693" width="14.85546875" customWidth="1"/>
    <col min="8694" max="8694" width="10.7109375" customWidth="1"/>
    <col min="8695" max="8695" width="17.5703125" customWidth="1"/>
    <col min="8697" max="8697" width="10.28515625" customWidth="1"/>
    <col min="8698" max="8698" width="14.7109375" customWidth="1"/>
    <col min="8933" max="8933" width="35" customWidth="1"/>
    <col min="8934" max="8934" width="14.28515625" customWidth="1"/>
    <col min="8935" max="8935" width="13" customWidth="1"/>
    <col min="8936" max="8936" width="12.42578125" customWidth="1"/>
    <col min="8937" max="8937" width="16.5703125" customWidth="1"/>
    <col min="8942" max="8942" width="31.5703125" customWidth="1"/>
    <col min="8943" max="8943" width="14.28515625" customWidth="1"/>
    <col min="8944" max="8944" width="12.85546875" customWidth="1"/>
    <col min="8945" max="8945" width="12.42578125" customWidth="1"/>
    <col min="8946" max="8946" width="4.42578125" customWidth="1"/>
    <col min="8947" max="8947" width="18.28515625" customWidth="1"/>
    <col min="8948" max="8948" width="20.5703125" customWidth="1"/>
    <col min="8949" max="8949" width="14.85546875" customWidth="1"/>
    <col min="8950" max="8950" width="10.7109375" customWidth="1"/>
    <col min="8951" max="8951" width="17.5703125" customWidth="1"/>
    <col min="8953" max="8953" width="10.28515625" customWidth="1"/>
    <col min="8954" max="8954" width="14.7109375" customWidth="1"/>
    <col min="9189" max="9189" width="35" customWidth="1"/>
    <col min="9190" max="9190" width="14.28515625" customWidth="1"/>
    <col min="9191" max="9191" width="13" customWidth="1"/>
    <col min="9192" max="9192" width="12.42578125" customWidth="1"/>
    <col min="9193" max="9193" width="16.5703125" customWidth="1"/>
    <col min="9198" max="9198" width="31.5703125" customWidth="1"/>
    <col min="9199" max="9199" width="14.28515625" customWidth="1"/>
    <col min="9200" max="9200" width="12.85546875" customWidth="1"/>
    <col min="9201" max="9201" width="12.42578125" customWidth="1"/>
    <col min="9202" max="9202" width="4.42578125" customWidth="1"/>
    <col min="9203" max="9203" width="18.28515625" customWidth="1"/>
    <col min="9204" max="9204" width="20.5703125" customWidth="1"/>
    <col min="9205" max="9205" width="14.85546875" customWidth="1"/>
    <col min="9206" max="9206" width="10.7109375" customWidth="1"/>
    <col min="9207" max="9207" width="17.5703125" customWidth="1"/>
    <col min="9209" max="9209" width="10.28515625" customWidth="1"/>
    <col min="9210" max="9210" width="14.7109375" customWidth="1"/>
    <col min="9445" max="9445" width="35" customWidth="1"/>
    <col min="9446" max="9446" width="14.28515625" customWidth="1"/>
    <col min="9447" max="9447" width="13" customWidth="1"/>
    <col min="9448" max="9448" width="12.42578125" customWidth="1"/>
    <col min="9449" max="9449" width="16.5703125" customWidth="1"/>
    <col min="9454" max="9454" width="31.5703125" customWidth="1"/>
    <col min="9455" max="9455" width="14.28515625" customWidth="1"/>
    <col min="9456" max="9456" width="12.85546875" customWidth="1"/>
    <col min="9457" max="9457" width="12.42578125" customWidth="1"/>
    <col min="9458" max="9458" width="4.42578125" customWidth="1"/>
    <col min="9459" max="9459" width="18.28515625" customWidth="1"/>
    <col min="9460" max="9460" width="20.5703125" customWidth="1"/>
    <col min="9461" max="9461" width="14.85546875" customWidth="1"/>
    <col min="9462" max="9462" width="10.7109375" customWidth="1"/>
    <col min="9463" max="9463" width="17.5703125" customWidth="1"/>
    <col min="9465" max="9465" width="10.28515625" customWidth="1"/>
    <col min="9466" max="9466" width="14.7109375" customWidth="1"/>
    <col min="9701" max="9701" width="35" customWidth="1"/>
    <col min="9702" max="9702" width="14.28515625" customWidth="1"/>
    <col min="9703" max="9703" width="13" customWidth="1"/>
    <col min="9704" max="9704" width="12.42578125" customWidth="1"/>
    <col min="9705" max="9705" width="16.5703125" customWidth="1"/>
    <col min="9710" max="9710" width="31.5703125" customWidth="1"/>
    <col min="9711" max="9711" width="14.28515625" customWidth="1"/>
    <col min="9712" max="9712" width="12.85546875" customWidth="1"/>
    <col min="9713" max="9713" width="12.42578125" customWidth="1"/>
    <col min="9714" max="9714" width="4.42578125" customWidth="1"/>
    <col min="9715" max="9715" width="18.28515625" customWidth="1"/>
    <col min="9716" max="9716" width="20.5703125" customWidth="1"/>
    <col min="9717" max="9717" width="14.85546875" customWidth="1"/>
    <col min="9718" max="9718" width="10.7109375" customWidth="1"/>
    <col min="9719" max="9719" width="17.5703125" customWidth="1"/>
    <col min="9721" max="9721" width="10.28515625" customWidth="1"/>
    <col min="9722" max="9722" width="14.7109375" customWidth="1"/>
    <col min="9957" max="9957" width="35" customWidth="1"/>
    <col min="9958" max="9958" width="14.28515625" customWidth="1"/>
    <col min="9959" max="9959" width="13" customWidth="1"/>
    <col min="9960" max="9960" width="12.42578125" customWidth="1"/>
    <col min="9961" max="9961" width="16.5703125" customWidth="1"/>
    <col min="9966" max="9966" width="31.5703125" customWidth="1"/>
    <col min="9967" max="9967" width="14.28515625" customWidth="1"/>
    <col min="9968" max="9968" width="12.85546875" customWidth="1"/>
    <col min="9969" max="9969" width="12.42578125" customWidth="1"/>
    <col min="9970" max="9970" width="4.42578125" customWidth="1"/>
    <col min="9971" max="9971" width="18.28515625" customWidth="1"/>
    <col min="9972" max="9972" width="20.5703125" customWidth="1"/>
    <col min="9973" max="9973" width="14.85546875" customWidth="1"/>
    <col min="9974" max="9974" width="10.7109375" customWidth="1"/>
    <col min="9975" max="9975" width="17.5703125" customWidth="1"/>
    <col min="9977" max="9977" width="10.28515625" customWidth="1"/>
    <col min="9978" max="9978" width="14.7109375" customWidth="1"/>
    <col min="10213" max="10213" width="35" customWidth="1"/>
    <col min="10214" max="10214" width="14.28515625" customWidth="1"/>
    <col min="10215" max="10215" width="13" customWidth="1"/>
    <col min="10216" max="10216" width="12.42578125" customWidth="1"/>
    <col min="10217" max="10217" width="16.5703125" customWidth="1"/>
    <col min="10222" max="10222" width="31.5703125" customWidth="1"/>
    <col min="10223" max="10223" width="14.28515625" customWidth="1"/>
    <col min="10224" max="10224" width="12.85546875" customWidth="1"/>
    <col min="10225" max="10225" width="12.42578125" customWidth="1"/>
    <col min="10226" max="10226" width="4.42578125" customWidth="1"/>
    <col min="10227" max="10227" width="18.28515625" customWidth="1"/>
    <col min="10228" max="10228" width="20.5703125" customWidth="1"/>
    <col min="10229" max="10229" width="14.85546875" customWidth="1"/>
    <col min="10230" max="10230" width="10.7109375" customWidth="1"/>
    <col min="10231" max="10231" width="17.5703125" customWidth="1"/>
    <col min="10233" max="10233" width="10.28515625" customWidth="1"/>
    <col min="10234" max="10234" width="14.7109375" customWidth="1"/>
    <col min="10469" max="10469" width="35" customWidth="1"/>
    <col min="10470" max="10470" width="14.28515625" customWidth="1"/>
    <col min="10471" max="10471" width="13" customWidth="1"/>
    <col min="10472" max="10472" width="12.42578125" customWidth="1"/>
    <col min="10473" max="10473" width="16.5703125" customWidth="1"/>
    <col min="10478" max="10478" width="31.5703125" customWidth="1"/>
    <col min="10479" max="10479" width="14.28515625" customWidth="1"/>
    <col min="10480" max="10480" width="12.85546875" customWidth="1"/>
    <col min="10481" max="10481" width="12.42578125" customWidth="1"/>
    <col min="10482" max="10482" width="4.42578125" customWidth="1"/>
    <col min="10483" max="10483" width="18.28515625" customWidth="1"/>
    <col min="10484" max="10484" width="20.5703125" customWidth="1"/>
    <col min="10485" max="10485" width="14.85546875" customWidth="1"/>
    <col min="10486" max="10486" width="10.7109375" customWidth="1"/>
    <col min="10487" max="10487" width="17.5703125" customWidth="1"/>
    <col min="10489" max="10489" width="10.28515625" customWidth="1"/>
    <col min="10490" max="10490" width="14.7109375" customWidth="1"/>
    <col min="10725" max="10725" width="35" customWidth="1"/>
    <col min="10726" max="10726" width="14.28515625" customWidth="1"/>
    <col min="10727" max="10727" width="13" customWidth="1"/>
    <col min="10728" max="10728" width="12.42578125" customWidth="1"/>
    <col min="10729" max="10729" width="16.5703125" customWidth="1"/>
    <col min="10734" max="10734" width="31.5703125" customWidth="1"/>
    <col min="10735" max="10735" width="14.28515625" customWidth="1"/>
    <col min="10736" max="10736" width="12.85546875" customWidth="1"/>
    <col min="10737" max="10737" width="12.42578125" customWidth="1"/>
    <col min="10738" max="10738" width="4.42578125" customWidth="1"/>
    <col min="10739" max="10739" width="18.28515625" customWidth="1"/>
    <col min="10740" max="10740" width="20.5703125" customWidth="1"/>
    <col min="10741" max="10741" width="14.85546875" customWidth="1"/>
    <col min="10742" max="10742" width="10.7109375" customWidth="1"/>
    <col min="10743" max="10743" width="17.5703125" customWidth="1"/>
    <col min="10745" max="10745" width="10.28515625" customWidth="1"/>
    <col min="10746" max="10746" width="14.7109375" customWidth="1"/>
    <col min="10981" max="10981" width="35" customWidth="1"/>
    <col min="10982" max="10982" width="14.28515625" customWidth="1"/>
    <col min="10983" max="10983" width="13" customWidth="1"/>
    <col min="10984" max="10984" width="12.42578125" customWidth="1"/>
    <col min="10985" max="10985" width="16.5703125" customWidth="1"/>
    <col min="10990" max="10990" width="31.5703125" customWidth="1"/>
    <col min="10991" max="10991" width="14.28515625" customWidth="1"/>
    <col min="10992" max="10992" width="12.85546875" customWidth="1"/>
    <col min="10993" max="10993" width="12.42578125" customWidth="1"/>
    <col min="10994" max="10994" width="4.42578125" customWidth="1"/>
    <col min="10995" max="10995" width="18.28515625" customWidth="1"/>
    <col min="10996" max="10996" width="20.5703125" customWidth="1"/>
    <col min="10997" max="10997" width="14.85546875" customWidth="1"/>
    <col min="10998" max="10998" width="10.7109375" customWidth="1"/>
    <col min="10999" max="10999" width="17.5703125" customWidth="1"/>
    <col min="11001" max="11001" width="10.28515625" customWidth="1"/>
    <col min="11002" max="11002" width="14.7109375" customWidth="1"/>
    <col min="11237" max="11237" width="35" customWidth="1"/>
    <col min="11238" max="11238" width="14.28515625" customWidth="1"/>
    <col min="11239" max="11239" width="13" customWidth="1"/>
    <col min="11240" max="11240" width="12.42578125" customWidth="1"/>
    <col min="11241" max="11241" width="16.5703125" customWidth="1"/>
    <col min="11246" max="11246" width="31.5703125" customWidth="1"/>
    <col min="11247" max="11247" width="14.28515625" customWidth="1"/>
    <col min="11248" max="11248" width="12.85546875" customWidth="1"/>
    <col min="11249" max="11249" width="12.42578125" customWidth="1"/>
    <col min="11250" max="11250" width="4.42578125" customWidth="1"/>
    <col min="11251" max="11251" width="18.28515625" customWidth="1"/>
    <col min="11252" max="11252" width="20.5703125" customWidth="1"/>
    <col min="11253" max="11253" width="14.85546875" customWidth="1"/>
    <col min="11254" max="11254" width="10.7109375" customWidth="1"/>
    <col min="11255" max="11255" width="17.5703125" customWidth="1"/>
    <col min="11257" max="11257" width="10.28515625" customWidth="1"/>
    <col min="11258" max="11258" width="14.7109375" customWidth="1"/>
    <col min="11493" max="11493" width="35" customWidth="1"/>
    <col min="11494" max="11494" width="14.28515625" customWidth="1"/>
    <col min="11495" max="11495" width="13" customWidth="1"/>
    <col min="11496" max="11496" width="12.42578125" customWidth="1"/>
    <col min="11497" max="11497" width="16.5703125" customWidth="1"/>
    <col min="11502" max="11502" width="31.5703125" customWidth="1"/>
    <col min="11503" max="11503" width="14.28515625" customWidth="1"/>
    <col min="11504" max="11504" width="12.85546875" customWidth="1"/>
    <col min="11505" max="11505" width="12.42578125" customWidth="1"/>
    <col min="11506" max="11506" width="4.42578125" customWidth="1"/>
    <col min="11507" max="11507" width="18.28515625" customWidth="1"/>
    <col min="11508" max="11508" width="20.5703125" customWidth="1"/>
    <col min="11509" max="11509" width="14.85546875" customWidth="1"/>
    <col min="11510" max="11510" width="10.7109375" customWidth="1"/>
    <col min="11511" max="11511" width="17.5703125" customWidth="1"/>
    <col min="11513" max="11513" width="10.28515625" customWidth="1"/>
    <col min="11514" max="11514" width="14.7109375" customWidth="1"/>
    <col min="11749" max="11749" width="35" customWidth="1"/>
    <col min="11750" max="11750" width="14.28515625" customWidth="1"/>
    <col min="11751" max="11751" width="13" customWidth="1"/>
    <col min="11752" max="11752" width="12.42578125" customWidth="1"/>
    <col min="11753" max="11753" width="16.5703125" customWidth="1"/>
    <col min="11758" max="11758" width="31.5703125" customWidth="1"/>
    <col min="11759" max="11759" width="14.28515625" customWidth="1"/>
    <col min="11760" max="11760" width="12.85546875" customWidth="1"/>
    <col min="11761" max="11761" width="12.42578125" customWidth="1"/>
    <col min="11762" max="11762" width="4.42578125" customWidth="1"/>
    <col min="11763" max="11763" width="18.28515625" customWidth="1"/>
    <col min="11764" max="11764" width="20.5703125" customWidth="1"/>
    <col min="11765" max="11765" width="14.85546875" customWidth="1"/>
    <col min="11766" max="11766" width="10.7109375" customWidth="1"/>
    <col min="11767" max="11767" width="17.5703125" customWidth="1"/>
    <col min="11769" max="11769" width="10.28515625" customWidth="1"/>
    <col min="11770" max="11770" width="14.7109375" customWidth="1"/>
    <col min="12005" max="12005" width="35" customWidth="1"/>
    <col min="12006" max="12006" width="14.28515625" customWidth="1"/>
    <col min="12007" max="12007" width="13" customWidth="1"/>
    <col min="12008" max="12008" width="12.42578125" customWidth="1"/>
    <col min="12009" max="12009" width="16.5703125" customWidth="1"/>
    <col min="12014" max="12014" width="31.5703125" customWidth="1"/>
    <col min="12015" max="12015" width="14.28515625" customWidth="1"/>
    <col min="12016" max="12016" width="12.85546875" customWidth="1"/>
    <col min="12017" max="12017" width="12.42578125" customWidth="1"/>
    <col min="12018" max="12018" width="4.42578125" customWidth="1"/>
    <col min="12019" max="12019" width="18.28515625" customWidth="1"/>
    <col min="12020" max="12020" width="20.5703125" customWidth="1"/>
    <col min="12021" max="12021" width="14.85546875" customWidth="1"/>
    <col min="12022" max="12022" width="10.7109375" customWidth="1"/>
    <col min="12023" max="12023" width="17.5703125" customWidth="1"/>
    <col min="12025" max="12025" width="10.28515625" customWidth="1"/>
    <col min="12026" max="12026" width="14.7109375" customWidth="1"/>
    <col min="12261" max="12261" width="35" customWidth="1"/>
    <col min="12262" max="12262" width="14.28515625" customWidth="1"/>
    <col min="12263" max="12263" width="13" customWidth="1"/>
    <col min="12264" max="12264" width="12.42578125" customWidth="1"/>
    <col min="12265" max="12265" width="16.5703125" customWidth="1"/>
    <col min="12270" max="12270" width="31.5703125" customWidth="1"/>
    <col min="12271" max="12271" width="14.28515625" customWidth="1"/>
    <col min="12272" max="12272" width="12.85546875" customWidth="1"/>
    <col min="12273" max="12273" width="12.42578125" customWidth="1"/>
    <col min="12274" max="12274" width="4.42578125" customWidth="1"/>
    <col min="12275" max="12275" width="18.28515625" customWidth="1"/>
    <col min="12276" max="12276" width="20.5703125" customWidth="1"/>
    <col min="12277" max="12277" width="14.85546875" customWidth="1"/>
    <col min="12278" max="12278" width="10.7109375" customWidth="1"/>
    <col min="12279" max="12279" width="17.5703125" customWidth="1"/>
    <col min="12281" max="12281" width="10.28515625" customWidth="1"/>
    <col min="12282" max="12282" width="14.7109375" customWidth="1"/>
    <col min="12517" max="12517" width="35" customWidth="1"/>
    <col min="12518" max="12518" width="14.28515625" customWidth="1"/>
    <col min="12519" max="12519" width="13" customWidth="1"/>
    <col min="12520" max="12520" width="12.42578125" customWidth="1"/>
    <col min="12521" max="12521" width="16.5703125" customWidth="1"/>
    <col min="12526" max="12526" width="31.5703125" customWidth="1"/>
    <col min="12527" max="12527" width="14.28515625" customWidth="1"/>
    <col min="12528" max="12528" width="12.85546875" customWidth="1"/>
    <col min="12529" max="12529" width="12.42578125" customWidth="1"/>
    <col min="12530" max="12530" width="4.42578125" customWidth="1"/>
    <col min="12531" max="12531" width="18.28515625" customWidth="1"/>
    <col min="12532" max="12532" width="20.5703125" customWidth="1"/>
    <col min="12533" max="12533" width="14.85546875" customWidth="1"/>
    <col min="12534" max="12534" width="10.7109375" customWidth="1"/>
    <col min="12535" max="12535" width="17.5703125" customWidth="1"/>
    <col min="12537" max="12537" width="10.28515625" customWidth="1"/>
    <col min="12538" max="12538" width="14.7109375" customWidth="1"/>
    <col min="12773" max="12773" width="35" customWidth="1"/>
    <col min="12774" max="12774" width="14.28515625" customWidth="1"/>
    <col min="12775" max="12775" width="13" customWidth="1"/>
    <col min="12776" max="12776" width="12.42578125" customWidth="1"/>
    <col min="12777" max="12777" width="16.5703125" customWidth="1"/>
    <col min="12782" max="12782" width="31.5703125" customWidth="1"/>
    <col min="12783" max="12783" width="14.28515625" customWidth="1"/>
    <col min="12784" max="12784" width="12.85546875" customWidth="1"/>
    <col min="12785" max="12785" width="12.42578125" customWidth="1"/>
    <col min="12786" max="12786" width="4.42578125" customWidth="1"/>
    <col min="12787" max="12787" width="18.28515625" customWidth="1"/>
    <col min="12788" max="12788" width="20.5703125" customWidth="1"/>
    <col min="12789" max="12789" width="14.85546875" customWidth="1"/>
    <col min="12790" max="12790" width="10.7109375" customWidth="1"/>
    <col min="12791" max="12791" width="17.5703125" customWidth="1"/>
    <col min="12793" max="12793" width="10.28515625" customWidth="1"/>
    <col min="12794" max="12794" width="14.7109375" customWidth="1"/>
    <col min="13029" max="13029" width="35" customWidth="1"/>
    <col min="13030" max="13030" width="14.28515625" customWidth="1"/>
    <col min="13031" max="13031" width="13" customWidth="1"/>
    <col min="13032" max="13032" width="12.42578125" customWidth="1"/>
    <col min="13033" max="13033" width="16.5703125" customWidth="1"/>
    <col min="13038" max="13038" width="31.5703125" customWidth="1"/>
    <col min="13039" max="13039" width="14.28515625" customWidth="1"/>
    <col min="13040" max="13040" width="12.85546875" customWidth="1"/>
    <col min="13041" max="13041" width="12.42578125" customWidth="1"/>
    <col min="13042" max="13042" width="4.42578125" customWidth="1"/>
    <col min="13043" max="13043" width="18.28515625" customWidth="1"/>
    <col min="13044" max="13044" width="20.5703125" customWidth="1"/>
    <col min="13045" max="13045" width="14.85546875" customWidth="1"/>
    <col min="13046" max="13046" width="10.7109375" customWidth="1"/>
    <col min="13047" max="13047" width="17.5703125" customWidth="1"/>
    <col min="13049" max="13049" width="10.28515625" customWidth="1"/>
    <col min="13050" max="13050" width="14.7109375" customWidth="1"/>
    <col min="13285" max="13285" width="35" customWidth="1"/>
    <col min="13286" max="13286" width="14.28515625" customWidth="1"/>
    <col min="13287" max="13287" width="13" customWidth="1"/>
    <col min="13288" max="13288" width="12.42578125" customWidth="1"/>
    <col min="13289" max="13289" width="16.5703125" customWidth="1"/>
    <col min="13294" max="13294" width="31.5703125" customWidth="1"/>
    <col min="13295" max="13295" width="14.28515625" customWidth="1"/>
    <col min="13296" max="13296" width="12.85546875" customWidth="1"/>
    <col min="13297" max="13297" width="12.42578125" customWidth="1"/>
    <col min="13298" max="13298" width="4.42578125" customWidth="1"/>
    <col min="13299" max="13299" width="18.28515625" customWidth="1"/>
    <col min="13300" max="13300" width="20.5703125" customWidth="1"/>
    <col min="13301" max="13301" width="14.85546875" customWidth="1"/>
    <col min="13302" max="13302" width="10.7109375" customWidth="1"/>
    <col min="13303" max="13303" width="17.5703125" customWidth="1"/>
    <col min="13305" max="13305" width="10.28515625" customWidth="1"/>
    <col min="13306" max="13306" width="14.7109375" customWidth="1"/>
    <col min="13541" max="13541" width="35" customWidth="1"/>
    <col min="13542" max="13542" width="14.28515625" customWidth="1"/>
    <col min="13543" max="13543" width="13" customWidth="1"/>
    <col min="13544" max="13544" width="12.42578125" customWidth="1"/>
    <col min="13545" max="13545" width="16.5703125" customWidth="1"/>
    <col min="13550" max="13550" width="31.5703125" customWidth="1"/>
    <col min="13551" max="13551" width="14.28515625" customWidth="1"/>
    <col min="13552" max="13552" width="12.85546875" customWidth="1"/>
    <col min="13553" max="13553" width="12.42578125" customWidth="1"/>
    <col min="13554" max="13554" width="4.42578125" customWidth="1"/>
    <col min="13555" max="13555" width="18.28515625" customWidth="1"/>
    <col min="13556" max="13556" width="20.5703125" customWidth="1"/>
    <col min="13557" max="13557" width="14.85546875" customWidth="1"/>
    <col min="13558" max="13558" width="10.7109375" customWidth="1"/>
    <col min="13559" max="13559" width="17.5703125" customWidth="1"/>
    <col min="13561" max="13561" width="10.28515625" customWidth="1"/>
    <col min="13562" max="13562" width="14.7109375" customWidth="1"/>
    <col min="13797" max="13797" width="35" customWidth="1"/>
    <col min="13798" max="13798" width="14.28515625" customWidth="1"/>
    <col min="13799" max="13799" width="13" customWidth="1"/>
    <col min="13800" max="13800" width="12.42578125" customWidth="1"/>
    <col min="13801" max="13801" width="16.5703125" customWidth="1"/>
    <col min="13806" max="13806" width="31.5703125" customWidth="1"/>
    <col min="13807" max="13807" width="14.28515625" customWidth="1"/>
    <col min="13808" max="13808" width="12.85546875" customWidth="1"/>
    <col min="13809" max="13809" width="12.42578125" customWidth="1"/>
    <col min="13810" max="13810" width="4.42578125" customWidth="1"/>
    <col min="13811" max="13811" width="18.28515625" customWidth="1"/>
    <col min="13812" max="13812" width="20.5703125" customWidth="1"/>
    <col min="13813" max="13813" width="14.85546875" customWidth="1"/>
    <col min="13814" max="13814" width="10.7109375" customWidth="1"/>
    <col min="13815" max="13815" width="17.5703125" customWidth="1"/>
    <col min="13817" max="13817" width="10.28515625" customWidth="1"/>
    <col min="13818" max="13818" width="14.7109375" customWidth="1"/>
    <col min="14053" max="14053" width="35" customWidth="1"/>
    <col min="14054" max="14054" width="14.28515625" customWidth="1"/>
    <col min="14055" max="14055" width="13" customWidth="1"/>
    <col min="14056" max="14056" width="12.42578125" customWidth="1"/>
    <col min="14057" max="14057" width="16.5703125" customWidth="1"/>
    <col min="14062" max="14062" width="31.5703125" customWidth="1"/>
    <col min="14063" max="14063" width="14.28515625" customWidth="1"/>
    <col min="14064" max="14064" width="12.85546875" customWidth="1"/>
    <col min="14065" max="14065" width="12.42578125" customWidth="1"/>
    <col min="14066" max="14066" width="4.42578125" customWidth="1"/>
    <col min="14067" max="14067" width="18.28515625" customWidth="1"/>
    <col min="14068" max="14068" width="20.5703125" customWidth="1"/>
    <col min="14069" max="14069" width="14.85546875" customWidth="1"/>
    <col min="14070" max="14070" width="10.7109375" customWidth="1"/>
    <col min="14071" max="14071" width="17.5703125" customWidth="1"/>
    <col min="14073" max="14073" width="10.28515625" customWidth="1"/>
    <col min="14074" max="14074" width="14.7109375" customWidth="1"/>
    <col min="14309" max="14309" width="35" customWidth="1"/>
    <col min="14310" max="14310" width="14.28515625" customWidth="1"/>
    <col min="14311" max="14311" width="13" customWidth="1"/>
    <col min="14312" max="14312" width="12.42578125" customWidth="1"/>
    <col min="14313" max="14313" width="16.5703125" customWidth="1"/>
    <col min="14318" max="14318" width="31.5703125" customWidth="1"/>
    <col min="14319" max="14319" width="14.28515625" customWidth="1"/>
    <col min="14320" max="14320" width="12.85546875" customWidth="1"/>
    <col min="14321" max="14321" width="12.42578125" customWidth="1"/>
    <col min="14322" max="14322" width="4.42578125" customWidth="1"/>
    <col min="14323" max="14323" width="18.28515625" customWidth="1"/>
    <col min="14324" max="14324" width="20.5703125" customWidth="1"/>
    <col min="14325" max="14325" width="14.85546875" customWidth="1"/>
    <col min="14326" max="14326" width="10.7109375" customWidth="1"/>
    <col min="14327" max="14327" width="17.5703125" customWidth="1"/>
    <col min="14329" max="14329" width="10.28515625" customWidth="1"/>
    <col min="14330" max="14330" width="14.7109375" customWidth="1"/>
    <col min="14565" max="14565" width="35" customWidth="1"/>
    <col min="14566" max="14566" width="14.28515625" customWidth="1"/>
    <col min="14567" max="14567" width="13" customWidth="1"/>
    <col min="14568" max="14568" width="12.42578125" customWidth="1"/>
    <col min="14569" max="14569" width="16.5703125" customWidth="1"/>
    <col min="14574" max="14574" width="31.5703125" customWidth="1"/>
    <col min="14575" max="14575" width="14.28515625" customWidth="1"/>
    <col min="14576" max="14576" width="12.85546875" customWidth="1"/>
    <col min="14577" max="14577" width="12.42578125" customWidth="1"/>
    <col min="14578" max="14578" width="4.42578125" customWidth="1"/>
    <col min="14579" max="14579" width="18.28515625" customWidth="1"/>
    <col min="14580" max="14580" width="20.5703125" customWidth="1"/>
    <col min="14581" max="14581" width="14.85546875" customWidth="1"/>
    <col min="14582" max="14582" width="10.7109375" customWidth="1"/>
    <col min="14583" max="14583" width="17.5703125" customWidth="1"/>
    <col min="14585" max="14585" width="10.28515625" customWidth="1"/>
    <col min="14586" max="14586" width="14.7109375" customWidth="1"/>
    <col min="14821" max="14821" width="35" customWidth="1"/>
    <col min="14822" max="14822" width="14.28515625" customWidth="1"/>
    <col min="14823" max="14823" width="13" customWidth="1"/>
    <col min="14824" max="14824" width="12.42578125" customWidth="1"/>
    <col min="14825" max="14825" width="16.5703125" customWidth="1"/>
    <col min="14830" max="14830" width="31.5703125" customWidth="1"/>
    <col min="14831" max="14831" width="14.28515625" customWidth="1"/>
    <col min="14832" max="14832" width="12.85546875" customWidth="1"/>
    <col min="14833" max="14833" width="12.42578125" customWidth="1"/>
    <col min="14834" max="14834" width="4.42578125" customWidth="1"/>
    <col min="14835" max="14835" width="18.28515625" customWidth="1"/>
    <col min="14836" max="14836" width="20.5703125" customWidth="1"/>
    <col min="14837" max="14837" width="14.85546875" customWidth="1"/>
    <col min="14838" max="14838" width="10.7109375" customWidth="1"/>
    <col min="14839" max="14839" width="17.5703125" customWidth="1"/>
    <col min="14841" max="14841" width="10.28515625" customWidth="1"/>
    <col min="14842" max="14842" width="14.7109375" customWidth="1"/>
    <col min="15077" max="15077" width="35" customWidth="1"/>
    <col min="15078" max="15078" width="14.28515625" customWidth="1"/>
    <col min="15079" max="15079" width="13" customWidth="1"/>
    <col min="15080" max="15080" width="12.42578125" customWidth="1"/>
    <col min="15081" max="15081" width="16.5703125" customWidth="1"/>
    <col min="15086" max="15086" width="31.5703125" customWidth="1"/>
    <col min="15087" max="15087" width="14.28515625" customWidth="1"/>
    <col min="15088" max="15088" width="12.85546875" customWidth="1"/>
    <col min="15089" max="15089" width="12.42578125" customWidth="1"/>
    <col min="15090" max="15090" width="4.42578125" customWidth="1"/>
    <col min="15091" max="15091" width="18.28515625" customWidth="1"/>
    <col min="15092" max="15092" width="20.5703125" customWidth="1"/>
    <col min="15093" max="15093" width="14.85546875" customWidth="1"/>
    <col min="15094" max="15094" width="10.7109375" customWidth="1"/>
    <col min="15095" max="15095" width="17.5703125" customWidth="1"/>
    <col min="15097" max="15097" width="10.28515625" customWidth="1"/>
    <col min="15098" max="15098" width="14.7109375" customWidth="1"/>
    <col min="15333" max="15333" width="35" customWidth="1"/>
    <col min="15334" max="15334" width="14.28515625" customWidth="1"/>
    <col min="15335" max="15335" width="13" customWidth="1"/>
    <col min="15336" max="15336" width="12.42578125" customWidth="1"/>
    <col min="15337" max="15337" width="16.5703125" customWidth="1"/>
    <col min="15342" max="15342" width="31.5703125" customWidth="1"/>
    <col min="15343" max="15343" width="14.28515625" customWidth="1"/>
    <col min="15344" max="15344" width="12.85546875" customWidth="1"/>
    <col min="15345" max="15345" width="12.42578125" customWidth="1"/>
    <col min="15346" max="15346" width="4.42578125" customWidth="1"/>
    <col min="15347" max="15347" width="18.28515625" customWidth="1"/>
    <col min="15348" max="15348" width="20.5703125" customWidth="1"/>
    <col min="15349" max="15349" width="14.85546875" customWidth="1"/>
    <col min="15350" max="15350" width="10.7109375" customWidth="1"/>
    <col min="15351" max="15351" width="17.5703125" customWidth="1"/>
    <col min="15353" max="15353" width="10.28515625" customWidth="1"/>
    <col min="15354" max="15354" width="14.7109375" customWidth="1"/>
    <col min="15589" max="15589" width="35" customWidth="1"/>
    <col min="15590" max="15590" width="14.28515625" customWidth="1"/>
    <col min="15591" max="15591" width="13" customWidth="1"/>
    <col min="15592" max="15592" width="12.42578125" customWidth="1"/>
    <col min="15593" max="15593" width="16.5703125" customWidth="1"/>
    <col min="15598" max="15598" width="31.5703125" customWidth="1"/>
    <col min="15599" max="15599" width="14.28515625" customWidth="1"/>
    <col min="15600" max="15600" width="12.85546875" customWidth="1"/>
    <col min="15601" max="15601" width="12.42578125" customWidth="1"/>
    <col min="15602" max="15602" width="4.42578125" customWidth="1"/>
    <col min="15603" max="15603" width="18.28515625" customWidth="1"/>
    <col min="15604" max="15604" width="20.5703125" customWidth="1"/>
    <col min="15605" max="15605" width="14.85546875" customWidth="1"/>
    <col min="15606" max="15606" width="10.7109375" customWidth="1"/>
    <col min="15607" max="15607" width="17.5703125" customWidth="1"/>
    <col min="15609" max="15609" width="10.28515625" customWidth="1"/>
    <col min="15610" max="15610" width="14.7109375" customWidth="1"/>
    <col min="15845" max="15845" width="35" customWidth="1"/>
    <col min="15846" max="15846" width="14.28515625" customWidth="1"/>
    <col min="15847" max="15847" width="13" customWidth="1"/>
    <col min="15848" max="15848" width="12.42578125" customWidth="1"/>
    <col min="15849" max="15849" width="16.5703125" customWidth="1"/>
    <col min="15854" max="15854" width="31.5703125" customWidth="1"/>
    <col min="15855" max="15855" width="14.28515625" customWidth="1"/>
    <col min="15856" max="15856" width="12.85546875" customWidth="1"/>
    <col min="15857" max="15857" width="12.42578125" customWidth="1"/>
    <col min="15858" max="15858" width="4.42578125" customWidth="1"/>
    <col min="15859" max="15859" width="18.28515625" customWidth="1"/>
    <col min="15860" max="15860" width="20.5703125" customWidth="1"/>
    <col min="15861" max="15861" width="14.85546875" customWidth="1"/>
    <col min="15862" max="15862" width="10.7109375" customWidth="1"/>
    <col min="15863" max="15863" width="17.5703125" customWidth="1"/>
    <col min="15865" max="15865" width="10.28515625" customWidth="1"/>
    <col min="15866" max="15866" width="14.7109375" customWidth="1"/>
    <col min="16101" max="16101" width="35" customWidth="1"/>
    <col min="16102" max="16102" width="14.28515625" customWidth="1"/>
    <col min="16103" max="16103" width="13" customWidth="1"/>
    <col min="16104" max="16104" width="12.42578125" customWidth="1"/>
    <col min="16105" max="16105" width="16.5703125" customWidth="1"/>
    <col min="16110" max="16110" width="31.5703125" customWidth="1"/>
    <col min="16111" max="16111" width="14.28515625" customWidth="1"/>
    <col min="16112" max="16112" width="12.85546875" customWidth="1"/>
    <col min="16113" max="16113" width="12.42578125" customWidth="1"/>
    <col min="16114" max="16114" width="4.42578125" customWidth="1"/>
    <col min="16115" max="16115" width="18.28515625" customWidth="1"/>
    <col min="16116" max="16116" width="20.5703125" customWidth="1"/>
    <col min="16117" max="16117" width="14.85546875" customWidth="1"/>
    <col min="16118" max="16118" width="10.7109375" customWidth="1"/>
    <col min="16119" max="16119" width="17.5703125" customWidth="1"/>
    <col min="16121" max="16121" width="10.28515625" customWidth="1"/>
    <col min="16122" max="16122" width="14.7109375" customWidth="1"/>
    <col min="16357" max="16357" width="35" customWidth="1"/>
    <col min="16358" max="16358" width="14.28515625" customWidth="1"/>
    <col min="16359" max="16359" width="13" customWidth="1"/>
    <col min="16360" max="16360" width="12.42578125" customWidth="1"/>
    <col min="16361" max="16361" width="16.5703125" customWidth="1"/>
  </cols>
  <sheetData>
    <row r="1" spans="2:12" ht="20.25">
      <c r="B1" s="1" t="s">
        <v>313</v>
      </c>
      <c r="C1" s="1"/>
      <c r="D1" s="1"/>
      <c r="L1" s="40"/>
    </row>
    <row r="2" spans="2:12" ht="15.75" customHeight="1" thickBot="1">
      <c r="B2" s="99" t="s">
        <v>305</v>
      </c>
      <c r="L2" s="40"/>
    </row>
    <row r="3" spans="2:12" ht="37.5" customHeight="1" thickBot="1">
      <c r="B3" s="1090" t="s">
        <v>69</v>
      </c>
      <c r="C3" s="1091"/>
      <c r="D3" s="1091"/>
      <c r="E3" s="1092"/>
      <c r="G3" s="1090" t="s">
        <v>70</v>
      </c>
      <c r="H3" s="1091"/>
      <c r="I3" s="1091"/>
      <c r="J3" s="1092"/>
      <c r="L3" s="41"/>
    </row>
    <row r="4" spans="2:12" ht="15" customHeight="1">
      <c r="B4" s="680" t="s">
        <v>141</v>
      </c>
      <c r="C4" s="1079" t="s">
        <v>71</v>
      </c>
      <c r="D4" s="1080"/>
      <c r="E4" s="555">
        <v>30</v>
      </c>
      <c r="F4" s="619"/>
      <c r="G4" s="554" t="s">
        <v>140</v>
      </c>
      <c r="H4" s="1079" t="s">
        <v>71</v>
      </c>
      <c r="I4" s="1080"/>
      <c r="J4" s="555">
        <v>30</v>
      </c>
      <c r="K4" s="17"/>
      <c r="L4" s="43"/>
    </row>
    <row r="5" spans="2:12" ht="15" customHeight="1">
      <c r="B5" s="681"/>
      <c r="C5" s="1081" t="s">
        <v>72</v>
      </c>
      <c r="D5" s="1082"/>
      <c r="E5" s="557">
        <v>365</v>
      </c>
      <c r="F5" s="619"/>
      <c r="G5" s="556"/>
      <c r="H5" s="1081" t="s">
        <v>72</v>
      </c>
      <c r="I5" s="1082"/>
      <c r="J5" s="557">
        <v>365</v>
      </c>
      <c r="K5" s="17"/>
      <c r="L5" s="45"/>
    </row>
    <row r="6" spans="2:12">
      <c r="B6" s="547"/>
      <c r="C6" s="558" t="s">
        <v>8</v>
      </c>
      <c r="D6" s="559" t="s">
        <v>9</v>
      </c>
      <c r="E6" s="560" t="s">
        <v>10</v>
      </c>
      <c r="F6" s="619"/>
      <c r="G6" s="528"/>
      <c r="H6" s="558" t="s">
        <v>8</v>
      </c>
      <c r="I6" s="559" t="s">
        <v>9</v>
      </c>
      <c r="J6" s="560" t="s">
        <v>10</v>
      </c>
      <c r="K6" s="17"/>
      <c r="L6" s="50"/>
    </row>
    <row r="7" spans="2:12" ht="26.25" customHeight="1">
      <c r="B7" s="561" t="str">
        <f>'Master Lookup'!B15</f>
        <v>Program Manager / Director</v>
      </c>
      <c r="C7" s="682">
        <f>'Master Lookup'!C15</f>
        <v>62995</v>
      </c>
      <c r="D7" s="683">
        <f>'[11]FTE Chart'!B5</f>
        <v>1</v>
      </c>
      <c r="E7" s="684">
        <f t="shared" ref="E7:E12" si="0">C7*D7</f>
        <v>62995</v>
      </c>
      <c r="F7" s="619"/>
      <c r="G7" s="561" t="str">
        <f>B7</f>
        <v>Program Manager / Director</v>
      </c>
      <c r="H7" s="562">
        <f>C7</f>
        <v>62995</v>
      </c>
      <c r="I7" s="629">
        <f>'[11]FTE Chart'!B5</f>
        <v>1</v>
      </c>
      <c r="J7" s="564">
        <f>H7*I7</f>
        <v>62995</v>
      </c>
      <c r="K7" s="17"/>
      <c r="L7" s="51"/>
    </row>
    <row r="8" spans="2:12">
      <c r="B8" s="565" t="s">
        <v>73</v>
      </c>
      <c r="C8" s="907">
        <f>'Master Lookup'!C17</f>
        <v>55868</v>
      </c>
      <c r="D8" s="908">
        <f>'[11]FTE Chart'!B6</f>
        <v>1</v>
      </c>
      <c r="E8" s="684">
        <f t="shared" si="0"/>
        <v>55868</v>
      </c>
      <c r="F8" s="619"/>
      <c r="G8" s="566" t="s">
        <v>74</v>
      </c>
      <c r="H8" s="872">
        <f>'Master Lookup'!C31</f>
        <v>30480</v>
      </c>
      <c r="I8" s="923">
        <f>('[11]FTE Chart'!B8*$D$46)+'[11]FTE Chart'!B8</f>
        <v>6.5066142921089307</v>
      </c>
      <c r="J8" s="564">
        <f>H8*I8</f>
        <v>198321.60362348022</v>
      </c>
      <c r="K8" s="52"/>
      <c r="L8" s="429"/>
    </row>
    <row r="9" spans="2:12">
      <c r="B9" s="566" t="s">
        <v>15</v>
      </c>
      <c r="C9" s="907">
        <f>'Master Lookup'!C24</f>
        <v>40562</v>
      </c>
      <c r="D9" s="908">
        <f>('[11]FTE Chart'!B7*$D$46)+'[11]FTE Chart'!B7</f>
        <v>5.151069647919571</v>
      </c>
      <c r="E9" s="684">
        <f t="shared" si="0"/>
        <v>208937.68705891364</v>
      </c>
      <c r="F9" s="619"/>
      <c r="G9" s="568" t="s">
        <v>14</v>
      </c>
      <c r="H9" s="872">
        <f>'Master Lookup'!C34</f>
        <v>30480</v>
      </c>
      <c r="I9" s="885">
        <f>D11</f>
        <v>2.8</v>
      </c>
      <c r="J9" s="564">
        <f>H9*I9</f>
        <v>85344</v>
      </c>
      <c r="K9" s="52"/>
      <c r="L9" s="53"/>
    </row>
    <row r="10" spans="2:12" ht="15.75" thickBot="1">
      <c r="B10" s="566" t="s">
        <v>74</v>
      </c>
      <c r="C10" s="909">
        <f>'Master Lookup'!C31</f>
        <v>30480</v>
      </c>
      <c r="D10" s="908">
        <f>('[11]FTE Chart'!B8*$D$46)+'[11]FTE Chart'!B8</f>
        <v>6.5066142921089307</v>
      </c>
      <c r="E10" s="684">
        <f t="shared" si="0"/>
        <v>198321.60362348022</v>
      </c>
      <c r="F10" s="619"/>
      <c r="G10" s="685" t="s">
        <v>75</v>
      </c>
      <c r="H10" s="873">
        <f>'Master Lookup'!C32</f>
        <v>30480</v>
      </c>
      <c r="I10" s="890">
        <f>I8*'Master Lookup'!C10</f>
        <v>1.0010175834013739</v>
      </c>
      <c r="J10" s="570">
        <f>H10*I10</f>
        <v>30511.015942073878</v>
      </c>
      <c r="K10" s="17"/>
      <c r="L10" s="54"/>
    </row>
    <row r="11" spans="2:12" ht="15.75" thickTop="1">
      <c r="B11" s="568" t="s">
        <v>14</v>
      </c>
      <c r="C11" s="907">
        <f>'Master Lookup'!C34</f>
        <v>30480</v>
      </c>
      <c r="D11" s="910">
        <f>1.25+1.55</f>
        <v>2.8</v>
      </c>
      <c r="E11" s="684">
        <f t="shared" si="0"/>
        <v>85344</v>
      </c>
      <c r="F11" s="619"/>
      <c r="G11" s="571" t="s">
        <v>18</v>
      </c>
      <c r="H11" s="874"/>
      <c r="I11" s="892">
        <f>SUM(I7:I10)</f>
        <v>11.307631875510305</v>
      </c>
      <c r="J11" s="573">
        <f>SUM(J7:J10)</f>
        <v>377171.61956555408</v>
      </c>
      <c r="K11" s="17"/>
      <c r="L11" s="55"/>
    </row>
    <row r="12" spans="2:12" ht="15.75" thickBot="1">
      <c r="B12" s="569" t="s">
        <v>76</v>
      </c>
      <c r="C12" s="911">
        <f>'Master Lookup'!C35</f>
        <v>30480</v>
      </c>
      <c r="D12" s="910">
        <f>(D9+D10)*'Master Lookup'!C10</f>
        <v>1.7934898369274619</v>
      </c>
      <c r="E12" s="686">
        <f t="shared" si="0"/>
        <v>54665.570229549041</v>
      </c>
      <c r="F12" s="619"/>
      <c r="G12" s="574" t="s">
        <v>20</v>
      </c>
      <c r="H12" s="894">
        <f>'Master Lookup'!C66</f>
        <v>0.22500000000000001</v>
      </c>
      <c r="I12" s="924"/>
      <c r="J12" s="570">
        <f>J11*H12</f>
        <v>84863.614402249674</v>
      </c>
      <c r="L12" s="56"/>
    </row>
    <row r="13" spans="2:12" ht="15.75" thickTop="1">
      <c r="B13" s="571" t="s">
        <v>18</v>
      </c>
      <c r="C13" s="912"/>
      <c r="D13" s="913">
        <f>SUM(D7:D12)</f>
        <v>18.251173776955966</v>
      </c>
      <c r="E13" s="687">
        <f>SUM(E7:E12)</f>
        <v>666131.8609119429</v>
      </c>
      <c r="F13" s="619"/>
      <c r="G13" s="571" t="s">
        <v>18</v>
      </c>
      <c r="H13" s="925"/>
      <c r="I13" s="874"/>
      <c r="J13" s="656">
        <f>SUM(J11:J12)</f>
        <v>462035.23396780377</v>
      </c>
      <c r="L13" s="56"/>
    </row>
    <row r="14" spans="2:12" ht="15.75" customHeight="1">
      <c r="B14" s="574" t="s">
        <v>20</v>
      </c>
      <c r="C14" s="914">
        <f>'Master Lookup'!C66</f>
        <v>0.22500000000000001</v>
      </c>
      <c r="D14" s="915"/>
      <c r="E14" s="684">
        <f>E13*C14</f>
        <v>149879.66870518716</v>
      </c>
      <c r="F14" s="619"/>
      <c r="G14" s="581"/>
      <c r="H14" s="926" t="s">
        <v>24</v>
      </c>
      <c r="I14" s="919"/>
      <c r="J14" s="560" t="s">
        <v>10</v>
      </c>
      <c r="L14" s="56"/>
    </row>
    <row r="15" spans="2:12">
      <c r="B15" s="577" t="s">
        <v>21</v>
      </c>
      <c r="C15" s="916"/>
      <c r="D15" s="917"/>
      <c r="E15" s="580">
        <f>SUM(E13:E14)</f>
        <v>816011.52961713006</v>
      </c>
      <c r="F15" s="619"/>
      <c r="G15" s="689" t="s">
        <v>25</v>
      </c>
      <c r="H15" s="927">
        <f>'Master Lookup'!E41</f>
        <v>13.500493901243001</v>
      </c>
      <c r="I15" s="928"/>
      <c r="J15" s="587">
        <f>H15*$J$5*$J$4</f>
        <v>147830.40821861086</v>
      </c>
      <c r="L15" s="56"/>
    </row>
    <row r="16" spans="2:12" ht="15" customHeight="1">
      <c r="B16" s="585"/>
      <c r="C16" s="918" t="s">
        <v>24</v>
      </c>
      <c r="D16" s="919"/>
      <c r="E16" s="560" t="s">
        <v>10</v>
      </c>
      <c r="F16" s="619"/>
      <c r="G16" s="689" t="s">
        <v>27</v>
      </c>
      <c r="H16" s="929">
        <f>C18</f>
        <v>8.36</v>
      </c>
      <c r="I16" s="928"/>
      <c r="J16" s="587">
        <f>H16*$J$5*$J$4</f>
        <v>91541.999999999985</v>
      </c>
      <c r="L16" s="56"/>
    </row>
    <row r="17" spans="2:14">
      <c r="B17" s="585" t="s">
        <v>25</v>
      </c>
      <c r="C17" s="920">
        <f>'Master Lookup'!E41</f>
        <v>13.500493901243001</v>
      </c>
      <c r="D17" s="921"/>
      <c r="E17" s="587">
        <f>C17*$E$4*$E$5</f>
        <v>147830.40821861086</v>
      </c>
      <c r="F17" s="619"/>
      <c r="G17" s="689" t="s">
        <v>29</v>
      </c>
      <c r="H17" s="927">
        <f>'Master Lookup'!E47</f>
        <v>1.4817285866755505</v>
      </c>
      <c r="I17" s="928"/>
      <c r="J17" s="587">
        <f>H17*$J$5*$J$4</f>
        <v>16224.928024097278</v>
      </c>
      <c r="L17" s="56"/>
      <c r="N17" s="95"/>
    </row>
    <row r="18" spans="2:14" ht="36.75" customHeight="1">
      <c r="B18" s="585" t="s">
        <v>27</v>
      </c>
      <c r="C18" s="922">
        <f>'Master Lookup'!E43</f>
        <v>8.36</v>
      </c>
      <c r="D18" s="921"/>
      <c r="E18" s="587">
        <f>C18*$E$4*$E$5</f>
        <v>91542</v>
      </c>
      <c r="F18" s="619"/>
      <c r="G18" s="691" t="s">
        <v>31</v>
      </c>
      <c r="H18" s="679">
        <f>'Master Lookup'!E52</f>
        <v>1.3</v>
      </c>
      <c r="I18" s="692"/>
      <c r="J18" s="587">
        <f>H18*$J$5*$J$4</f>
        <v>14235</v>
      </c>
      <c r="L18" s="56"/>
    </row>
    <row r="19" spans="2:14" ht="30">
      <c r="B19" s="585" t="s">
        <v>29</v>
      </c>
      <c r="C19" s="693">
        <f>'Master Lookup'!E47</f>
        <v>1.4817285866755505</v>
      </c>
      <c r="D19" s="690"/>
      <c r="E19" s="587">
        <f>C19*$E$4*$E$5</f>
        <v>16224.928024097278</v>
      </c>
      <c r="F19" s="619"/>
      <c r="G19" s="591"/>
      <c r="H19" s="694" t="s">
        <v>24</v>
      </c>
      <c r="I19" s="593"/>
      <c r="J19" s="594" t="s">
        <v>33</v>
      </c>
      <c r="L19" s="64"/>
    </row>
    <row r="20" spans="2:14" ht="37.5" thickBot="1">
      <c r="B20" s="589" t="s">
        <v>31</v>
      </c>
      <c r="C20" s="695">
        <f>'Master Lookup'!E52</f>
        <v>1.3</v>
      </c>
      <c r="D20" s="696"/>
      <c r="E20" s="587">
        <f>C20*$E$4*$E$5</f>
        <v>14235</v>
      </c>
      <c r="F20" s="619"/>
      <c r="G20" s="697" t="s">
        <v>77</v>
      </c>
      <c r="H20" s="698">
        <f>'Master Lookup'!E56</f>
        <v>1.3437732898179298</v>
      </c>
      <c r="I20" s="651"/>
      <c r="J20" s="699">
        <f>H20*J4*J5</f>
        <v>14714.317523506332</v>
      </c>
      <c r="L20" s="56"/>
    </row>
    <row r="21" spans="2:14" ht="37.5" customHeight="1" thickTop="1">
      <c r="B21" s="591"/>
      <c r="C21" s="592" t="s">
        <v>24</v>
      </c>
      <c r="D21" s="593"/>
      <c r="E21" s="594" t="s">
        <v>33</v>
      </c>
      <c r="F21" s="619"/>
      <c r="G21" s="700" t="s">
        <v>35</v>
      </c>
      <c r="H21" s="655"/>
      <c r="I21" s="604"/>
      <c r="J21" s="656">
        <f>SUM(J13:J20)</f>
        <v>746581.88773401827</v>
      </c>
      <c r="L21" s="57"/>
    </row>
    <row r="22" spans="2:14" ht="30.75" customHeight="1">
      <c r="B22" s="595" t="s">
        <v>77</v>
      </c>
      <c r="C22" s="701">
        <f>'Master Lookup'!E57</f>
        <v>1.9398903684458961</v>
      </c>
      <c r="D22" s="702"/>
      <c r="E22" s="598">
        <f>C22*$E$4*$E$5</f>
        <v>21241.799534482565</v>
      </c>
      <c r="F22" s="619"/>
      <c r="G22" s="930" t="str">
        <f>'Master Lookup'!B39</f>
        <v>PFMLA Trust Contribution</v>
      </c>
      <c r="H22" s="881">
        <f>C25</f>
        <v>6.3E-3</v>
      </c>
      <c r="I22" s="882"/>
      <c r="J22" s="883">
        <f>J11*H22</f>
        <v>2376.1812032629905</v>
      </c>
      <c r="L22" s="56"/>
    </row>
    <row r="23" spans="2:14" ht="15.75" thickBot="1">
      <c r="B23" s="599" t="s">
        <v>35</v>
      </c>
      <c r="C23" s="703"/>
      <c r="D23" s="704"/>
      <c r="E23" s="602">
        <f>SUM(E17:E22,E15)</f>
        <v>1107085.6653943209</v>
      </c>
      <c r="F23" s="619"/>
      <c r="G23" s="705" t="s">
        <v>37</v>
      </c>
      <c r="H23" s="657">
        <f>C24</f>
        <v>0.12</v>
      </c>
      <c r="I23" s="658"/>
      <c r="J23" s="659">
        <f>J21*H23</f>
        <v>89589.826528082194</v>
      </c>
      <c r="L23" s="410"/>
    </row>
    <row r="24" spans="2:14" ht="25.5" customHeight="1" thickTop="1">
      <c r="B24" s="603" t="s">
        <v>37</v>
      </c>
      <c r="C24" s="688">
        <f>'Master Lookup'!C64</f>
        <v>0.12</v>
      </c>
      <c r="D24" s="704"/>
      <c r="E24" s="602">
        <f>E23*C24</f>
        <v>132850.27984731851</v>
      </c>
      <c r="F24" s="619"/>
      <c r="G24" s="700" t="s">
        <v>32</v>
      </c>
      <c r="H24" s="604"/>
      <c r="I24" s="604"/>
      <c r="J24" s="573">
        <f>SUM(J21:J23)</f>
        <v>838547.89546536352</v>
      </c>
      <c r="L24" s="57"/>
    </row>
    <row r="25" spans="2:14" ht="15.75" thickBot="1">
      <c r="B25" s="931" t="str">
        <f>'Master Lookup'!B39</f>
        <v>PFMLA Trust Contribution</v>
      </c>
      <c r="C25" s="932">
        <f>'Master Lookup'!E39</f>
        <v>6.3E-3</v>
      </c>
      <c r="D25" s="933"/>
      <c r="E25" s="896">
        <f>E13*C25</f>
        <v>4196.6307237452402</v>
      </c>
      <c r="F25" s="619"/>
      <c r="G25" s="706" t="s">
        <v>284</v>
      </c>
      <c r="H25" s="606"/>
      <c r="I25" s="607"/>
      <c r="J25" s="707">
        <f>$J$24/($J$4*$J$5)</f>
        <v>76.579716480855112</v>
      </c>
      <c r="L25" s="57"/>
    </row>
    <row r="26" spans="2:14" ht="16.5" thickTop="1" thickBot="1">
      <c r="B26" s="708" t="s">
        <v>32</v>
      </c>
      <c r="C26" s="709"/>
      <c r="D26" s="709"/>
      <c r="E26" s="710">
        <f>SUM(E23:E25)</f>
        <v>1244132.5759653847</v>
      </c>
      <c r="F26" s="619"/>
      <c r="G26" s="605" t="s">
        <v>285</v>
      </c>
      <c r="H26" s="711">
        <v>0.9</v>
      </c>
      <c r="I26" s="607"/>
      <c r="J26" s="707">
        <f>$J$24/(($J$4*$J$5)*H26)</f>
        <v>85.088573867616802</v>
      </c>
      <c r="K26" s="67"/>
      <c r="L26" s="68"/>
    </row>
    <row r="27" spans="2:14" ht="15.75" thickBot="1">
      <c r="B27" s="706" t="s">
        <v>284</v>
      </c>
      <c r="C27" s="606"/>
      <c r="D27" s="607"/>
      <c r="E27" s="707">
        <f>$E$26/($E$4*$E$5)</f>
        <v>113.61941333017212</v>
      </c>
      <c r="F27" s="712"/>
      <c r="G27" s="612" t="s">
        <v>246</v>
      </c>
      <c r="H27" s="713">
        <f>'Master Lookup'!C65</f>
        <v>2.3531493276716206E-2</v>
      </c>
      <c r="I27" s="713"/>
      <c r="J27" s="936">
        <f>J26*(1+H27)</f>
        <v>87.090835071507982</v>
      </c>
      <c r="K27" s="70"/>
      <c r="L27" s="71"/>
    </row>
    <row r="28" spans="2:14" ht="34.15" customHeight="1" thickBot="1">
      <c r="B28" s="605" t="s">
        <v>285</v>
      </c>
      <c r="C28" s="711">
        <v>0.8</v>
      </c>
      <c r="D28" s="607"/>
      <c r="E28" s="611">
        <f>$E$26/(($E$4*$E$5)*C28)</f>
        <v>142.02426666271515</v>
      </c>
      <c r="F28" s="714"/>
      <c r="G28" s="714"/>
      <c r="H28" s="715"/>
      <c r="I28" s="716"/>
      <c r="J28" s="714"/>
      <c r="K28" s="70"/>
      <c r="L28" s="71"/>
    </row>
    <row r="29" spans="2:14" ht="25.5" customHeight="1" thickBot="1">
      <c r="B29" s="717" t="s">
        <v>79</v>
      </c>
      <c r="C29" s="1095" t="s">
        <v>80</v>
      </c>
      <c r="D29" s="1096"/>
      <c r="E29" s="718">
        <f>E28-110.43</f>
        <v>31.594266662715143</v>
      </c>
      <c r="F29" s="714"/>
      <c r="G29" s="714"/>
      <c r="H29" s="719"/>
      <c r="I29" s="720"/>
      <c r="J29" s="714"/>
      <c r="K29" s="70"/>
      <c r="L29" s="72"/>
    </row>
    <row r="30" spans="2:14" ht="15.75" thickBot="1">
      <c r="B30" s="612" t="s">
        <v>246</v>
      </c>
      <c r="C30" s="613">
        <f>'Master Lookup'!C65</f>
        <v>2.3531493276716206E-2</v>
      </c>
      <c r="D30" s="721"/>
      <c r="E30" s="722"/>
      <c r="F30" s="714"/>
      <c r="G30" s="619"/>
      <c r="H30" s="619"/>
      <c r="I30" s="619"/>
      <c r="J30" s="619"/>
      <c r="K30" s="70"/>
      <c r="L30" s="72"/>
    </row>
    <row r="31" spans="2:14" ht="16.5" thickBot="1">
      <c r="B31" s="723" t="s">
        <v>42</v>
      </c>
      <c r="C31" s="724"/>
      <c r="D31" s="725"/>
      <c r="E31" s="726">
        <f>E28*(1+C30)</f>
        <v>145.36630973881935</v>
      </c>
      <c r="F31" s="714"/>
      <c r="G31" s="727" t="s">
        <v>312</v>
      </c>
      <c r="H31" s="728"/>
      <c r="I31" s="728"/>
      <c r="J31" s="729"/>
      <c r="K31" s="70"/>
      <c r="L31" s="72"/>
    </row>
    <row r="32" spans="2:14" ht="14.25" customHeight="1" thickBot="1">
      <c r="B32" s="730" t="s">
        <v>79</v>
      </c>
      <c r="C32" s="731"/>
      <c r="D32" s="732"/>
      <c r="E32" s="934">
        <f>E29*(1+C30)</f>
        <v>32.337726936271601</v>
      </c>
      <c r="F32" s="714"/>
      <c r="G32" s="733" t="s">
        <v>82</v>
      </c>
      <c r="H32" s="734"/>
      <c r="I32" s="735"/>
      <c r="J32" s="736">
        <f>J25/2</f>
        <v>38.289858240427556</v>
      </c>
      <c r="K32" s="70"/>
      <c r="L32" s="72"/>
    </row>
    <row r="33" spans="1:16" ht="15" customHeight="1" thickBot="1">
      <c r="B33" s="619"/>
      <c r="C33" s="619"/>
      <c r="D33" s="619"/>
      <c r="E33" s="619"/>
      <c r="F33" s="737"/>
      <c r="G33" s="738"/>
      <c r="H33" s="739">
        <v>0.9</v>
      </c>
      <c r="I33" s="740"/>
      <c r="J33" s="741">
        <f>$J$24/(($J$4*$J$5)*H33)/2</f>
        <v>42.544286933808401</v>
      </c>
      <c r="K33" s="70"/>
      <c r="L33" s="74"/>
    </row>
    <row r="34" spans="1:16" ht="16.899999999999999" customHeight="1" thickBot="1">
      <c r="B34" s="742"/>
      <c r="C34" s="715"/>
      <c r="D34" s="716"/>
      <c r="E34" s="467"/>
      <c r="F34" s="619"/>
      <c r="G34" s="743"/>
      <c r="H34" s="739"/>
      <c r="I34" s="744"/>
      <c r="J34" s="741"/>
      <c r="L34" s="40"/>
    </row>
    <row r="35" spans="1:16" ht="15.75" thickBot="1">
      <c r="B35" s="619"/>
      <c r="C35" s="719"/>
      <c r="D35" s="720"/>
      <c r="E35" s="469"/>
      <c r="F35" s="619"/>
      <c r="G35" s="745" t="s">
        <v>246</v>
      </c>
      <c r="H35" s="746">
        <f>H27</f>
        <v>2.3531493276716206E-2</v>
      </c>
      <c r="I35" s="747"/>
      <c r="J35" s="935">
        <f>J33*(1+H35)</f>
        <v>43.545417535753991</v>
      </c>
      <c r="L35" s="40"/>
    </row>
    <row r="36" spans="1:16">
      <c r="B36" s="619"/>
      <c r="C36" s="748"/>
      <c r="D36" s="714"/>
      <c r="E36" s="467"/>
      <c r="F36" s="619"/>
      <c r="G36" s="619"/>
      <c r="H36" s="715"/>
      <c r="I36" s="716"/>
      <c r="J36" s="619"/>
      <c r="L36" s="40"/>
      <c r="N36" s="2"/>
      <c r="O36" s="2"/>
      <c r="P36" s="2"/>
    </row>
    <row r="37" spans="1:16" ht="19.5" customHeight="1">
      <c r="B37" s="714"/>
      <c r="C37" s="749"/>
      <c r="D37" s="714"/>
      <c r="E37" s="469"/>
      <c r="F37" s="750"/>
      <c r="G37" s="619"/>
      <c r="H37" s="719"/>
      <c r="I37" s="720"/>
      <c r="J37" s="619"/>
      <c r="K37" s="2"/>
      <c r="L37" s="75"/>
      <c r="N37" s="2"/>
      <c r="O37" s="2"/>
      <c r="P37" s="2"/>
    </row>
    <row r="38" spans="1:16" ht="16.5" customHeight="1">
      <c r="B38" s="714"/>
      <c r="C38" s="714"/>
      <c r="D38" s="714"/>
      <c r="E38" s="619"/>
      <c r="F38" s="619"/>
      <c r="G38" s="619"/>
      <c r="H38" s="619"/>
      <c r="I38" s="619"/>
      <c r="J38" s="619"/>
      <c r="K38" s="69"/>
      <c r="L38" s="2"/>
      <c r="N38" s="2"/>
      <c r="O38" s="2"/>
      <c r="P38" s="2"/>
    </row>
    <row r="39" spans="1:16">
      <c r="B39" s="619"/>
      <c r="C39" s="628"/>
      <c r="D39" s="628"/>
      <c r="E39" s="714"/>
      <c r="F39" s="750"/>
      <c r="G39" s="619"/>
      <c r="H39" s="619"/>
      <c r="I39" s="619"/>
      <c r="J39" s="619"/>
      <c r="K39" s="2"/>
      <c r="L39" s="75"/>
      <c r="N39" s="2"/>
      <c r="O39" s="2"/>
      <c r="P39" s="2"/>
    </row>
    <row r="40" spans="1:16">
      <c r="B40" s="751"/>
      <c r="C40" s="619"/>
      <c r="D40" s="619"/>
      <c r="E40" s="619"/>
      <c r="F40" s="750"/>
      <c r="G40" s="714"/>
      <c r="H40" s="714"/>
      <c r="I40" s="750"/>
      <c r="J40" s="750"/>
      <c r="K40" s="2"/>
      <c r="L40" s="75"/>
      <c r="N40" s="2"/>
      <c r="O40" s="2"/>
      <c r="P40" s="2"/>
    </row>
    <row r="41" spans="1:16">
      <c r="B41" s="752"/>
      <c r="C41" s="753"/>
      <c r="D41" s="754"/>
      <c r="E41" s="619"/>
      <c r="F41" s="750"/>
      <c r="G41" s="750"/>
      <c r="H41" s="750"/>
      <c r="I41" s="750"/>
      <c r="J41" s="750"/>
      <c r="K41" s="2"/>
      <c r="L41" s="75"/>
      <c r="N41" s="2"/>
      <c r="O41" s="2"/>
      <c r="P41" s="2"/>
    </row>
    <row r="42" spans="1:16">
      <c r="B42" s="619"/>
      <c r="C42" s="753"/>
      <c r="D42" s="755"/>
      <c r="E42" s="619"/>
      <c r="F42" s="750"/>
      <c r="G42" s="619"/>
      <c r="H42" s="619"/>
      <c r="I42" s="619"/>
      <c r="J42" s="619"/>
      <c r="K42" s="2"/>
      <c r="L42" s="75"/>
      <c r="N42" s="2"/>
      <c r="O42" s="2"/>
      <c r="P42" s="2"/>
    </row>
    <row r="43" spans="1:16">
      <c r="B43" s="752"/>
      <c r="C43" s="619"/>
      <c r="D43" s="619"/>
      <c r="E43" s="619"/>
      <c r="F43" s="750"/>
      <c r="G43" s="750"/>
      <c r="H43" s="750"/>
      <c r="I43" s="750"/>
      <c r="J43" s="750"/>
      <c r="K43" s="2"/>
      <c r="L43" s="75"/>
      <c r="N43" s="2"/>
      <c r="O43" s="2"/>
      <c r="P43" s="2"/>
    </row>
    <row r="44" spans="1:16" ht="21">
      <c r="B44" s="752"/>
      <c r="C44" s="753"/>
      <c r="D44" s="756"/>
      <c r="E44" s="619"/>
      <c r="F44" s="750"/>
      <c r="G44" s="750"/>
      <c r="H44" s="750"/>
      <c r="I44" s="750"/>
      <c r="J44" s="750"/>
      <c r="K44" s="2"/>
      <c r="L44" s="75"/>
      <c r="N44" s="2"/>
      <c r="O44" s="2"/>
      <c r="P44" s="2"/>
    </row>
    <row r="45" spans="1:16" ht="15.75" hidden="1" thickBot="1">
      <c r="B45" s="619"/>
      <c r="C45" s="753"/>
      <c r="D45" s="619"/>
      <c r="E45" s="619"/>
      <c r="F45" s="619"/>
      <c r="G45" s="750"/>
      <c r="H45" s="750"/>
      <c r="I45" s="750"/>
      <c r="J45" s="750"/>
      <c r="L45" s="40"/>
    </row>
    <row r="46" spans="1:16" s="2" customFormat="1" ht="15.75" hidden="1" customHeight="1" thickBot="1">
      <c r="A46"/>
      <c r="B46" s="757"/>
      <c r="C46" s="758"/>
      <c r="D46" s="759">
        <f>'[11]Preg&amp;PostP Source'!$E$24</f>
        <v>0.54919387907355521</v>
      </c>
      <c r="E46" s="619"/>
      <c r="F46" s="750"/>
      <c r="G46" s="750"/>
      <c r="H46" s="750"/>
      <c r="I46" s="750"/>
      <c r="J46" s="750"/>
    </row>
    <row r="47" spans="1:16" s="2" customFormat="1" hidden="1">
      <c r="A47"/>
      <c r="B47" s="619"/>
      <c r="C47" s="750"/>
      <c r="D47" s="750"/>
      <c r="E47" s="750"/>
      <c r="F47" s="750"/>
      <c r="G47" s="714"/>
      <c r="H47" s="750"/>
      <c r="I47" s="750"/>
      <c r="J47" s="750"/>
    </row>
    <row r="48" spans="1:16" s="2" customFormat="1">
      <c r="A48" s="428"/>
      <c r="B48" s="619"/>
      <c r="C48" s="750"/>
      <c r="D48" s="750"/>
      <c r="E48" s="750"/>
      <c r="F48" s="750"/>
      <c r="G48" s="714"/>
      <c r="H48" s="750"/>
      <c r="I48" s="750"/>
      <c r="J48" s="750"/>
    </row>
    <row r="49" spans="1:10" s="2" customFormat="1">
      <c r="A49" s="428"/>
      <c r="B49"/>
      <c r="G49" s="3"/>
    </row>
    <row r="50" spans="1:10" s="2" customFormat="1">
      <c r="A50" s="428"/>
      <c r="B50"/>
      <c r="D50" s="79"/>
      <c r="F50" s="79"/>
      <c r="G50" s="3"/>
    </row>
    <row r="51" spans="1:10" s="2" customFormat="1">
      <c r="A51" s="428"/>
      <c r="B51"/>
      <c r="C51" s="79"/>
      <c r="D51" s="81"/>
      <c r="E51" s="79"/>
      <c r="F51" s="81"/>
      <c r="G51" s="3"/>
    </row>
    <row r="52" spans="1:10" s="2" customFormat="1">
      <c r="A52" s="80"/>
      <c r="B52" s="81"/>
      <c r="C52" s="80"/>
      <c r="D52" s="81"/>
      <c r="E52" s="80"/>
      <c r="F52" s="83"/>
      <c r="G52" s="3"/>
    </row>
    <row r="53" spans="1:10" s="2" customFormat="1">
      <c r="A53" s="82"/>
      <c r="B53" s="82"/>
      <c r="C53" s="81"/>
      <c r="D53" s="82"/>
      <c r="E53" s="83"/>
      <c r="F53" s="82"/>
      <c r="G53" s="3"/>
    </row>
    <row r="54" spans="1:10" s="2" customFormat="1">
      <c r="A54" s="84"/>
      <c r="B54" s="86"/>
      <c r="C54" s="84"/>
      <c r="D54" s="86"/>
      <c r="E54" s="84"/>
      <c r="F54" s="86"/>
      <c r="G54" s="3"/>
    </row>
    <row r="55" spans="1:10" s="2" customFormat="1">
      <c r="A55" s="85"/>
      <c r="B55" s="86"/>
      <c r="C55" s="85"/>
      <c r="D55" s="86"/>
      <c r="E55" s="85"/>
      <c r="F55" s="86"/>
      <c r="G55" s="3"/>
    </row>
    <row r="56" spans="1:10" s="2" customFormat="1">
      <c r="A56" s="85"/>
      <c r="B56" s="86"/>
      <c r="C56" s="85"/>
      <c r="D56" s="86"/>
      <c r="E56" s="85"/>
      <c r="F56" s="86"/>
      <c r="G56" s="3"/>
    </row>
    <row r="57" spans="1:10" s="2" customFormat="1">
      <c r="A57" s="85"/>
      <c r="B57" s="86"/>
      <c r="C57" s="85"/>
      <c r="D57" s="86"/>
      <c r="E57" s="85"/>
      <c r="F57" s="86"/>
    </row>
    <row r="58" spans="1:10" s="2" customFormat="1">
      <c r="A58" s="85"/>
      <c r="B58" s="86"/>
      <c r="C58" s="85"/>
      <c r="D58" s="86"/>
      <c r="E58" s="85"/>
      <c r="F58" s="86"/>
    </row>
    <row r="59" spans="1:10" s="2" customFormat="1">
      <c r="A59" s="86"/>
      <c r="B59" s="89"/>
      <c r="C59" s="86"/>
      <c r="D59" s="89"/>
      <c r="E59" s="86"/>
      <c r="F59" s="89"/>
    </row>
    <row r="60" spans="1:10" s="2" customFormat="1">
      <c r="A60" s="89"/>
      <c r="C60" s="89"/>
      <c r="E60" s="89"/>
      <c r="G60"/>
      <c r="H60"/>
      <c r="I60"/>
      <c r="J60"/>
    </row>
    <row r="61" spans="1:10" s="2" customFormat="1">
      <c r="G61"/>
      <c r="H61"/>
      <c r="I61"/>
      <c r="J61"/>
    </row>
    <row r="62" spans="1:10" s="2" customFormat="1">
      <c r="G62"/>
      <c r="H62"/>
      <c r="I62"/>
      <c r="J62"/>
    </row>
    <row r="63" spans="1:10">
      <c r="A63" s="2"/>
      <c r="C63" s="2"/>
      <c r="E63" s="2"/>
    </row>
  </sheetData>
  <customSheetViews>
    <customSheetView guid="{B5837528-F556-4927-BE56-326C83C78B54}" scale="90" fitToPage="1" topLeftCell="A19">
      <selection activeCell="O26" sqref="O26"/>
      <pageMargins left="0.25" right="0" top="0" bottom="0" header="0.3" footer="0.3"/>
      <pageSetup scale="54" orientation="landscape" r:id="rId1"/>
      <headerFooter>
        <oddFooter>&amp;R&amp;"Arial,Italic"&amp;9Confidential Draft for Policy Discussion Purposes</oddFooter>
      </headerFooter>
    </customSheetView>
    <customSheetView guid="{0E99B8F5-2809-4D97-8227-3422E522E04C}" scale="90" fitToPage="1" topLeftCell="A10">
      <selection activeCell="O26" sqref="O26"/>
      <pageMargins left="0.25" right="0" top="0" bottom="0" header="0.3" footer="0.3"/>
      <pageSetup scale="54" orientation="landscape" r:id="rId2"/>
      <headerFooter>
        <oddFooter>&amp;R&amp;"Arial,Italic"&amp;9Confidential Draft for Policy Discussion Purposes</oddFooter>
      </headerFooter>
    </customSheetView>
  </customSheetViews>
  <mergeCells count="7">
    <mergeCell ref="C5:D5"/>
    <mergeCell ref="H5:I5"/>
    <mergeCell ref="C29:D29"/>
    <mergeCell ref="B3:E3"/>
    <mergeCell ref="G3:J3"/>
    <mergeCell ref="C4:D4"/>
    <mergeCell ref="H4:I4"/>
  </mergeCells>
  <pageMargins left="0.25" right="0" top="0" bottom="0" header="0.3" footer="0.3"/>
  <pageSetup scale="65" orientation="landscape" r:id="rId3"/>
  <headerFooter>
    <oddHeader>&amp;CBENCHMARKED ADULT RESI</oddHeader>
  </headerFooter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B1:M54"/>
  <sheetViews>
    <sheetView topLeftCell="A35" zoomScale="90" zoomScaleNormal="90" workbookViewId="0">
      <selection activeCell="K32" sqref="K32"/>
    </sheetView>
  </sheetViews>
  <sheetFormatPr defaultColWidth="22.7109375" defaultRowHeight="15"/>
  <cols>
    <col min="1" max="1" width="5.7109375" customWidth="1"/>
    <col min="2" max="2" width="36.5703125" customWidth="1"/>
    <col min="3" max="3" width="14.7109375" bestFit="1" customWidth="1"/>
    <col min="4" max="4" width="13" customWidth="1"/>
    <col min="5" max="5" width="19" customWidth="1"/>
    <col min="6" max="6" width="8.42578125" style="2" customWidth="1"/>
    <col min="7" max="7" width="36.7109375" customWidth="1"/>
    <col min="8" max="8" width="15.85546875" customWidth="1"/>
    <col min="9" max="9" width="13" customWidth="1"/>
    <col min="10" max="10" width="19.140625" customWidth="1"/>
    <col min="11" max="11" width="22.7109375" style="2"/>
    <col min="12" max="13" width="22.7109375" style="3"/>
  </cols>
  <sheetData>
    <row r="1" spans="2:13" ht="18.75" customHeight="1">
      <c r="B1" s="1" t="s">
        <v>0</v>
      </c>
    </row>
    <row r="2" spans="2:13" ht="15.75" customHeight="1" thickBot="1">
      <c r="B2" s="4" t="s">
        <v>306</v>
      </c>
    </row>
    <row r="3" spans="2:13" ht="21.75" customHeight="1" thickBot="1">
      <c r="B3" s="1102" t="s">
        <v>1</v>
      </c>
      <c r="C3" s="1103"/>
      <c r="D3" s="1103"/>
      <c r="E3" s="1104"/>
      <c r="F3" s="3"/>
      <c r="G3" s="1105" t="s">
        <v>2</v>
      </c>
      <c r="H3" s="1106"/>
      <c r="I3" s="1106"/>
      <c r="J3" s="1107"/>
    </row>
    <row r="4" spans="2:13" ht="15.75" thickBot="1">
      <c r="B4" s="1108" t="s">
        <v>3</v>
      </c>
      <c r="C4" s="1109"/>
      <c r="D4" s="1109"/>
      <c r="E4" s="1110"/>
      <c r="F4" s="760"/>
      <c r="G4" s="1111" t="s">
        <v>4</v>
      </c>
      <c r="H4" s="1112"/>
      <c r="I4" s="1112"/>
      <c r="J4" s="1113"/>
    </row>
    <row r="5" spans="2:13" ht="26.25" customHeight="1">
      <c r="B5" s="554" t="s">
        <v>137</v>
      </c>
      <c r="C5" s="1073" t="s">
        <v>5</v>
      </c>
      <c r="D5" s="1073"/>
      <c r="E5" s="761">
        <v>32</v>
      </c>
      <c r="F5" s="762"/>
      <c r="G5" s="554" t="s">
        <v>138</v>
      </c>
      <c r="H5" s="1114" t="s">
        <v>6</v>
      </c>
      <c r="I5" s="1115"/>
      <c r="J5" s="763">
        <f>H47*I10</f>
        <v>3483.75</v>
      </c>
    </row>
    <row r="6" spans="2:13">
      <c r="B6" s="556"/>
      <c r="C6" s="1097" t="s">
        <v>7</v>
      </c>
      <c r="D6" s="1098"/>
      <c r="E6" s="557">
        <v>365</v>
      </c>
      <c r="F6" s="764"/>
      <c r="G6" s="633"/>
      <c r="H6" s="624" t="s">
        <v>8</v>
      </c>
      <c r="I6" s="625" t="s">
        <v>9</v>
      </c>
      <c r="J6" s="626" t="s">
        <v>10</v>
      </c>
    </row>
    <row r="7" spans="2:13" ht="27" customHeight="1">
      <c r="B7" s="528"/>
      <c r="C7" s="624" t="s">
        <v>8</v>
      </c>
      <c r="D7" s="625" t="s">
        <v>9</v>
      </c>
      <c r="E7" s="626" t="s">
        <v>10</v>
      </c>
      <c r="F7" s="765"/>
      <c r="G7" s="766"/>
      <c r="H7" s="624"/>
      <c r="I7" s="625"/>
      <c r="J7" s="626"/>
      <c r="L7" s="386"/>
      <c r="M7" s="386"/>
    </row>
    <row r="8" spans="2:13">
      <c r="B8" s="767" t="str">
        <f>'Master Lookup'!B15</f>
        <v>Program Manager / Director</v>
      </c>
      <c r="C8" s="562">
        <f>'Master Lookup'!C15</f>
        <v>62995</v>
      </c>
      <c r="D8" s="629">
        <f>'[11]JAIL DIVERSION MODELS'!$C$8</f>
        <v>1</v>
      </c>
      <c r="E8" s="564">
        <f t="shared" ref="E8:E14" si="0">C8*D8</f>
        <v>62995</v>
      </c>
      <c r="F8" s="768"/>
      <c r="G8" s="767" t="str">
        <f>B8</f>
        <v>Program Manager / Director</v>
      </c>
      <c r="H8" s="769" t="s">
        <v>11</v>
      </c>
      <c r="I8" s="647">
        <f>'[11]JAIL DIVERSION MODELS'!$H$7</f>
        <v>0</v>
      </c>
      <c r="J8" s="770">
        <v>0</v>
      </c>
      <c r="L8" s="361"/>
      <c r="M8" s="361"/>
    </row>
    <row r="9" spans="2:13">
      <c r="B9" s="937" t="s">
        <v>12</v>
      </c>
      <c r="C9" s="871">
        <f>'Master Lookup'!C18</f>
        <v>55868</v>
      </c>
      <c r="D9" s="923">
        <f>'[11]JAIL DIVERSION MODELS'!$C$9</f>
        <v>0.8</v>
      </c>
      <c r="E9" s="938">
        <f t="shared" si="0"/>
        <v>44694.400000000001</v>
      </c>
      <c r="F9" s="768"/>
      <c r="G9" s="937" t="s">
        <v>12</v>
      </c>
      <c r="H9" s="970">
        <f>C9</f>
        <v>55868</v>
      </c>
      <c r="I9" s="807">
        <f>'[11]JAIL DIVERSION MODELS'!$H$8</f>
        <v>0.2</v>
      </c>
      <c r="J9" s="971">
        <f>H9*I9</f>
        <v>11173.6</v>
      </c>
      <c r="L9" s="361"/>
      <c r="M9" s="361"/>
    </row>
    <row r="10" spans="2:13">
      <c r="B10" s="937" t="s">
        <v>13</v>
      </c>
      <c r="C10" s="871">
        <f>'Master Lookup'!C21</f>
        <v>33792</v>
      </c>
      <c r="D10" s="923">
        <f>'[11]JAIL DIVERSION MODELS'!$C$10</f>
        <v>1</v>
      </c>
      <c r="E10" s="938">
        <f t="shared" si="0"/>
        <v>33792</v>
      </c>
      <c r="F10" s="768"/>
      <c r="G10" s="972" t="s">
        <v>281</v>
      </c>
      <c r="H10" s="973">
        <f>C11</f>
        <v>40562</v>
      </c>
      <c r="I10" s="974">
        <f>'[11]JAIL DIVERSION MODELS'!$H$9</f>
        <v>2.5</v>
      </c>
      <c r="J10" s="975">
        <f>H10*I10</f>
        <v>101405</v>
      </c>
      <c r="L10" s="361"/>
      <c r="M10" s="361"/>
    </row>
    <row r="11" spans="2:13">
      <c r="B11" s="937" t="s">
        <v>15</v>
      </c>
      <c r="C11" s="871">
        <f>'Master Lookup'!C24</f>
        <v>40562</v>
      </c>
      <c r="D11" s="923">
        <f>'[11]JAIL DIVERSION MODELS'!$C$11</f>
        <v>4</v>
      </c>
      <c r="E11" s="938">
        <f t="shared" si="0"/>
        <v>162248</v>
      </c>
      <c r="F11" s="768"/>
      <c r="G11" s="976" t="s">
        <v>14</v>
      </c>
      <c r="H11" s="977" t="s">
        <v>11</v>
      </c>
      <c r="I11" s="807">
        <f>'[11]JAIL DIVERSION MODELS'!$H$10</f>
        <v>0</v>
      </c>
      <c r="J11" s="971">
        <v>0</v>
      </c>
      <c r="L11" s="361"/>
      <c r="M11" s="361"/>
    </row>
    <row r="12" spans="2:13" ht="15.75" thickBot="1">
      <c r="B12" s="937" t="s">
        <v>17</v>
      </c>
      <c r="C12" s="872">
        <f>'Master Lookup'!C31</f>
        <v>30480</v>
      </c>
      <c r="D12" s="939">
        <f>'[11]JAIL DIVERSION MODELS'!$C$12</f>
        <v>16.399999999999999</v>
      </c>
      <c r="E12" s="938">
        <f t="shared" si="0"/>
        <v>499871.99999999994</v>
      </c>
      <c r="F12" s="771"/>
      <c r="G12" s="940" t="s">
        <v>16</v>
      </c>
      <c r="H12" s="873">
        <f>'Master Lookup'!C28</f>
        <v>35695</v>
      </c>
      <c r="I12" s="978">
        <f>'[11]JAIL DIVERSION MODELS'!$H$11</f>
        <v>0.38461538461538464</v>
      </c>
      <c r="J12" s="942">
        <f>H12*I12</f>
        <v>13728.846153846154</v>
      </c>
      <c r="L12" s="361"/>
      <c r="M12" s="361"/>
    </row>
    <row r="13" spans="2:13" ht="15.75" thickTop="1">
      <c r="B13" s="937" t="s">
        <v>14</v>
      </c>
      <c r="C13" s="872">
        <f>'Master Lookup'!C34</f>
        <v>30480</v>
      </c>
      <c r="D13" s="885">
        <f>'[11]JAIL DIVERSION MODELS'!$C$13</f>
        <v>6.9749999999999996</v>
      </c>
      <c r="E13" s="938">
        <f t="shared" si="0"/>
        <v>212598</v>
      </c>
      <c r="F13" s="768"/>
      <c r="G13" s="943" t="s">
        <v>18</v>
      </c>
      <c r="H13" s="979"/>
      <c r="I13" s="980">
        <f>SUM(I8:I12)</f>
        <v>3.0846153846153848</v>
      </c>
      <c r="J13" s="981">
        <f>SUM(J8:J12)</f>
        <v>126307.44615384616</v>
      </c>
      <c r="L13" s="361"/>
      <c r="M13" s="361"/>
    </row>
    <row r="14" spans="2:13" ht="15.75" thickBot="1">
      <c r="B14" s="940" t="s">
        <v>16</v>
      </c>
      <c r="C14" s="873">
        <f>'Master Lookup'!C35</f>
        <v>30480</v>
      </c>
      <c r="D14" s="941">
        <f>'[11]JAIL DIVERSION MODELS'!$C$14</f>
        <v>2.523076923076923</v>
      </c>
      <c r="E14" s="942">
        <f t="shared" si="0"/>
        <v>76903.38461538461</v>
      </c>
      <c r="F14" s="773"/>
      <c r="G14" s="982"/>
      <c r="H14" s="983" t="s">
        <v>19</v>
      </c>
      <c r="I14" s="807"/>
      <c r="J14" s="984"/>
      <c r="L14" s="361"/>
      <c r="M14" s="361"/>
    </row>
    <row r="15" spans="2:13" ht="15.75" thickTop="1">
      <c r="B15" s="943" t="s">
        <v>18</v>
      </c>
      <c r="C15" s="874"/>
      <c r="D15" s="944">
        <f>SUM(D8:D14)</f>
        <v>32.698076923076918</v>
      </c>
      <c r="E15" s="945">
        <f>SUM(E8:E14)</f>
        <v>1093102.7846153844</v>
      </c>
      <c r="F15" s="775"/>
      <c r="G15" s="946" t="s">
        <v>20</v>
      </c>
      <c r="H15" s="875">
        <f>'[11]Benchmark Table'!B23</f>
        <v>0.22499987275605302</v>
      </c>
      <c r="I15" s="807"/>
      <c r="J15" s="971">
        <f>J13*H15</f>
        <v>28419.159312757405</v>
      </c>
    </row>
    <row r="16" spans="2:13" ht="15.75" thickBot="1">
      <c r="B16" s="946" t="s">
        <v>20</v>
      </c>
      <c r="C16" s="875">
        <f>'[11]Benchmark Table'!B23</f>
        <v>0.22499987275605302</v>
      </c>
      <c r="D16" s="947"/>
      <c r="E16" s="938">
        <f>E15*C16</f>
        <v>245947.98744774872</v>
      </c>
      <c r="F16" s="768"/>
      <c r="G16" s="948" t="s">
        <v>21</v>
      </c>
      <c r="H16" s="985"/>
      <c r="I16" s="985"/>
      <c r="J16" s="986">
        <f>SUM(J13:J15)</f>
        <v>154726.60546660356</v>
      </c>
    </row>
    <row r="17" spans="2:13" ht="16.5" thickTop="1" thickBot="1">
      <c r="B17" s="948" t="s">
        <v>21</v>
      </c>
      <c r="C17" s="949"/>
      <c r="D17" s="950"/>
      <c r="E17" s="951">
        <f>E15+E16</f>
        <v>1339050.7720631331</v>
      </c>
      <c r="F17" s="777"/>
      <c r="G17" s="823"/>
      <c r="H17" s="987" t="s">
        <v>22</v>
      </c>
      <c r="I17" s="988"/>
      <c r="J17" s="954" t="s">
        <v>10</v>
      </c>
    </row>
    <row r="18" spans="2:13" ht="15.75" thickTop="1">
      <c r="B18" s="946"/>
      <c r="C18" s="952" t="s">
        <v>24</v>
      </c>
      <c r="D18" s="953"/>
      <c r="E18" s="954" t="s">
        <v>10</v>
      </c>
      <c r="F18" s="765"/>
      <c r="G18" s="946" t="s">
        <v>23</v>
      </c>
      <c r="H18" s="989">
        <v>5552.7003562500004</v>
      </c>
      <c r="I18" s="973"/>
      <c r="J18" s="975">
        <f>H18*I10</f>
        <v>13881.750890625</v>
      </c>
      <c r="L18" s="361"/>
      <c r="M18" s="414"/>
    </row>
    <row r="19" spans="2:13">
      <c r="B19" s="574" t="s">
        <v>25</v>
      </c>
      <c r="C19" s="878">
        <f>'Master Lookup'!E40</f>
        <v>13.208721912893836</v>
      </c>
      <c r="D19" s="955"/>
      <c r="E19" s="956">
        <f>C19*$E$5*$E$6</f>
        <v>154277.8719426</v>
      </c>
      <c r="F19" s="778"/>
      <c r="G19" s="574" t="s">
        <v>25</v>
      </c>
      <c r="H19" s="989" t="s">
        <v>11</v>
      </c>
      <c r="I19" s="990"/>
      <c r="J19" s="975">
        <v>0</v>
      </c>
      <c r="M19" s="414"/>
    </row>
    <row r="20" spans="2:13" ht="15.75" thickBot="1">
      <c r="B20" s="574" t="s">
        <v>27</v>
      </c>
      <c r="C20" s="678">
        <f>'Master Lookup'!E43</f>
        <v>8.36</v>
      </c>
      <c r="D20" s="955"/>
      <c r="E20" s="956">
        <f>C20*$E$5*$E$6</f>
        <v>97644.799999999988</v>
      </c>
      <c r="F20" s="778"/>
      <c r="G20" s="991" t="s">
        <v>26</v>
      </c>
      <c r="H20" s="992" t="s">
        <v>11</v>
      </c>
      <c r="I20" s="993"/>
      <c r="J20" s="994">
        <v>0</v>
      </c>
      <c r="M20" s="414"/>
    </row>
    <row r="21" spans="2:13" ht="15.75" thickTop="1">
      <c r="B21" s="574" t="s">
        <v>29</v>
      </c>
      <c r="C21" s="957">
        <f>'Master Lookup'!E48</f>
        <v>1.7727697839554795</v>
      </c>
      <c r="D21" s="955"/>
      <c r="E21" s="956">
        <f>C21*$E$5*$E$6</f>
        <v>20705.951076599998</v>
      </c>
      <c r="F21" s="778"/>
      <c r="G21" s="891" t="s">
        <v>28</v>
      </c>
      <c r="H21" s="979"/>
      <c r="I21" s="979"/>
      <c r="J21" s="968">
        <f>SUM(J16:J20)</f>
        <v>168608.35635722856</v>
      </c>
      <c r="M21" s="414"/>
    </row>
    <row r="22" spans="2:13" ht="24.75">
      <c r="B22" s="958" t="s">
        <v>31</v>
      </c>
      <c r="C22" s="878">
        <f>'Master Lookup'!E53</f>
        <v>2.5123785782363015</v>
      </c>
      <c r="D22" s="955"/>
      <c r="E22" s="956">
        <f>C22*$E$5*$E$6</f>
        <v>29344.5817938</v>
      </c>
      <c r="F22" s="778"/>
      <c r="G22" s="880" t="str">
        <f>B26</f>
        <v>PFMLA Trust Contribution</v>
      </c>
      <c r="H22" s="995">
        <f>C26</f>
        <v>6.3E-3</v>
      </c>
      <c r="I22" s="996"/>
      <c r="J22" s="969">
        <f>J13*H22</f>
        <v>795.7369107692308</v>
      </c>
      <c r="M22" s="414"/>
    </row>
    <row r="23" spans="2:13" ht="30.75" thickBot="1">
      <c r="B23" s="959"/>
      <c r="C23" s="803" t="s">
        <v>24</v>
      </c>
      <c r="D23" s="807"/>
      <c r="E23" s="960" t="s">
        <v>33</v>
      </c>
      <c r="F23" s="780"/>
      <c r="G23" s="991" t="s">
        <v>30</v>
      </c>
      <c r="H23" s="997">
        <f>C27</f>
        <v>0.12</v>
      </c>
      <c r="I23" s="998"/>
      <c r="J23" s="951">
        <f>J21*H23</f>
        <v>20233.002762867425</v>
      </c>
      <c r="M23" s="414"/>
    </row>
    <row r="24" spans="2:13" ht="16.5" thickTop="1" thickBot="1">
      <c r="B24" s="961" t="s">
        <v>34</v>
      </c>
      <c r="C24" s="962">
        <f>'Master Lookup'!E58</f>
        <v>2.8951829223868373</v>
      </c>
      <c r="D24" s="963"/>
      <c r="E24" s="964">
        <f>C24*$E$5*$E$6</f>
        <v>33815.736533478259</v>
      </c>
      <c r="F24" s="778"/>
      <c r="G24" s="527" t="s">
        <v>32</v>
      </c>
      <c r="H24" s="779"/>
      <c r="I24" s="772"/>
      <c r="J24" s="573">
        <f>SUM(J21:J23)</f>
        <v>189637.09603086521</v>
      </c>
      <c r="M24" s="414"/>
    </row>
    <row r="25" spans="2:13" ht="25.5" customHeight="1" thickTop="1" thickBot="1">
      <c r="B25" s="965" t="s">
        <v>35</v>
      </c>
      <c r="C25" s="966"/>
      <c r="D25" s="967"/>
      <c r="E25" s="968">
        <f>SUM(E17:E24)</f>
        <v>1674839.7134096115</v>
      </c>
      <c r="F25" s="777"/>
      <c r="G25" s="781" t="s">
        <v>36</v>
      </c>
      <c r="H25" s="782"/>
      <c r="I25" s="783"/>
      <c r="J25" s="784">
        <f>J24/J5</f>
        <v>54.434760252849721</v>
      </c>
    </row>
    <row r="26" spans="2:13" ht="15.75" thickBot="1">
      <c r="B26" s="930" t="str">
        <f>'Master Lookup'!B39</f>
        <v>PFMLA Trust Contribution</v>
      </c>
      <c r="C26" s="881">
        <f>'Master Lookup'!E39</f>
        <v>6.3E-3</v>
      </c>
      <c r="D26" s="882"/>
      <c r="E26" s="969">
        <f>E15*C26</f>
        <v>6886.547543076922</v>
      </c>
      <c r="F26" s="777"/>
      <c r="G26" s="612" t="s">
        <v>246</v>
      </c>
      <c r="H26" s="747"/>
      <c r="I26" s="785">
        <f>C31</f>
        <v>2.3531493276716206E-2</v>
      </c>
      <c r="J26" s="786">
        <f>J25*(1+I26)+0.01</f>
        <v>55.725691447759303</v>
      </c>
    </row>
    <row r="27" spans="2:13" ht="15.75" thickBot="1">
      <c r="B27" s="705" t="s">
        <v>37</v>
      </c>
      <c r="C27" s="657">
        <f>'Master Lookup'!C64</f>
        <v>0.12</v>
      </c>
      <c r="D27" s="658"/>
      <c r="E27" s="776">
        <f>E25*C27</f>
        <v>200980.76560915337</v>
      </c>
      <c r="F27" s="775"/>
      <c r="G27" s="787"/>
      <c r="H27" s="714"/>
      <c r="I27" s="788"/>
      <c r="J27" s="789"/>
      <c r="L27" s="15"/>
      <c r="M27" s="16"/>
    </row>
    <row r="28" spans="2:13" ht="15.75" thickTop="1">
      <c r="B28" s="571" t="s">
        <v>32</v>
      </c>
      <c r="C28" s="604"/>
      <c r="D28" s="604"/>
      <c r="E28" s="573">
        <f>E25+E27+E26</f>
        <v>1882707.0265618418</v>
      </c>
      <c r="F28" s="777"/>
      <c r="G28" s="787"/>
      <c r="H28" s="714"/>
      <c r="I28" s="715"/>
      <c r="J28" s="716"/>
      <c r="L28" s="15"/>
    </row>
    <row r="29" spans="2:13">
      <c r="B29" s="605" t="s">
        <v>42</v>
      </c>
      <c r="C29" s="606"/>
      <c r="D29" s="607"/>
      <c r="E29" s="790">
        <f>E28/(E5*E6)</f>
        <v>161.19067008234947</v>
      </c>
      <c r="F29" s="777"/>
      <c r="G29" s="619"/>
      <c r="H29" s="619"/>
      <c r="I29" s="719"/>
      <c r="J29" s="720"/>
      <c r="L29" s="15"/>
      <c r="M29" s="18"/>
    </row>
    <row r="30" spans="2:13" ht="19.5" thickBot="1">
      <c r="B30" s="738" t="s">
        <v>43</v>
      </c>
      <c r="C30" s="791">
        <v>0.95</v>
      </c>
      <c r="D30" s="792"/>
      <c r="E30" s="793">
        <f>$E$28/(($E$5*$E$6)*C30)</f>
        <v>169.67438956036787</v>
      </c>
      <c r="F30" s="794"/>
      <c r="G30" s="795" t="s">
        <v>38</v>
      </c>
      <c r="H30" s="619"/>
      <c r="I30" s="619"/>
      <c r="J30" s="619"/>
      <c r="L30" s="15"/>
      <c r="M30" s="19"/>
    </row>
    <row r="31" spans="2:13" ht="30.75" thickBot="1">
      <c r="B31" s="612" t="s">
        <v>246</v>
      </c>
      <c r="C31" s="796">
        <f>'Master Lookup'!C60</f>
        <v>2.3531493276716206E-2</v>
      </c>
      <c r="D31" s="797"/>
      <c r="E31" s="798">
        <f>E30*(1+C31)</f>
        <v>173.66708131753859</v>
      </c>
      <c r="F31" s="794"/>
      <c r="G31" s="799" t="s">
        <v>39</v>
      </c>
      <c r="H31" s="800" t="s">
        <v>40</v>
      </c>
      <c r="I31" s="801" t="s">
        <v>41</v>
      </c>
      <c r="J31" s="619"/>
      <c r="L31" s="15"/>
      <c r="M31" s="19"/>
    </row>
    <row r="32" spans="2:13">
      <c r="B32" s="619"/>
      <c r="C32" s="619"/>
      <c r="D32" s="619"/>
      <c r="E32" s="619"/>
      <c r="F32" s="794"/>
      <c r="G32" s="647">
        <v>0.45</v>
      </c>
      <c r="H32" s="647">
        <v>50</v>
      </c>
      <c r="I32" s="802">
        <f>G32*H32</f>
        <v>22.5</v>
      </c>
      <c r="J32" s="619"/>
      <c r="L32" s="20"/>
      <c r="M32" s="19"/>
    </row>
    <row r="33" spans="2:12">
      <c r="B33" s="751"/>
      <c r="C33" s="751"/>
      <c r="D33" s="715"/>
      <c r="E33" s="716"/>
      <c r="F33" s="750"/>
      <c r="G33" s="803"/>
      <c r="H33" s="646" t="s">
        <v>44</v>
      </c>
      <c r="I33" s="804" t="s">
        <v>45</v>
      </c>
      <c r="J33" s="805"/>
      <c r="K33" s="3"/>
    </row>
    <row r="34" spans="2:12" ht="15" customHeight="1">
      <c r="B34" s="619"/>
      <c r="C34" s="806"/>
      <c r="D34" s="719"/>
      <c r="E34" s="720"/>
      <c r="F34" s="750"/>
      <c r="G34" s="807" t="s">
        <v>46</v>
      </c>
      <c r="H34" s="808">
        <f>5*45</f>
        <v>225</v>
      </c>
      <c r="I34" s="809">
        <f>I32*H34</f>
        <v>5062.5</v>
      </c>
      <c r="J34" s="810"/>
      <c r="K34" s="24"/>
      <c r="L34" s="24"/>
    </row>
    <row r="35" spans="2:12" ht="15.75" thickBot="1">
      <c r="B35" s="811"/>
      <c r="C35" s="812"/>
      <c r="D35" s="813"/>
      <c r="E35" s="619"/>
      <c r="F35" s="750"/>
      <c r="G35" s="619"/>
      <c r="H35" s="619"/>
      <c r="I35" s="619"/>
      <c r="J35" s="619"/>
      <c r="K35" s="3"/>
      <c r="L35" s="28"/>
    </row>
    <row r="36" spans="2:12">
      <c r="B36" s="814"/>
      <c r="C36" s="813"/>
      <c r="D36" s="814"/>
      <c r="E36" s="619"/>
      <c r="F36" s="750"/>
      <c r="G36" s="1099" t="s">
        <v>48</v>
      </c>
      <c r="H36" s="1100"/>
      <c r="I36" s="1101"/>
      <c r="J36" s="619"/>
      <c r="K36" s="3"/>
      <c r="L36" s="28"/>
    </row>
    <row r="37" spans="2:12">
      <c r="B37" s="754"/>
      <c r="C37" s="815"/>
      <c r="D37" s="813"/>
      <c r="E37" s="619"/>
      <c r="F37" s="750"/>
      <c r="G37" s="633"/>
      <c r="H37" s="647"/>
      <c r="I37" s="774" t="s">
        <v>51</v>
      </c>
      <c r="J37" s="619"/>
      <c r="K37" s="29"/>
      <c r="L37" s="28"/>
    </row>
    <row r="38" spans="2:12">
      <c r="B38" s="752"/>
      <c r="C38" s="816"/>
      <c r="D38" s="752"/>
      <c r="E38" s="619"/>
      <c r="F38" s="750"/>
      <c r="G38" s="633" t="s">
        <v>52</v>
      </c>
      <c r="H38" s="647">
        <v>2080</v>
      </c>
      <c r="I38" s="817"/>
      <c r="J38" s="619"/>
      <c r="K38" s="31"/>
      <c r="L38" s="28"/>
    </row>
    <row r="39" spans="2:12" ht="30" customHeight="1">
      <c r="B39" s="619"/>
      <c r="C39" s="619"/>
      <c r="D39" s="619"/>
      <c r="E39" s="619"/>
      <c r="F39" s="750"/>
      <c r="G39" s="633" t="s">
        <v>53</v>
      </c>
      <c r="H39" s="647">
        <f>40*3</f>
        <v>120</v>
      </c>
      <c r="I39" s="818" t="s">
        <v>54</v>
      </c>
      <c r="J39" s="619"/>
      <c r="K39" s="3"/>
      <c r="L39" s="28"/>
    </row>
    <row r="40" spans="2:12">
      <c r="B40" s="619"/>
      <c r="C40" s="619"/>
      <c r="D40" s="619"/>
      <c r="E40" s="619"/>
      <c r="F40" s="750"/>
      <c r="G40" s="633" t="s">
        <v>55</v>
      </c>
      <c r="H40" s="647">
        <f>40*2</f>
        <v>80</v>
      </c>
      <c r="I40" s="818" t="s">
        <v>56</v>
      </c>
      <c r="J40" s="619"/>
    </row>
    <row r="41" spans="2:12">
      <c r="B41" s="619"/>
      <c r="C41" s="619"/>
      <c r="D41" s="619"/>
      <c r="E41" s="619"/>
      <c r="F41" s="750"/>
      <c r="G41" s="633" t="s">
        <v>57</v>
      </c>
      <c r="H41" s="647">
        <f>40*2</f>
        <v>80</v>
      </c>
      <c r="I41" s="818" t="s">
        <v>58</v>
      </c>
      <c r="J41" s="619"/>
    </row>
    <row r="42" spans="2:12">
      <c r="B42" s="619"/>
      <c r="C42" s="619"/>
      <c r="D42" s="619"/>
      <c r="E42" s="619"/>
      <c r="F42" s="750"/>
      <c r="G42" s="633" t="s">
        <v>59</v>
      </c>
      <c r="H42" s="647">
        <f>(3/5)*40</f>
        <v>24</v>
      </c>
      <c r="I42" s="818" t="s">
        <v>60</v>
      </c>
      <c r="J42" s="619"/>
    </row>
    <row r="43" spans="2:12">
      <c r="B43" s="619"/>
      <c r="C43" s="619"/>
      <c r="D43" s="619"/>
      <c r="E43" s="619"/>
      <c r="F43" s="750"/>
      <c r="G43" s="633" t="s">
        <v>34</v>
      </c>
      <c r="H43" s="819">
        <f>5*45</f>
        <v>225</v>
      </c>
      <c r="I43" s="818" t="s">
        <v>62</v>
      </c>
      <c r="J43" s="619"/>
    </row>
    <row r="44" spans="2:12" ht="24.75">
      <c r="B44" s="619"/>
      <c r="C44" s="619"/>
      <c r="D44" s="619"/>
      <c r="E44" s="619"/>
      <c r="F44" s="750"/>
      <c r="G44" s="635" t="s">
        <v>64</v>
      </c>
      <c r="H44" s="742">
        <f>(52-7)*0.5</f>
        <v>22.5</v>
      </c>
      <c r="I44" s="818" t="s">
        <v>65</v>
      </c>
      <c r="J44" s="619"/>
    </row>
    <row r="45" spans="2:12" ht="15.75" thickBot="1">
      <c r="B45" s="619"/>
      <c r="C45" s="619"/>
      <c r="D45" s="619"/>
      <c r="E45" s="619"/>
      <c r="F45" s="750"/>
      <c r="G45" s="820" t="s">
        <v>66</v>
      </c>
      <c r="H45" s="821">
        <f>(52-7)*3</f>
        <v>135</v>
      </c>
      <c r="I45" s="822" t="s">
        <v>67</v>
      </c>
      <c r="J45" s="619"/>
    </row>
    <row r="46" spans="2:12" ht="15.75" thickTop="1">
      <c r="B46" s="619"/>
      <c r="C46" s="619"/>
      <c r="D46" s="619"/>
      <c r="E46" s="619"/>
      <c r="F46" s="750"/>
      <c r="G46" s="823" t="s">
        <v>61</v>
      </c>
      <c r="H46" s="824">
        <f>SUM(H39:H45)</f>
        <v>686.5</v>
      </c>
      <c r="I46" s="825"/>
      <c r="J46" s="619"/>
    </row>
    <row r="47" spans="2:12" ht="15.75" thickBot="1">
      <c r="B47" s="619"/>
      <c r="C47" s="619"/>
      <c r="D47" s="619"/>
      <c r="E47" s="619"/>
      <c r="F47" s="750"/>
      <c r="G47" s="826" t="s">
        <v>63</v>
      </c>
      <c r="H47" s="827">
        <f>H38-H46</f>
        <v>1393.5</v>
      </c>
      <c r="I47" s="828" t="s">
        <v>68</v>
      </c>
      <c r="J47" s="619"/>
    </row>
    <row r="48" spans="2:12" ht="21">
      <c r="B48" s="619"/>
      <c r="C48" s="619"/>
      <c r="D48" s="619"/>
      <c r="E48" s="619"/>
      <c r="F48" s="829"/>
      <c r="G48" s="619"/>
      <c r="H48" s="619"/>
      <c r="I48" s="619"/>
      <c r="J48" s="619"/>
    </row>
    <row r="49" spans="2:6">
      <c r="B49" s="428"/>
      <c r="C49" s="428"/>
      <c r="D49" s="428"/>
      <c r="E49" s="428"/>
      <c r="F49"/>
    </row>
    <row r="50" spans="2:6">
      <c r="B50" s="428"/>
      <c r="C50" s="428"/>
      <c r="D50" s="428"/>
      <c r="E50" s="428"/>
      <c r="F50"/>
    </row>
    <row r="51" spans="2:6">
      <c r="B51" s="428"/>
      <c r="C51" s="428"/>
      <c r="D51" s="428"/>
      <c r="E51" s="428"/>
      <c r="F51" s="428"/>
    </row>
    <row r="52" spans="2:6">
      <c r="B52" s="428"/>
      <c r="C52" s="428"/>
      <c r="D52" s="428"/>
      <c r="E52" s="428"/>
      <c r="F52" s="428"/>
    </row>
    <row r="53" spans="2:6">
      <c r="F53" s="428"/>
    </row>
    <row r="54" spans="2:6">
      <c r="F54" s="428"/>
    </row>
  </sheetData>
  <customSheetViews>
    <customSheetView guid="{B5837528-F556-4927-BE56-326C83C78B54}" scale="90" fitToPage="1" topLeftCell="A19">
      <selection activeCell="C13" sqref="C13"/>
      <pageMargins left="0.25" right="0.25" top="0.75" bottom="0.75" header="0.3" footer="0.3"/>
      <pageSetup scale="64" orientation="portrait" r:id="rId1"/>
    </customSheetView>
    <customSheetView guid="{0E99B8F5-2809-4D97-8227-3422E522E04C}" scale="90" fitToPage="1" topLeftCell="A10">
      <selection activeCell="B35" sqref="B35"/>
      <pageMargins left="0.25" right="0.25" top="0.75" bottom="0.75" header="0.3" footer="0.3"/>
      <pageSetup scale="64" orientation="portrait" r:id="rId2"/>
    </customSheetView>
  </customSheetViews>
  <mergeCells count="8">
    <mergeCell ref="C6:D6"/>
    <mergeCell ref="G36:I36"/>
    <mergeCell ref="B3:E3"/>
    <mergeCell ref="G3:J3"/>
    <mergeCell ref="B4:E4"/>
    <mergeCell ref="G4:J4"/>
    <mergeCell ref="C5:D5"/>
    <mergeCell ref="H5:I5"/>
  </mergeCells>
  <pageMargins left="0.25" right="0.25" top="0.75" bottom="0.75" header="0.3" footer="0.3"/>
  <pageSetup scale="62" orientation="landscape" r:id="rId3"/>
  <headerFooter>
    <oddHeader>&amp;CJAIL DIVERSION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B1:R64"/>
  <sheetViews>
    <sheetView topLeftCell="A4" zoomScale="95" zoomScaleNormal="95" zoomScaleSheetLayoutView="70" workbookViewId="0">
      <selection activeCell="K12" sqref="K12"/>
    </sheetView>
  </sheetViews>
  <sheetFormatPr defaultRowHeight="12.75"/>
  <cols>
    <col min="1" max="1" width="5.7109375" style="98" customWidth="1"/>
    <col min="2" max="2" width="35.28515625" style="98" customWidth="1"/>
    <col min="3" max="3" width="14" style="98" bestFit="1" customWidth="1"/>
    <col min="4" max="4" width="18" style="98" customWidth="1"/>
    <col min="5" max="5" width="15.28515625" style="98" customWidth="1"/>
    <col min="6" max="6" width="6.28515625" style="98" customWidth="1"/>
    <col min="7" max="7" width="17" style="98" customWidth="1"/>
    <col min="8" max="8" width="11.85546875" style="98" bestFit="1" customWidth="1"/>
    <col min="9" max="9" width="5.5703125" style="98" bestFit="1" customWidth="1"/>
    <col min="10" max="10" width="12.140625" style="98" customWidth="1"/>
    <col min="11" max="11" width="12.5703125" style="98" customWidth="1"/>
    <col min="12" max="12" width="11.7109375" style="98" bestFit="1" customWidth="1"/>
    <col min="13" max="13" width="9.140625" style="98"/>
    <col min="14" max="14" width="23.7109375" style="98" bestFit="1" customWidth="1"/>
    <col min="15" max="249" width="9.140625" style="98"/>
    <col min="250" max="250" width="24.7109375" style="98" bestFit="1" customWidth="1"/>
    <col min="251" max="251" width="14.28515625" style="98" bestFit="1" customWidth="1"/>
    <col min="252" max="252" width="12" style="98" bestFit="1" customWidth="1"/>
    <col min="253" max="253" width="8.7109375" style="98" bestFit="1" customWidth="1"/>
    <col min="254" max="254" width="11.7109375" style="98" bestFit="1" customWidth="1"/>
    <col min="255" max="255" width="7.28515625" style="98" bestFit="1" customWidth="1"/>
    <col min="256" max="256" width="20.7109375" style="98" customWidth="1"/>
    <col min="257" max="257" width="24.7109375" style="98" bestFit="1" customWidth="1"/>
    <col min="258" max="258" width="21.140625" style="98" customWidth="1"/>
    <col min="259" max="260" width="9.140625" style="98"/>
    <col min="261" max="261" width="11.7109375" style="98" bestFit="1" customWidth="1"/>
    <col min="262" max="505" width="9.140625" style="98"/>
    <col min="506" max="506" width="24.7109375" style="98" bestFit="1" customWidth="1"/>
    <col min="507" max="507" width="14.28515625" style="98" bestFit="1" customWidth="1"/>
    <col min="508" max="508" width="12" style="98" bestFit="1" customWidth="1"/>
    <col min="509" max="509" width="8.7109375" style="98" bestFit="1" customWidth="1"/>
    <col min="510" max="510" width="11.7109375" style="98" bestFit="1" customWidth="1"/>
    <col min="511" max="511" width="7.28515625" style="98" bestFit="1" customWidth="1"/>
    <col min="512" max="512" width="20.7109375" style="98" customWidth="1"/>
    <col min="513" max="513" width="24.7109375" style="98" bestFit="1" customWidth="1"/>
    <col min="514" max="514" width="21.140625" style="98" customWidth="1"/>
    <col min="515" max="516" width="9.140625" style="98"/>
    <col min="517" max="517" width="11.7109375" style="98" bestFit="1" customWidth="1"/>
    <col min="518" max="761" width="9.140625" style="98"/>
    <col min="762" max="762" width="24.7109375" style="98" bestFit="1" customWidth="1"/>
    <col min="763" max="763" width="14.28515625" style="98" bestFit="1" customWidth="1"/>
    <col min="764" max="764" width="12" style="98" bestFit="1" customWidth="1"/>
    <col min="765" max="765" width="8.7109375" style="98" bestFit="1" customWidth="1"/>
    <col min="766" max="766" width="11.7109375" style="98" bestFit="1" customWidth="1"/>
    <col min="767" max="767" width="7.28515625" style="98" bestFit="1" customWidth="1"/>
    <col min="768" max="768" width="20.7109375" style="98" customWidth="1"/>
    <col min="769" max="769" width="24.7109375" style="98" bestFit="1" customWidth="1"/>
    <col min="770" max="770" width="21.140625" style="98" customWidth="1"/>
    <col min="771" max="772" width="9.140625" style="98"/>
    <col min="773" max="773" width="11.7109375" style="98" bestFit="1" customWidth="1"/>
    <col min="774" max="1017" width="9.140625" style="98"/>
    <col min="1018" max="1018" width="24.7109375" style="98" bestFit="1" customWidth="1"/>
    <col min="1019" max="1019" width="14.28515625" style="98" bestFit="1" customWidth="1"/>
    <col min="1020" max="1020" width="12" style="98" bestFit="1" customWidth="1"/>
    <col min="1021" max="1021" width="8.7109375" style="98" bestFit="1" customWidth="1"/>
    <col min="1022" max="1022" width="11.7109375" style="98" bestFit="1" customWidth="1"/>
    <col min="1023" max="1023" width="7.28515625" style="98" bestFit="1" customWidth="1"/>
    <col min="1024" max="1024" width="20.7109375" style="98" customWidth="1"/>
    <col min="1025" max="1025" width="24.7109375" style="98" bestFit="1" customWidth="1"/>
    <col min="1026" max="1026" width="21.140625" style="98" customWidth="1"/>
    <col min="1027" max="1028" width="9.140625" style="98"/>
    <col min="1029" max="1029" width="11.7109375" style="98" bestFit="1" customWidth="1"/>
    <col min="1030" max="1273" width="9.140625" style="98"/>
    <col min="1274" max="1274" width="24.7109375" style="98" bestFit="1" customWidth="1"/>
    <col min="1275" max="1275" width="14.28515625" style="98" bestFit="1" customWidth="1"/>
    <col min="1276" max="1276" width="12" style="98" bestFit="1" customWidth="1"/>
    <col min="1277" max="1277" width="8.7109375" style="98" bestFit="1" customWidth="1"/>
    <col min="1278" max="1278" width="11.7109375" style="98" bestFit="1" customWidth="1"/>
    <col min="1279" max="1279" width="7.28515625" style="98" bestFit="1" customWidth="1"/>
    <col min="1280" max="1280" width="20.7109375" style="98" customWidth="1"/>
    <col min="1281" max="1281" width="24.7109375" style="98" bestFit="1" customWidth="1"/>
    <col min="1282" max="1282" width="21.140625" style="98" customWidth="1"/>
    <col min="1283" max="1284" width="9.140625" style="98"/>
    <col min="1285" max="1285" width="11.7109375" style="98" bestFit="1" customWidth="1"/>
    <col min="1286" max="1529" width="9.140625" style="98"/>
    <col min="1530" max="1530" width="24.7109375" style="98" bestFit="1" customWidth="1"/>
    <col min="1531" max="1531" width="14.28515625" style="98" bestFit="1" customWidth="1"/>
    <col min="1532" max="1532" width="12" style="98" bestFit="1" customWidth="1"/>
    <col min="1533" max="1533" width="8.7109375" style="98" bestFit="1" customWidth="1"/>
    <col min="1534" max="1534" width="11.7109375" style="98" bestFit="1" customWidth="1"/>
    <col min="1535" max="1535" width="7.28515625" style="98" bestFit="1" customWidth="1"/>
    <col min="1536" max="1536" width="20.7109375" style="98" customWidth="1"/>
    <col min="1537" max="1537" width="24.7109375" style="98" bestFit="1" customWidth="1"/>
    <col min="1538" max="1538" width="21.140625" style="98" customWidth="1"/>
    <col min="1539" max="1540" width="9.140625" style="98"/>
    <col min="1541" max="1541" width="11.7109375" style="98" bestFit="1" customWidth="1"/>
    <col min="1542" max="1785" width="9.140625" style="98"/>
    <col min="1786" max="1786" width="24.7109375" style="98" bestFit="1" customWidth="1"/>
    <col min="1787" max="1787" width="14.28515625" style="98" bestFit="1" customWidth="1"/>
    <col min="1788" max="1788" width="12" style="98" bestFit="1" customWidth="1"/>
    <col min="1789" max="1789" width="8.7109375" style="98" bestFit="1" customWidth="1"/>
    <col min="1790" max="1790" width="11.7109375" style="98" bestFit="1" customWidth="1"/>
    <col min="1791" max="1791" width="7.28515625" style="98" bestFit="1" customWidth="1"/>
    <col min="1792" max="1792" width="20.7109375" style="98" customWidth="1"/>
    <col min="1793" max="1793" width="24.7109375" style="98" bestFit="1" customWidth="1"/>
    <col min="1794" max="1794" width="21.140625" style="98" customWidth="1"/>
    <col min="1795" max="1796" width="9.140625" style="98"/>
    <col min="1797" max="1797" width="11.7109375" style="98" bestFit="1" customWidth="1"/>
    <col min="1798" max="2041" width="9.140625" style="98"/>
    <col min="2042" max="2042" width="24.7109375" style="98" bestFit="1" customWidth="1"/>
    <col min="2043" max="2043" width="14.28515625" style="98" bestFit="1" customWidth="1"/>
    <col min="2044" max="2044" width="12" style="98" bestFit="1" customWidth="1"/>
    <col min="2045" max="2045" width="8.7109375" style="98" bestFit="1" customWidth="1"/>
    <col min="2046" max="2046" width="11.7109375" style="98" bestFit="1" customWidth="1"/>
    <col min="2047" max="2047" width="7.28515625" style="98" bestFit="1" customWidth="1"/>
    <col min="2048" max="2048" width="20.7109375" style="98" customWidth="1"/>
    <col min="2049" max="2049" width="24.7109375" style="98" bestFit="1" customWidth="1"/>
    <col min="2050" max="2050" width="21.140625" style="98" customWidth="1"/>
    <col min="2051" max="2052" width="9.140625" style="98"/>
    <col min="2053" max="2053" width="11.7109375" style="98" bestFit="1" customWidth="1"/>
    <col min="2054" max="2297" width="9.140625" style="98"/>
    <col min="2298" max="2298" width="24.7109375" style="98" bestFit="1" customWidth="1"/>
    <col min="2299" max="2299" width="14.28515625" style="98" bestFit="1" customWidth="1"/>
    <col min="2300" max="2300" width="12" style="98" bestFit="1" customWidth="1"/>
    <col min="2301" max="2301" width="8.7109375" style="98" bestFit="1" customWidth="1"/>
    <col min="2302" max="2302" width="11.7109375" style="98" bestFit="1" customWidth="1"/>
    <col min="2303" max="2303" width="7.28515625" style="98" bestFit="1" customWidth="1"/>
    <col min="2304" max="2304" width="20.7109375" style="98" customWidth="1"/>
    <col min="2305" max="2305" width="24.7109375" style="98" bestFit="1" customWidth="1"/>
    <col min="2306" max="2306" width="21.140625" style="98" customWidth="1"/>
    <col min="2307" max="2308" width="9.140625" style="98"/>
    <col min="2309" max="2309" width="11.7109375" style="98" bestFit="1" customWidth="1"/>
    <col min="2310" max="2553" width="9.140625" style="98"/>
    <col min="2554" max="2554" width="24.7109375" style="98" bestFit="1" customWidth="1"/>
    <col min="2555" max="2555" width="14.28515625" style="98" bestFit="1" customWidth="1"/>
    <col min="2556" max="2556" width="12" style="98" bestFit="1" customWidth="1"/>
    <col min="2557" max="2557" width="8.7109375" style="98" bestFit="1" customWidth="1"/>
    <col min="2558" max="2558" width="11.7109375" style="98" bestFit="1" customWidth="1"/>
    <col min="2559" max="2559" width="7.28515625" style="98" bestFit="1" customWidth="1"/>
    <col min="2560" max="2560" width="20.7109375" style="98" customWidth="1"/>
    <col min="2561" max="2561" width="24.7109375" style="98" bestFit="1" customWidth="1"/>
    <col min="2562" max="2562" width="21.140625" style="98" customWidth="1"/>
    <col min="2563" max="2564" width="9.140625" style="98"/>
    <col min="2565" max="2565" width="11.7109375" style="98" bestFit="1" customWidth="1"/>
    <col min="2566" max="2809" width="9.140625" style="98"/>
    <col min="2810" max="2810" width="24.7109375" style="98" bestFit="1" customWidth="1"/>
    <col min="2811" max="2811" width="14.28515625" style="98" bestFit="1" customWidth="1"/>
    <col min="2812" max="2812" width="12" style="98" bestFit="1" customWidth="1"/>
    <col min="2813" max="2813" width="8.7109375" style="98" bestFit="1" customWidth="1"/>
    <col min="2814" max="2814" width="11.7109375" style="98" bestFit="1" customWidth="1"/>
    <col min="2815" max="2815" width="7.28515625" style="98" bestFit="1" customWidth="1"/>
    <col min="2816" max="2816" width="20.7109375" style="98" customWidth="1"/>
    <col min="2817" max="2817" width="24.7109375" style="98" bestFit="1" customWidth="1"/>
    <col min="2818" max="2818" width="21.140625" style="98" customWidth="1"/>
    <col min="2819" max="2820" width="9.140625" style="98"/>
    <col min="2821" max="2821" width="11.7109375" style="98" bestFit="1" customWidth="1"/>
    <col min="2822" max="3065" width="9.140625" style="98"/>
    <col min="3066" max="3066" width="24.7109375" style="98" bestFit="1" customWidth="1"/>
    <col min="3067" max="3067" width="14.28515625" style="98" bestFit="1" customWidth="1"/>
    <col min="3068" max="3068" width="12" style="98" bestFit="1" customWidth="1"/>
    <col min="3069" max="3069" width="8.7109375" style="98" bestFit="1" customWidth="1"/>
    <col min="3070" max="3070" width="11.7109375" style="98" bestFit="1" customWidth="1"/>
    <col min="3071" max="3071" width="7.28515625" style="98" bestFit="1" customWidth="1"/>
    <col min="3072" max="3072" width="20.7109375" style="98" customWidth="1"/>
    <col min="3073" max="3073" width="24.7109375" style="98" bestFit="1" customWidth="1"/>
    <col min="3074" max="3074" width="21.140625" style="98" customWidth="1"/>
    <col min="3075" max="3076" width="9.140625" style="98"/>
    <col min="3077" max="3077" width="11.7109375" style="98" bestFit="1" customWidth="1"/>
    <col min="3078" max="3321" width="9.140625" style="98"/>
    <col min="3322" max="3322" width="24.7109375" style="98" bestFit="1" customWidth="1"/>
    <col min="3323" max="3323" width="14.28515625" style="98" bestFit="1" customWidth="1"/>
    <col min="3324" max="3324" width="12" style="98" bestFit="1" customWidth="1"/>
    <col min="3325" max="3325" width="8.7109375" style="98" bestFit="1" customWidth="1"/>
    <col min="3326" max="3326" width="11.7109375" style="98" bestFit="1" customWidth="1"/>
    <col min="3327" max="3327" width="7.28515625" style="98" bestFit="1" customWidth="1"/>
    <col min="3328" max="3328" width="20.7109375" style="98" customWidth="1"/>
    <col min="3329" max="3329" width="24.7109375" style="98" bestFit="1" customWidth="1"/>
    <col min="3330" max="3330" width="21.140625" style="98" customWidth="1"/>
    <col min="3331" max="3332" width="9.140625" style="98"/>
    <col min="3333" max="3333" width="11.7109375" style="98" bestFit="1" customWidth="1"/>
    <col min="3334" max="3577" width="9.140625" style="98"/>
    <col min="3578" max="3578" width="24.7109375" style="98" bestFit="1" customWidth="1"/>
    <col min="3579" max="3579" width="14.28515625" style="98" bestFit="1" customWidth="1"/>
    <col min="3580" max="3580" width="12" style="98" bestFit="1" customWidth="1"/>
    <col min="3581" max="3581" width="8.7109375" style="98" bestFit="1" customWidth="1"/>
    <col min="3582" max="3582" width="11.7109375" style="98" bestFit="1" customWidth="1"/>
    <col min="3583" max="3583" width="7.28515625" style="98" bestFit="1" customWidth="1"/>
    <col min="3584" max="3584" width="20.7109375" style="98" customWidth="1"/>
    <col min="3585" max="3585" width="24.7109375" style="98" bestFit="1" customWidth="1"/>
    <col min="3586" max="3586" width="21.140625" style="98" customWidth="1"/>
    <col min="3587" max="3588" width="9.140625" style="98"/>
    <col min="3589" max="3589" width="11.7109375" style="98" bestFit="1" customWidth="1"/>
    <col min="3590" max="3833" width="9.140625" style="98"/>
    <col min="3834" max="3834" width="24.7109375" style="98" bestFit="1" customWidth="1"/>
    <col min="3835" max="3835" width="14.28515625" style="98" bestFit="1" customWidth="1"/>
    <col min="3836" max="3836" width="12" style="98" bestFit="1" customWidth="1"/>
    <col min="3837" max="3837" width="8.7109375" style="98" bestFit="1" customWidth="1"/>
    <col min="3838" max="3838" width="11.7109375" style="98" bestFit="1" customWidth="1"/>
    <col min="3839" max="3839" width="7.28515625" style="98" bestFit="1" customWidth="1"/>
    <col min="3840" max="3840" width="20.7109375" style="98" customWidth="1"/>
    <col min="3841" max="3841" width="24.7109375" style="98" bestFit="1" customWidth="1"/>
    <col min="3842" max="3842" width="21.140625" style="98" customWidth="1"/>
    <col min="3843" max="3844" width="9.140625" style="98"/>
    <col min="3845" max="3845" width="11.7109375" style="98" bestFit="1" customWidth="1"/>
    <col min="3846" max="4089" width="9.140625" style="98"/>
    <col min="4090" max="4090" width="24.7109375" style="98" bestFit="1" customWidth="1"/>
    <col min="4091" max="4091" width="14.28515625" style="98" bestFit="1" customWidth="1"/>
    <col min="4092" max="4092" width="12" style="98" bestFit="1" customWidth="1"/>
    <col min="4093" max="4093" width="8.7109375" style="98" bestFit="1" customWidth="1"/>
    <col min="4094" max="4094" width="11.7109375" style="98" bestFit="1" customWidth="1"/>
    <col min="4095" max="4095" width="7.28515625" style="98" bestFit="1" customWidth="1"/>
    <col min="4096" max="4096" width="20.7109375" style="98" customWidth="1"/>
    <col min="4097" max="4097" width="24.7109375" style="98" bestFit="1" customWidth="1"/>
    <col min="4098" max="4098" width="21.140625" style="98" customWidth="1"/>
    <col min="4099" max="4100" width="9.140625" style="98"/>
    <col min="4101" max="4101" width="11.7109375" style="98" bestFit="1" customWidth="1"/>
    <col min="4102" max="4345" width="9.140625" style="98"/>
    <col min="4346" max="4346" width="24.7109375" style="98" bestFit="1" customWidth="1"/>
    <col min="4347" max="4347" width="14.28515625" style="98" bestFit="1" customWidth="1"/>
    <col min="4348" max="4348" width="12" style="98" bestFit="1" customWidth="1"/>
    <col min="4349" max="4349" width="8.7109375" style="98" bestFit="1" customWidth="1"/>
    <col min="4350" max="4350" width="11.7109375" style="98" bestFit="1" customWidth="1"/>
    <col min="4351" max="4351" width="7.28515625" style="98" bestFit="1" customWidth="1"/>
    <col min="4352" max="4352" width="20.7109375" style="98" customWidth="1"/>
    <col min="4353" max="4353" width="24.7109375" style="98" bestFit="1" customWidth="1"/>
    <col min="4354" max="4354" width="21.140625" style="98" customWidth="1"/>
    <col min="4355" max="4356" width="9.140625" style="98"/>
    <col min="4357" max="4357" width="11.7109375" style="98" bestFit="1" customWidth="1"/>
    <col min="4358" max="4601" width="9.140625" style="98"/>
    <col min="4602" max="4602" width="24.7109375" style="98" bestFit="1" customWidth="1"/>
    <col min="4603" max="4603" width="14.28515625" style="98" bestFit="1" customWidth="1"/>
    <col min="4604" max="4604" width="12" style="98" bestFit="1" customWidth="1"/>
    <col min="4605" max="4605" width="8.7109375" style="98" bestFit="1" customWidth="1"/>
    <col min="4606" max="4606" width="11.7109375" style="98" bestFit="1" customWidth="1"/>
    <col min="4607" max="4607" width="7.28515625" style="98" bestFit="1" customWidth="1"/>
    <col min="4608" max="4608" width="20.7109375" style="98" customWidth="1"/>
    <col min="4609" max="4609" width="24.7109375" style="98" bestFit="1" customWidth="1"/>
    <col min="4610" max="4610" width="21.140625" style="98" customWidth="1"/>
    <col min="4611" max="4612" width="9.140625" style="98"/>
    <col min="4613" max="4613" width="11.7109375" style="98" bestFit="1" customWidth="1"/>
    <col min="4614" max="4857" width="9.140625" style="98"/>
    <col min="4858" max="4858" width="24.7109375" style="98" bestFit="1" customWidth="1"/>
    <col min="4859" max="4859" width="14.28515625" style="98" bestFit="1" customWidth="1"/>
    <col min="4860" max="4860" width="12" style="98" bestFit="1" customWidth="1"/>
    <col min="4861" max="4861" width="8.7109375" style="98" bestFit="1" customWidth="1"/>
    <col min="4862" max="4862" width="11.7109375" style="98" bestFit="1" customWidth="1"/>
    <col min="4863" max="4863" width="7.28515625" style="98" bestFit="1" customWidth="1"/>
    <col min="4864" max="4864" width="20.7109375" style="98" customWidth="1"/>
    <col min="4865" max="4865" width="24.7109375" style="98" bestFit="1" customWidth="1"/>
    <col min="4866" max="4866" width="21.140625" style="98" customWidth="1"/>
    <col min="4867" max="4868" width="9.140625" style="98"/>
    <col min="4869" max="4869" width="11.7109375" style="98" bestFit="1" customWidth="1"/>
    <col min="4870" max="5113" width="9.140625" style="98"/>
    <col min="5114" max="5114" width="24.7109375" style="98" bestFit="1" customWidth="1"/>
    <col min="5115" max="5115" width="14.28515625" style="98" bestFit="1" customWidth="1"/>
    <col min="5116" max="5116" width="12" style="98" bestFit="1" customWidth="1"/>
    <col min="5117" max="5117" width="8.7109375" style="98" bestFit="1" customWidth="1"/>
    <col min="5118" max="5118" width="11.7109375" style="98" bestFit="1" customWidth="1"/>
    <col min="5119" max="5119" width="7.28515625" style="98" bestFit="1" customWidth="1"/>
    <col min="5120" max="5120" width="20.7109375" style="98" customWidth="1"/>
    <col min="5121" max="5121" width="24.7109375" style="98" bestFit="1" customWidth="1"/>
    <col min="5122" max="5122" width="21.140625" style="98" customWidth="1"/>
    <col min="5123" max="5124" width="9.140625" style="98"/>
    <col min="5125" max="5125" width="11.7109375" style="98" bestFit="1" customWidth="1"/>
    <col min="5126" max="5369" width="9.140625" style="98"/>
    <col min="5370" max="5370" width="24.7109375" style="98" bestFit="1" customWidth="1"/>
    <col min="5371" max="5371" width="14.28515625" style="98" bestFit="1" customWidth="1"/>
    <col min="5372" max="5372" width="12" style="98" bestFit="1" customWidth="1"/>
    <col min="5373" max="5373" width="8.7109375" style="98" bestFit="1" customWidth="1"/>
    <col min="5374" max="5374" width="11.7109375" style="98" bestFit="1" customWidth="1"/>
    <col min="5375" max="5375" width="7.28515625" style="98" bestFit="1" customWidth="1"/>
    <col min="5376" max="5376" width="20.7109375" style="98" customWidth="1"/>
    <col min="5377" max="5377" width="24.7109375" style="98" bestFit="1" customWidth="1"/>
    <col min="5378" max="5378" width="21.140625" style="98" customWidth="1"/>
    <col min="5379" max="5380" width="9.140625" style="98"/>
    <col min="5381" max="5381" width="11.7109375" style="98" bestFit="1" customWidth="1"/>
    <col min="5382" max="5625" width="9.140625" style="98"/>
    <col min="5626" max="5626" width="24.7109375" style="98" bestFit="1" customWidth="1"/>
    <col min="5627" max="5627" width="14.28515625" style="98" bestFit="1" customWidth="1"/>
    <col min="5628" max="5628" width="12" style="98" bestFit="1" customWidth="1"/>
    <col min="5629" max="5629" width="8.7109375" style="98" bestFit="1" customWidth="1"/>
    <col min="5630" max="5630" width="11.7109375" style="98" bestFit="1" customWidth="1"/>
    <col min="5631" max="5631" width="7.28515625" style="98" bestFit="1" customWidth="1"/>
    <col min="5632" max="5632" width="20.7109375" style="98" customWidth="1"/>
    <col min="5633" max="5633" width="24.7109375" style="98" bestFit="1" customWidth="1"/>
    <col min="5634" max="5634" width="21.140625" style="98" customWidth="1"/>
    <col min="5635" max="5636" width="9.140625" style="98"/>
    <col min="5637" max="5637" width="11.7109375" style="98" bestFit="1" customWidth="1"/>
    <col min="5638" max="5881" width="9.140625" style="98"/>
    <col min="5882" max="5882" width="24.7109375" style="98" bestFit="1" customWidth="1"/>
    <col min="5883" max="5883" width="14.28515625" style="98" bestFit="1" customWidth="1"/>
    <col min="5884" max="5884" width="12" style="98" bestFit="1" customWidth="1"/>
    <col min="5885" max="5885" width="8.7109375" style="98" bestFit="1" customWidth="1"/>
    <col min="5886" max="5886" width="11.7109375" style="98" bestFit="1" customWidth="1"/>
    <col min="5887" max="5887" width="7.28515625" style="98" bestFit="1" customWidth="1"/>
    <col min="5888" max="5888" width="20.7109375" style="98" customWidth="1"/>
    <col min="5889" max="5889" width="24.7109375" style="98" bestFit="1" customWidth="1"/>
    <col min="5890" max="5890" width="21.140625" style="98" customWidth="1"/>
    <col min="5891" max="5892" width="9.140625" style="98"/>
    <col min="5893" max="5893" width="11.7109375" style="98" bestFit="1" customWidth="1"/>
    <col min="5894" max="6137" width="9.140625" style="98"/>
    <col min="6138" max="6138" width="24.7109375" style="98" bestFit="1" customWidth="1"/>
    <col min="6139" max="6139" width="14.28515625" style="98" bestFit="1" customWidth="1"/>
    <col min="6140" max="6140" width="12" style="98" bestFit="1" customWidth="1"/>
    <col min="6141" max="6141" width="8.7109375" style="98" bestFit="1" customWidth="1"/>
    <col min="6142" max="6142" width="11.7109375" style="98" bestFit="1" customWidth="1"/>
    <col min="6143" max="6143" width="7.28515625" style="98" bestFit="1" customWidth="1"/>
    <col min="6144" max="6144" width="20.7109375" style="98" customWidth="1"/>
    <col min="6145" max="6145" width="24.7109375" style="98" bestFit="1" customWidth="1"/>
    <col min="6146" max="6146" width="21.140625" style="98" customWidth="1"/>
    <col min="6147" max="6148" width="9.140625" style="98"/>
    <col min="6149" max="6149" width="11.7109375" style="98" bestFit="1" customWidth="1"/>
    <col min="6150" max="6393" width="9.140625" style="98"/>
    <col min="6394" max="6394" width="24.7109375" style="98" bestFit="1" customWidth="1"/>
    <col min="6395" max="6395" width="14.28515625" style="98" bestFit="1" customWidth="1"/>
    <col min="6396" max="6396" width="12" style="98" bestFit="1" customWidth="1"/>
    <col min="6397" max="6397" width="8.7109375" style="98" bestFit="1" customWidth="1"/>
    <col min="6398" max="6398" width="11.7109375" style="98" bestFit="1" customWidth="1"/>
    <col min="6399" max="6399" width="7.28515625" style="98" bestFit="1" customWidth="1"/>
    <col min="6400" max="6400" width="20.7109375" style="98" customWidth="1"/>
    <col min="6401" max="6401" width="24.7109375" style="98" bestFit="1" customWidth="1"/>
    <col min="6402" max="6402" width="21.140625" style="98" customWidth="1"/>
    <col min="6403" max="6404" width="9.140625" style="98"/>
    <col min="6405" max="6405" width="11.7109375" style="98" bestFit="1" customWidth="1"/>
    <col min="6406" max="6649" width="9.140625" style="98"/>
    <col min="6650" max="6650" width="24.7109375" style="98" bestFit="1" customWidth="1"/>
    <col min="6651" max="6651" width="14.28515625" style="98" bestFit="1" customWidth="1"/>
    <col min="6652" max="6652" width="12" style="98" bestFit="1" customWidth="1"/>
    <col min="6653" max="6653" width="8.7109375" style="98" bestFit="1" customWidth="1"/>
    <col min="6654" max="6654" width="11.7109375" style="98" bestFit="1" customWidth="1"/>
    <col min="6655" max="6655" width="7.28515625" style="98" bestFit="1" customWidth="1"/>
    <col min="6656" max="6656" width="20.7109375" style="98" customWidth="1"/>
    <col min="6657" max="6657" width="24.7109375" style="98" bestFit="1" customWidth="1"/>
    <col min="6658" max="6658" width="21.140625" style="98" customWidth="1"/>
    <col min="6659" max="6660" width="9.140625" style="98"/>
    <col min="6661" max="6661" width="11.7109375" style="98" bestFit="1" customWidth="1"/>
    <col min="6662" max="6905" width="9.140625" style="98"/>
    <col min="6906" max="6906" width="24.7109375" style="98" bestFit="1" customWidth="1"/>
    <col min="6907" max="6907" width="14.28515625" style="98" bestFit="1" customWidth="1"/>
    <col min="6908" max="6908" width="12" style="98" bestFit="1" customWidth="1"/>
    <col min="6909" max="6909" width="8.7109375" style="98" bestFit="1" customWidth="1"/>
    <col min="6910" max="6910" width="11.7109375" style="98" bestFit="1" customWidth="1"/>
    <col min="6911" max="6911" width="7.28515625" style="98" bestFit="1" customWidth="1"/>
    <col min="6912" max="6912" width="20.7109375" style="98" customWidth="1"/>
    <col min="6913" max="6913" width="24.7109375" style="98" bestFit="1" customWidth="1"/>
    <col min="6914" max="6914" width="21.140625" style="98" customWidth="1"/>
    <col min="6915" max="6916" width="9.140625" style="98"/>
    <col min="6917" max="6917" width="11.7109375" style="98" bestFit="1" customWidth="1"/>
    <col min="6918" max="7161" width="9.140625" style="98"/>
    <col min="7162" max="7162" width="24.7109375" style="98" bestFit="1" customWidth="1"/>
    <col min="7163" max="7163" width="14.28515625" style="98" bestFit="1" customWidth="1"/>
    <col min="7164" max="7164" width="12" style="98" bestFit="1" customWidth="1"/>
    <col min="7165" max="7165" width="8.7109375" style="98" bestFit="1" customWidth="1"/>
    <col min="7166" max="7166" width="11.7109375" style="98" bestFit="1" customWidth="1"/>
    <col min="7167" max="7167" width="7.28515625" style="98" bestFit="1" customWidth="1"/>
    <col min="7168" max="7168" width="20.7109375" style="98" customWidth="1"/>
    <col min="7169" max="7169" width="24.7109375" style="98" bestFit="1" customWidth="1"/>
    <col min="7170" max="7170" width="21.140625" style="98" customWidth="1"/>
    <col min="7171" max="7172" width="9.140625" style="98"/>
    <col min="7173" max="7173" width="11.7109375" style="98" bestFit="1" customWidth="1"/>
    <col min="7174" max="7417" width="9.140625" style="98"/>
    <col min="7418" max="7418" width="24.7109375" style="98" bestFit="1" customWidth="1"/>
    <col min="7419" max="7419" width="14.28515625" style="98" bestFit="1" customWidth="1"/>
    <col min="7420" max="7420" width="12" style="98" bestFit="1" customWidth="1"/>
    <col min="7421" max="7421" width="8.7109375" style="98" bestFit="1" customWidth="1"/>
    <col min="7422" max="7422" width="11.7109375" style="98" bestFit="1" customWidth="1"/>
    <col min="7423" max="7423" width="7.28515625" style="98" bestFit="1" customWidth="1"/>
    <col min="7424" max="7424" width="20.7109375" style="98" customWidth="1"/>
    <col min="7425" max="7425" width="24.7109375" style="98" bestFit="1" customWidth="1"/>
    <col min="7426" max="7426" width="21.140625" style="98" customWidth="1"/>
    <col min="7427" max="7428" width="9.140625" style="98"/>
    <col min="7429" max="7429" width="11.7109375" style="98" bestFit="1" customWidth="1"/>
    <col min="7430" max="7673" width="9.140625" style="98"/>
    <col min="7674" max="7674" width="24.7109375" style="98" bestFit="1" customWidth="1"/>
    <col min="7675" max="7675" width="14.28515625" style="98" bestFit="1" customWidth="1"/>
    <col min="7676" max="7676" width="12" style="98" bestFit="1" customWidth="1"/>
    <col min="7677" max="7677" width="8.7109375" style="98" bestFit="1" customWidth="1"/>
    <col min="7678" max="7678" width="11.7109375" style="98" bestFit="1" customWidth="1"/>
    <col min="7679" max="7679" width="7.28515625" style="98" bestFit="1" customWidth="1"/>
    <col min="7680" max="7680" width="20.7109375" style="98" customWidth="1"/>
    <col min="7681" max="7681" width="24.7109375" style="98" bestFit="1" customWidth="1"/>
    <col min="7682" max="7682" width="21.140625" style="98" customWidth="1"/>
    <col min="7683" max="7684" width="9.140625" style="98"/>
    <col min="7685" max="7685" width="11.7109375" style="98" bestFit="1" customWidth="1"/>
    <col min="7686" max="7929" width="9.140625" style="98"/>
    <col min="7930" max="7930" width="24.7109375" style="98" bestFit="1" customWidth="1"/>
    <col min="7931" max="7931" width="14.28515625" style="98" bestFit="1" customWidth="1"/>
    <col min="7932" max="7932" width="12" style="98" bestFit="1" customWidth="1"/>
    <col min="7933" max="7933" width="8.7109375" style="98" bestFit="1" customWidth="1"/>
    <col min="7934" max="7934" width="11.7109375" style="98" bestFit="1" customWidth="1"/>
    <col min="7935" max="7935" width="7.28515625" style="98" bestFit="1" customWidth="1"/>
    <col min="7936" max="7936" width="20.7109375" style="98" customWidth="1"/>
    <col min="7937" max="7937" width="24.7109375" style="98" bestFit="1" customWidth="1"/>
    <col min="7938" max="7938" width="21.140625" style="98" customWidth="1"/>
    <col min="7939" max="7940" width="9.140625" style="98"/>
    <col min="7941" max="7941" width="11.7109375" style="98" bestFit="1" customWidth="1"/>
    <col min="7942" max="8185" width="9.140625" style="98"/>
    <col min="8186" max="8186" width="24.7109375" style="98" bestFit="1" customWidth="1"/>
    <col min="8187" max="8187" width="14.28515625" style="98" bestFit="1" customWidth="1"/>
    <col min="8188" max="8188" width="12" style="98" bestFit="1" customWidth="1"/>
    <col min="8189" max="8189" width="8.7109375" style="98" bestFit="1" customWidth="1"/>
    <col min="8190" max="8190" width="11.7109375" style="98" bestFit="1" customWidth="1"/>
    <col min="8191" max="8191" width="7.28515625" style="98" bestFit="1" customWidth="1"/>
    <col min="8192" max="8192" width="20.7109375" style="98" customWidth="1"/>
    <col min="8193" max="8193" width="24.7109375" style="98" bestFit="1" customWidth="1"/>
    <col min="8194" max="8194" width="21.140625" style="98" customWidth="1"/>
    <col min="8195" max="8196" width="9.140625" style="98"/>
    <col min="8197" max="8197" width="11.7109375" style="98" bestFit="1" customWidth="1"/>
    <col min="8198" max="8441" width="9.140625" style="98"/>
    <col min="8442" max="8442" width="24.7109375" style="98" bestFit="1" customWidth="1"/>
    <col min="8443" max="8443" width="14.28515625" style="98" bestFit="1" customWidth="1"/>
    <col min="8444" max="8444" width="12" style="98" bestFit="1" customWidth="1"/>
    <col min="8445" max="8445" width="8.7109375" style="98" bestFit="1" customWidth="1"/>
    <col min="8446" max="8446" width="11.7109375" style="98" bestFit="1" customWidth="1"/>
    <col min="8447" max="8447" width="7.28515625" style="98" bestFit="1" customWidth="1"/>
    <col min="8448" max="8448" width="20.7109375" style="98" customWidth="1"/>
    <col min="8449" max="8449" width="24.7109375" style="98" bestFit="1" customWidth="1"/>
    <col min="8450" max="8450" width="21.140625" style="98" customWidth="1"/>
    <col min="8451" max="8452" width="9.140625" style="98"/>
    <col min="8453" max="8453" width="11.7109375" style="98" bestFit="1" customWidth="1"/>
    <col min="8454" max="8697" width="9.140625" style="98"/>
    <col min="8698" max="8698" width="24.7109375" style="98" bestFit="1" customWidth="1"/>
    <col min="8699" max="8699" width="14.28515625" style="98" bestFit="1" customWidth="1"/>
    <col min="8700" max="8700" width="12" style="98" bestFit="1" customWidth="1"/>
    <col min="8701" max="8701" width="8.7109375" style="98" bestFit="1" customWidth="1"/>
    <col min="8702" max="8702" width="11.7109375" style="98" bestFit="1" customWidth="1"/>
    <col min="8703" max="8703" width="7.28515625" style="98" bestFit="1" customWidth="1"/>
    <col min="8704" max="8704" width="20.7109375" style="98" customWidth="1"/>
    <col min="8705" max="8705" width="24.7109375" style="98" bestFit="1" customWidth="1"/>
    <col min="8706" max="8706" width="21.140625" style="98" customWidth="1"/>
    <col min="8707" max="8708" width="9.140625" style="98"/>
    <col min="8709" max="8709" width="11.7109375" style="98" bestFit="1" customWidth="1"/>
    <col min="8710" max="8953" width="9.140625" style="98"/>
    <col min="8954" max="8954" width="24.7109375" style="98" bestFit="1" customWidth="1"/>
    <col min="8955" max="8955" width="14.28515625" style="98" bestFit="1" customWidth="1"/>
    <col min="8956" max="8956" width="12" style="98" bestFit="1" customWidth="1"/>
    <col min="8957" max="8957" width="8.7109375" style="98" bestFit="1" customWidth="1"/>
    <col min="8958" max="8958" width="11.7109375" style="98" bestFit="1" customWidth="1"/>
    <col min="8959" max="8959" width="7.28515625" style="98" bestFit="1" customWidth="1"/>
    <col min="8960" max="8960" width="20.7109375" style="98" customWidth="1"/>
    <col min="8961" max="8961" width="24.7109375" style="98" bestFit="1" customWidth="1"/>
    <col min="8962" max="8962" width="21.140625" style="98" customWidth="1"/>
    <col min="8963" max="8964" width="9.140625" style="98"/>
    <col min="8965" max="8965" width="11.7109375" style="98" bestFit="1" customWidth="1"/>
    <col min="8966" max="9209" width="9.140625" style="98"/>
    <col min="9210" max="9210" width="24.7109375" style="98" bestFit="1" customWidth="1"/>
    <col min="9211" max="9211" width="14.28515625" style="98" bestFit="1" customWidth="1"/>
    <col min="9212" max="9212" width="12" style="98" bestFit="1" customWidth="1"/>
    <col min="9213" max="9213" width="8.7109375" style="98" bestFit="1" customWidth="1"/>
    <col min="9214" max="9214" width="11.7109375" style="98" bestFit="1" customWidth="1"/>
    <col min="9215" max="9215" width="7.28515625" style="98" bestFit="1" customWidth="1"/>
    <col min="9216" max="9216" width="20.7109375" style="98" customWidth="1"/>
    <col min="9217" max="9217" width="24.7109375" style="98" bestFit="1" customWidth="1"/>
    <col min="9218" max="9218" width="21.140625" style="98" customWidth="1"/>
    <col min="9219" max="9220" width="9.140625" style="98"/>
    <col min="9221" max="9221" width="11.7109375" style="98" bestFit="1" customWidth="1"/>
    <col min="9222" max="9465" width="9.140625" style="98"/>
    <col min="9466" max="9466" width="24.7109375" style="98" bestFit="1" customWidth="1"/>
    <col min="9467" max="9467" width="14.28515625" style="98" bestFit="1" customWidth="1"/>
    <col min="9468" max="9468" width="12" style="98" bestFit="1" customWidth="1"/>
    <col min="9469" max="9469" width="8.7109375" style="98" bestFit="1" customWidth="1"/>
    <col min="9470" max="9470" width="11.7109375" style="98" bestFit="1" customWidth="1"/>
    <col min="9471" max="9471" width="7.28515625" style="98" bestFit="1" customWidth="1"/>
    <col min="9472" max="9472" width="20.7109375" style="98" customWidth="1"/>
    <col min="9473" max="9473" width="24.7109375" style="98" bestFit="1" customWidth="1"/>
    <col min="9474" max="9474" width="21.140625" style="98" customWidth="1"/>
    <col min="9475" max="9476" width="9.140625" style="98"/>
    <col min="9477" max="9477" width="11.7109375" style="98" bestFit="1" customWidth="1"/>
    <col min="9478" max="9721" width="9.140625" style="98"/>
    <col min="9722" max="9722" width="24.7109375" style="98" bestFit="1" customWidth="1"/>
    <col min="9723" max="9723" width="14.28515625" style="98" bestFit="1" customWidth="1"/>
    <col min="9724" max="9724" width="12" style="98" bestFit="1" customWidth="1"/>
    <col min="9725" max="9725" width="8.7109375" style="98" bestFit="1" customWidth="1"/>
    <col min="9726" max="9726" width="11.7109375" style="98" bestFit="1" customWidth="1"/>
    <col min="9727" max="9727" width="7.28515625" style="98" bestFit="1" customWidth="1"/>
    <col min="9728" max="9728" width="20.7109375" style="98" customWidth="1"/>
    <col min="9729" max="9729" width="24.7109375" style="98" bestFit="1" customWidth="1"/>
    <col min="9730" max="9730" width="21.140625" style="98" customWidth="1"/>
    <col min="9731" max="9732" width="9.140625" style="98"/>
    <col min="9733" max="9733" width="11.7109375" style="98" bestFit="1" customWidth="1"/>
    <col min="9734" max="9977" width="9.140625" style="98"/>
    <col min="9978" max="9978" width="24.7109375" style="98" bestFit="1" customWidth="1"/>
    <col min="9979" max="9979" width="14.28515625" style="98" bestFit="1" customWidth="1"/>
    <col min="9980" max="9980" width="12" style="98" bestFit="1" customWidth="1"/>
    <col min="9981" max="9981" width="8.7109375" style="98" bestFit="1" customWidth="1"/>
    <col min="9982" max="9982" width="11.7109375" style="98" bestFit="1" customWidth="1"/>
    <col min="9983" max="9983" width="7.28515625" style="98" bestFit="1" customWidth="1"/>
    <col min="9984" max="9984" width="20.7109375" style="98" customWidth="1"/>
    <col min="9985" max="9985" width="24.7109375" style="98" bestFit="1" customWidth="1"/>
    <col min="9986" max="9986" width="21.140625" style="98" customWidth="1"/>
    <col min="9987" max="9988" width="9.140625" style="98"/>
    <col min="9989" max="9989" width="11.7109375" style="98" bestFit="1" customWidth="1"/>
    <col min="9990" max="10233" width="9.140625" style="98"/>
    <col min="10234" max="10234" width="24.7109375" style="98" bestFit="1" customWidth="1"/>
    <col min="10235" max="10235" width="14.28515625" style="98" bestFit="1" customWidth="1"/>
    <col min="10236" max="10236" width="12" style="98" bestFit="1" customWidth="1"/>
    <col min="10237" max="10237" width="8.7109375" style="98" bestFit="1" customWidth="1"/>
    <col min="10238" max="10238" width="11.7109375" style="98" bestFit="1" customWidth="1"/>
    <col min="10239" max="10239" width="7.28515625" style="98" bestFit="1" customWidth="1"/>
    <col min="10240" max="10240" width="20.7109375" style="98" customWidth="1"/>
    <col min="10241" max="10241" width="24.7109375" style="98" bestFit="1" customWidth="1"/>
    <col min="10242" max="10242" width="21.140625" style="98" customWidth="1"/>
    <col min="10243" max="10244" width="9.140625" style="98"/>
    <col min="10245" max="10245" width="11.7109375" style="98" bestFit="1" customWidth="1"/>
    <col min="10246" max="10489" width="9.140625" style="98"/>
    <col min="10490" max="10490" width="24.7109375" style="98" bestFit="1" customWidth="1"/>
    <col min="10491" max="10491" width="14.28515625" style="98" bestFit="1" customWidth="1"/>
    <col min="10492" max="10492" width="12" style="98" bestFit="1" customWidth="1"/>
    <col min="10493" max="10493" width="8.7109375" style="98" bestFit="1" customWidth="1"/>
    <col min="10494" max="10494" width="11.7109375" style="98" bestFit="1" customWidth="1"/>
    <col min="10495" max="10495" width="7.28515625" style="98" bestFit="1" customWidth="1"/>
    <col min="10496" max="10496" width="20.7109375" style="98" customWidth="1"/>
    <col min="10497" max="10497" width="24.7109375" style="98" bestFit="1" customWidth="1"/>
    <col min="10498" max="10498" width="21.140625" style="98" customWidth="1"/>
    <col min="10499" max="10500" width="9.140625" style="98"/>
    <col min="10501" max="10501" width="11.7109375" style="98" bestFit="1" customWidth="1"/>
    <col min="10502" max="10745" width="9.140625" style="98"/>
    <col min="10746" max="10746" width="24.7109375" style="98" bestFit="1" customWidth="1"/>
    <col min="10747" max="10747" width="14.28515625" style="98" bestFit="1" customWidth="1"/>
    <col min="10748" max="10748" width="12" style="98" bestFit="1" customWidth="1"/>
    <col min="10749" max="10749" width="8.7109375" style="98" bestFit="1" customWidth="1"/>
    <col min="10750" max="10750" width="11.7109375" style="98" bestFit="1" customWidth="1"/>
    <col min="10751" max="10751" width="7.28515625" style="98" bestFit="1" customWidth="1"/>
    <col min="10752" max="10752" width="20.7109375" style="98" customWidth="1"/>
    <col min="10753" max="10753" width="24.7109375" style="98" bestFit="1" customWidth="1"/>
    <col min="10754" max="10754" width="21.140625" style="98" customWidth="1"/>
    <col min="10755" max="10756" width="9.140625" style="98"/>
    <col min="10757" max="10757" width="11.7109375" style="98" bestFit="1" customWidth="1"/>
    <col min="10758" max="11001" width="9.140625" style="98"/>
    <col min="11002" max="11002" width="24.7109375" style="98" bestFit="1" customWidth="1"/>
    <col min="11003" max="11003" width="14.28515625" style="98" bestFit="1" customWidth="1"/>
    <col min="11004" max="11004" width="12" style="98" bestFit="1" customWidth="1"/>
    <col min="11005" max="11005" width="8.7109375" style="98" bestFit="1" customWidth="1"/>
    <col min="11006" max="11006" width="11.7109375" style="98" bestFit="1" customWidth="1"/>
    <col min="11007" max="11007" width="7.28515625" style="98" bestFit="1" customWidth="1"/>
    <col min="11008" max="11008" width="20.7109375" style="98" customWidth="1"/>
    <col min="11009" max="11009" width="24.7109375" style="98" bestFit="1" customWidth="1"/>
    <col min="11010" max="11010" width="21.140625" style="98" customWidth="1"/>
    <col min="11011" max="11012" width="9.140625" style="98"/>
    <col min="11013" max="11013" width="11.7109375" style="98" bestFit="1" customWidth="1"/>
    <col min="11014" max="11257" width="9.140625" style="98"/>
    <col min="11258" max="11258" width="24.7109375" style="98" bestFit="1" customWidth="1"/>
    <col min="11259" max="11259" width="14.28515625" style="98" bestFit="1" customWidth="1"/>
    <col min="11260" max="11260" width="12" style="98" bestFit="1" customWidth="1"/>
    <col min="11261" max="11261" width="8.7109375" style="98" bestFit="1" customWidth="1"/>
    <col min="11262" max="11262" width="11.7109375" style="98" bestFit="1" customWidth="1"/>
    <col min="11263" max="11263" width="7.28515625" style="98" bestFit="1" customWidth="1"/>
    <col min="11264" max="11264" width="20.7109375" style="98" customWidth="1"/>
    <col min="11265" max="11265" width="24.7109375" style="98" bestFit="1" customWidth="1"/>
    <col min="11266" max="11266" width="21.140625" style="98" customWidth="1"/>
    <col min="11267" max="11268" width="9.140625" style="98"/>
    <col min="11269" max="11269" width="11.7109375" style="98" bestFit="1" customWidth="1"/>
    <col min="11270" max="11513" width="9.140625" style="98"/>
    <col min="11514" max="11514" width="24.7109375" style="98" bestFit="1" customWidth="1"/>
    <col min="11515" max="11515" width="14.28515625" style="98" bestFit="1" customWidth="1"/>
    <col min="11516" max="11516" width="12" style="98" bestFit="1" customWidth="1"/>
    <col min="11517" max="11517" width="8.7109375" style="98" bestFit="1" customWidth="1"/>
    <col min="11518" max="11518" width="11.7109375" style="98" bestFit="1" customWidth="1"/>
    <col min="11519" max="11519" width="7.28515625" style="98" bestFit="1" customWidth="1"/>
    <col min="11520" max="11520" width="20.7109375" style="98" customWidth="1"/>
    <col min="11521" max="11521" width="24.7109375" style="98" bestFit="1" customWidth="1"/>
    <col min="11522" max="11522" width="21.140625" style="98" customWidth="1"/>
    <col min="11523" max="11524" width="9.140625" style="98"/>
    <col min="11525" max="11525" width="11.7109375" style="98" bestFit="1" customWidth="1"/>
    <col min="11526" max="11769" width="9.140625" style="98"/>
    <col min="11770" max="11770" width="24.7109375" style="98" bestFit="1" customWidth="1"/>
    <col min="11771" max="11771" width="14.28515625" style="98" bestFit="1" customWidth="1"/>
    <col min="11772" max="11772" width="12" style="98" bestFit="1" customWidth="1"/>
    <col min="11773" max="11773" width="8.7109375" style="98" bestFit="1" customWidth="1"/>
    <col min="11774" max="11774" width="11.7109375" style="98" bestFit="1" customWidth="1"/>
    <col min="11775" max="11775" width="7.28515625" style="98" bestFit="1" customWidth="1"/>
    <col min="11776" max="11776" width="20.7109375" style="98" customWidth="1"/>
    <col min="11777" max="11777" width="24.7109375" style="98" bestFit="1" customWidth="1"/>
    <col min="11778" max="11778" width="21.140625" style="98" customWidth="1"/>
    <col min="11779" max="11780" width="9.140625" style="98"/>
    <col min="11781" max="11781" width="11.7109375" style="98" bestFit="1" customWidth="1"/>
    <col min="11782" max="12025" width="9.140625" style="98"/>
    <col min="12026" max="12026" width="24.7109375" style="98" bestFit="1" customWidth="1"/>
    <col min="12027" max="12027" width="14.28515625" style="98" bestFit="1" customWidth="1"/>
    <col min="12028" max="12028" width="12" style="98" bestFit="1" customWidth="1"/>
    <col min="12029" max="12029" width="8.7109375" style="98" bestFit="1" customWidth="1"/>
    <col min="12030" max="12030" width="11.7109375" style="98" bestFit="1" customWidth="1"/>
    <col min="12031" max="12031" width="7.28515625" style="98" bestFit="1" customWidth="1"/>
    <col min="12032" max="12032" width="20.7109375" style="98" customWidth="1"/>
    <col min="12033" max="12033" width="24.7109375" style="98" bestFit="1" customWidth="1"/>
    <col min="12034" max="12034" width="21.140625" style="98" customWidth="1"/>
    <col min="12035" max="12036" width="9.140625" style="98"/>
    <col min="12037" max="12037" width="11.7109375" style="98" bestFit="1" customWidth="1"/>
    <col min="12038" max="12281" width="9.140625" style="98"/>
    <col min="12282" max="12282" width="24.7109375" style="98" bestFit="1" customWidth="1"/>
    <col min="12283" max="12283" width="14.28515625" style="98" bestFit="1" customWidth="1"/>
    <col min="12284" max="12284" width="12" style="98" bestFit="1" customWidth="1"/>
    <col min="12285" max="12285" width="8.7109375" style="98" bestFit="1" customWidth="1"/>
    <col min="12286" max="12286" width="11.7109375" style="98" bestFit="1" customWidth="1"/>
    <col min="12287" max="12287" width="7.28515625" style="98" bestFit="1" customWidth="1"/>
    <col min="12288" max="12288" width="20.7109375" style="98" customWidth="1"/>
    <col min="12289" max="12289" width="24.7109375" style="98" bestFit="1" customWidth="1"/>
    <col min="12290" max="12290" width="21.140625" style="98" customWidth="1"/>
    <col min="12291" max="12292" width="9.140625" style="98"/>
    <col min="12293" max="12293" width="11.7109375" style="98" bestFit="1" customWidth="1"/>
    <col min="12294" max="12537" width="9.140625" style="98"/>
    <col min="12538" max="12538" width="24.7109375" style="98" bestFit="1" customWidth="1"/>
    <col min="12539" max="12539" width="14.28515625" style="98" bestFit="1" customWidth="1"/>
    <col min="12540" max="12540" width="12" style="98" bestFit="1" customWidth="1"/>
    <col min="12541" max="12541" width="8.7109375" style="98" bestFit="1" customWidth="1"/>
    <col min="12542" max="12542" width="11.7109375" style="98" bestFit="1" customWidth="1"/>
    <col min="12543" max="12543" width="7.28515625" style="98" bestFit="1" customWidth="1"/>
    <col min="12544" max="12544" width="20.7109375" style="98" customWidth="1"/>
    <col min="12545" max="12545" width="24.7109375" style="98" bestFit="1" customWidth="1"/>
    <col min="12546" max="12546" width="21.140625" style="98" customWidth="1"/>
    <col min="12547" max="12548" width="9.140625" style="98"/>
    <col min="12549" max="12549" width="11.7109375" style="98" bestFit="1" customWidth="1"/>
    <col min="12550" max="12793" width="9.140625" style="98"/>
    <col min="12794" max="12794" width="24.7109375" style="98" bestFit="1" customWidth="1"/>
    <col min="12795" max="12795" width="14.28515625" style="98" bestFit="1" customWidth="1"/>
    <col min="12796" max="12796" width="12" style="98" bestFit="1" customWidth="1"/>
    <col min="12797" max="12797" width="8.7109375" style="98" bestFit="1" customWidth="1"/>
    <col min="12798" max="12798" width="11.7109375" style="98" bestFit="1" customWidth="1"/>
    <col min="12799" max="12799" width="7.28515625" style="98" bestFit="1" customWidth="1"/>
    <col min="12800" max="12800" width="20.7109375" style="98" customWidth="1"/>
    <col min="12801" max="12801" width="24.7109375" style="98" bestFit="1" customWidth="1"/>
    <col min="12802" max="12802" width="21.140625" style="98" customWidth="1"/>
    <col min="12803" max="12804" width="9.140625" style="98"/>
    <col min="12805" max="12805" width="11.7109375" style="98" bestFit="1" customWidth="1"/>
    <col min="12806" max="13049" width="9.140625" style="98"/>
    <col min="13050" max="13050" width="24.7109375" style="98" bestFit="1" customWidth="1"/>
    <col min="13051" max="13051" width="14.28515625" style="98" bestFit="1" customWidth="1"/>
    <col min="13052" max="13052" width="12" style="98" bestFit="1" customWidth="1"/>
    <col min="13053" max="13053" width="8.7109375" style="98" bestFit="1" customWidth="1"/>
    <col min="13054" max="13054" width="11.7109375" style="98" bestFit="1" customWidth="1"/>
    <col min="13055" max="13055" width="7.28515625" style="98" bestFit="1" customWidth="1"/>
    <col min="13056" max="13056" width="20.7109375" style="98" customWidth="1"/>
    <col min="13057" max="13057" width="24.7109375" style="98" bestFit="1" customWidth="1"/>
    <col min="13058" max="13058" width="21.140625" style="98" customWidth="1"/>
    <col min="13059" max="13060" width="9.140625" style="98"/>
    <col min="13061" max="13061" width="11.7109375" style="98" bestFit="1" customWidth="1"/>
    <col min="13062" max="13305" width="9.140625" style="98"/>
    <col min="13306" max="13306" width="24.7109375" style="98" bestFit="1" customWidth="1"/>
    <col min="13307" max="13307" width="14.28515625" style="98" bestFit="1" customWidth="1"/>
    <col min="13308" max="13308" width="12" style="98" bestFit="1" customWidth="1"/>
    <col min="13309" max="13309" width="8.7109375" style="98" bestFit="1" customWidth="1"/>
    <col min="13310" max="13310" width="11.7109375" style="98" bestFit="1" customWidth="1"/>
    <col min="13311" max="13311" width="7.28515625" style="98" bestFit="1" customWidth="1"/>
    <col min="13312" max="13312" width="20.7109375" style="98" customWidth="1"/>
    <col min="13313" max="13313" width="24.7109375" style="98" bestFit="1" customWidth="1"/>
    <col min="13314" max="13314" width="21.140625" style="98" customWidth="1"/>
    <col min="13315" max="13316" width="9.140625" style="98"/>
    <col min="13317" max="13317" width="11.7109375" style="98" bestFit="1" customWidth="1"/>
    <col min="13318" max="13561" width="9.140625" style="98"/>
    <col min="13562" max="13562" width="24.7109375" style="98" bestFit="1" customWidth="1"/>
    <col min="13563" max="13563" width="14.28515625" style="98" bestFit="1" customWidth="1"/>
    <col min="13564" max="13564" width="12" style="98" bestFit="1" customWidth="1"/>
    <col min="13565" max="13565" width="8.7109375" style="98" bestFit="1" customWidth="1"/>
    <col min="13566" max="13566" width="11.7109375" style="98" bestFit="1" customWidth="1"/>
    <col min="13567" max="13567" width="7.28515625" style="98" bestFit="1" customWidth="1"/>
    <col min="13568" max="13568" width="20.7109375" style="98" customWidth="1"/>
    <col min="13569" max="13569" width="24.7109375" style="98" bestFit="1" customWidth="1"/>
    <col min="13570" max="13570" width="21.140625" style="98" customWidth="1"/>
    <col min="13571" max="13572" width="9.140625" style="98"/>
    <col min="13573" max="13573" width="11.7109375" style="98" bestFit="1" customWidth="1"/>
    <col min="13574" max="13817" width="9.140625" style="98"/>
    <col min="13818" max="13818" width="24.7109375" style="98" bestFit="1" customWidth="1"/>
    <col min="13819" max="13819" width="14.28515625" style="98" bestFit="1" customWidth="1"/>
    <col min="13820" max="13820" width="12" style="98" bestFit="1" customWidth="1"/>
    <col min="13821" max="13821" width="8.7109375" style="98" bestFit="1" customWidth="1"/>
    <col min="13822" max="13822" width="11.7109375" style="98" bestFit="1" customWidth="1"/>
    <col min="13823" max="13823" width="7.28515625" style="98" bestFit="1" customWidth="1"/>
    <col min="13824" max="13824" width="20.7109375" style="98" customWidth="1"/>
    <col min="13825" max="13825" width="24.7109375" style="98" bestFit="1" customWidth="1"/>
    <col min="13826" max="13826" width="21.140625" style="98" customWidth="1"/>
    <col min="13827" max="13828" width="9.140625" style="98"/>
    <col min="13829" max="13829" width="11.7109375" style="98" bestFit="1" customWidth="1"/>
    <col min="13830" max="14073" width="9.140625" style="98"/>
    <col min="14074" max="14074" width="24.7109375" style="98" bestFit="1" customWidth="1"/>
    <col min="14075" max="14075" width="14.28515625" style="98" bestFit="1" customWidth="1"/>
    <col min="14076" max="14076" width="12" style="98" bestFit="1" customWidth="1"/>
    <col min="14077" max="14077" width="8.7109375" style="98" bestFit="1" customWidth="1"/>
    <col min="14078" max="14078" width="11.7109375" style="98" bestFit="1" customWidth="1"/>
    <col min="14079" max="14079" width="7.28515625" style="98" bestFit="1" customWidth="1"/>
    <col min="14080" max="14080" width="20.7109375" style="98" customWidth="1"/>
    <col min="14081" max="14081" width="24.7109375" style="98" bestFit="1" customWidth="1"/>
    <col min="14082" max="14082" width="21.140625" style="98" customWidth="1"/>
    <col min="14083" max="14084" width="9.140625" style="98"/>
    <col min="14085" max="14085" width="11.7109375" style="98" bestFit="1" customWidth="1"/>
    <col min="14086" max="14329" width="9.140625" style="98"/>
    <col min="14330" max="14330" width="24.7109375" style="98" bestFit="1" customWidth="1"/>
    <col min="14331" max="14331" width="14.28515625" style="98" bestFit="1" customWidth="1"/>
    <col min="14332" max="14332" width="12" style="98" bestFit="1" customWidth="1"/>
    <col min="14333" max="14333" width="8.7109375" style="98" bestFit="1" customWidth="1"/>
    <col min="14334" max="14334" width="11.7109375" style="98" bestFit="1" customWidth="1"/>
    <col min="14335" max="14335" width="7.28515625" style="98" bestFit="1" customWidth="1"/>
    <col min="14336" max="14336" width="20.7109375" style="98" customWidth="1"/>
    <col min="14337" max="14337" width="24.7109375" style="98" bestFit="1" customWidth="1"/>
    <col min="14338" max="14338" width="21.140625" style="98" customWidth="1"/>
    <col min="14339" max="14340" width="9.140625" style="98"/>
    <col min="14341" max="14341" width="11.7109375" style="98" bestFit="1" customWidth="1"/>
    <col min="14342" max="14585" width="9.140625" style="98"/>
    <col min="14586" max="14586" width="24.7109375" style="98" bestFit="1" customWidth="1"/>
    <col min="14587" max="14587" width="14.28515625" style="98" bestFit="1" customWidth="1"/>
    <col min="14588" max="14588" width="12" style="98" bestFit="1" customWidth="1"/>
    <col min="14589" max="14589" width="8.7109375" style="98" bestFit="1" customWidth="1"/>
    <col min="14590" max="14590" width="11.7109375" style="98" bestFit="1" customWidth="1"/>
    <col min="14591" max="14591" width="7.28515625" style="98" bestFit="1" customWidth="1"/>
    <col min="14592" max="14592" width="20.7109375" style="98" customWidth="1"/>
    <col min="14593" max="14593" width="24.7109375" style="98" bestFit="1" customWidth="1"/>
    <col min="14594" max="14594" width="21.140625" style="98" customWidth="1"/>
    <col min="14595" max="14596" width="9.140625" style="98"/>
    <col min="14597" max="14597" width="11.7109375" style="98" bestFit="1" customWidth="1"/>
    <col min="14598" max="14841" width="9.140625" style="98"/>
    <col min="14842" max="14842" width="24.7109375" style="98" bestFit="1" customWidth="1"/>
    <col min="14843" max="14843" width="14.28515625" style="98" bestFit="1" customWidth="1"/>
    <col min="14844" max="14844" width="12" style="98" bestFit="1" customWidth="1"/>
    <col min="14845" max="14845" width="8.7109375" style="98" bestFit="1" customWidth="1"/>
    <col min="14846" max="14846" width="11.7109375" style="98" bestFit="1" customWidth="1"/>
    <col min="14847" max="14847" width="7.28515625" style="98" bestFit="1" customWidth="1"/>
    <col min="14848" max="14848" width="20.7109375" style="98" customWidth="1"/>
    <col min="14849" max="14849" width="24.7109375" style="98" bestFit="1" customWidth="1"/>
    <col min="14850" max="14850" width="21.140625" style="98" customWidth="1"/>
    <col min="14851" max="14852" width="9.140625" style="98"/>
    <col min="14853" max="14853" width="11.7109375" style="98" bestFit="1" customWidth="1"/>
    <col min="14854" max="15097" width="9.140625" style="98"/>
    <col min="15098" max="15098" width="24.7109375" style="98" bestFit="1" customWidth="1"/>
    <col min="15099" max="15099" width="14.28515625" style="98" bestFit="1" customWidth="1"/>
    <col min="15100" max="15100" width="12" style="98" bestFit="1" customWidth="1"/>
    <col min="15101" max="15101" width="8.7109375" style="98" bestFit="1" customWidth="1"/>
    <col min="15102" max="15102" width="11.7109375" style="98" bestFit="1" customWidth="1"/>
    <col min="15103" max="15103" width="7.28515625" style="98" bestFit="1" customWidth="1"/>
    <col min="15104" max="15104" width="20.7109375" style="98" customWidth="1"/>
    <col min="15105" max="15105" width="24.7109375" style="98" bestFit="1" customWidth="1"/>
    <col min="15106" max="15106" width="21.140625" style="98" customWidth="1"/>
    <col min="15107" max="15108" width="9.140625" style="98"/>
    <col min="15109" max="15109" width="11.7109375" style="98" bestFit="1" customWidth="1"/>
    <col min="15110" max="15353" width="9.140625" style="98"/>
    <col min="15354" max="15354" width="24.7109375" style="98" bestFit="1" customWidth="1"/>
    <col min="15355" max="15355" width="14.28515625" style="98" bestFit="1" customWidth="1"/>
    <col min="15356" max="15356" width="12" style="98" bestFit="1" customWidth="1"/>
    <col min="15357" max="15357" width="8.7109375" style="98" bestFit="1" customWidth="1"/>
    <col min="15358" max="15358" width="11.7109375" style="98" bestFit="1" customWidth="1"/>
    <col min="15359" max="15359" width="7.28515625" style="98" bestFit="1" customWidth="1"/>
    <col min="15360" max="15360" width="20.7109375" style="98" customWidth="1"/>
    <col min="15361" max="15361" width="24.7109375" style="98" bestFit="1" customWidth="1"/>
    <col min="15362" max="15362" width="21.140625" style="98" customWidth="1"/>
    <col min="15363" max="15364" width="9.140625" style="98"/>
    <col min="15365" max="15365" width="11.7109375" style="98" bestFit="1" customWidth="1"/>
    <col min="15366" max="15609" width="9.140625" style="98"/>
    <col min="15610" max="15610" width="24.7109375" style="98" bestFit="1" customWidth="1"/>
    <col min="15611" max="15611" width="14.28515625" style="98" bestFit="1" customWidth="1"/>
    <col min="15612" max="15612" width="12" style="98" bestFit="1" customWidth="1"/>
    <col min="15613" max="15613" width="8.7109375" style="98" bestFit="1" customWidth="1"/>
    <col min="15614" max="15614" width="11.7109375" style="98" bestFit="1" customWidth="1"/>
    <col min="15615" max="15615" width="7.28515625" style="98" bestFit="1" customWidth="1"/>
    <col min="15616" max="15616" width="20.7109375" style="98" customWidth="1"/>
    <col min="15617" max="15617" width="24.7109375" style="98" bestFit="1" customWidth="1"/>
    <col min="15618" max="15618" width="21.140625" style="98" customWidth="1"/>
    <col min="15619" max="15620" width="9.140625" style="98"/>
    <col min="15621" max="15621" width="11.7109375" style="98" bestFit="1" customWidth="1"/>
    <col min="15622" max="15865" width="9.140625" style="98"/>
    <col min="15866" max="15866" width="24.7109375" style="98" bestFit="1" customWidth="1"/>
    <col min="15867" max="15867" width="14.28515625" style="98" bestFit="1" customWidth="1"/>
    <col min="15868" max="15868" width="12" style="98" bestFit="1" customWidth="1"/>
    <col min="15869" max="15869" width="8.7109375" style="98" bestFit="1" customWidth="1"/>
    <col min="15870" max="15870" width="11.7109375" style="98" bestFit="1" customWidth="1"/>
    <col min="15871" max="15871" width="7.28515625" style="98" bestFit="1" customWidth="1"/>
    <col min="15872" max="15872" width="20.7109375" style="98" customWidth="1"/>
    <col min="15873" max="15873" width="24.7109375" style="98" bestFit="1" customWidth="1"/>
    <col min="15874" max="15874" width="21.140625" style="98" customWidth="1"/>
    <col min="15875" max="15876" width="9.140625" style="98"/>
    <col min="15877" max="15877" width="11.7109375" style="98" bestFit="1" customWidth="1"/>
    <col min="15878" max="16121" width="9.140625" style="98"/>
    <col min="16122" max="16122" width="24.7109375" style="98" bestFit="1" customWidth="1"/>
    <col min="16123" max="16123" width="14.28515625" style="98" bestFit="1" customWidth="1"/>
    <col min="16124" max="16124" width="12" style="98" bestFit="1" customWidth="1"/>
    <col min="16125" max="16125" width="8.7109375" style="98" bestFit="1" customWidth="1"/>
    <col min="16126" max="16126" width="11.7109375" style="98" bestFit="1" customWidth="1"/>
    <col min="16127" max="16127" width="7.28515625" style="98" bestFit="1" customWidth="1"/>
    <col min="16128" max="16128" width="20.7109375" style="98" customWidth="1"/>
    <col min="16129" max="16129" width="24.7109375" style="98" bestFit="1" customWidth="1"/>
    <col min="16130" max="16130" width="21.140625" style="98" customWidth="1"/>
    <col min="16131" max="16132" width="9.140625" style="98"/>
    <col min="16133" max="16133" width="11.7109375" style="98" bestFit="1" customWidth="1"/>
    <col min="16134" max="16384" width="9.140625" style="98"/>
  </cols>
  <sheetData>
    <row r="1" spans="2:18" ht="18">
      <c r="B1" s="97" t="s">
        <v>104</v>
      </c>
      <c r="F1" s="30"/>
      <c r="G1" s="30"/>
      <c r="H1" s="30"/>
      <c r="I1" s="30"/>
      <c r="J1" s="30"/>
      <c r="K1" s="30"/>
    </row>
    <row r="2" spans="2:18" ht="22.5" customHeight="1">
      <c r="B2" s="99" t="s">
        <v>305</v>
      </c>
      <c r="E2" s="866">
        <f>E5*E4</f>
        <v>2737.5</v>
      </c>
      <c r="F2" s="30"/>
      <c r="G2" s="100"/>
      <c r="H2" s="101"/>
      <c r="I2" s="101"/>
      <c r="J2" s="101"/>
      <c r="K2" s="101"/>
      <c r="M2" s="101"/>
      <c r="N2" s="101"/>
      <c r="O2" s="101"/>
      <c r="P2" s="101"/>
      <c r="Q2" s="101"/>
      <c r="R2" s="30"/>
    </row>
    <row r="3" spans="2:18" ht="21.75" customHeight="1" thickBot="1">
      <c r="B3" s="1116" t="s">
        <v>105</v>
      </c>
      <c r="C3" s="1116"/>
      <c r="D3" s="1116"/>
      <c r="E3" s="1116"/>
      <c r="F3" s="30"/>
      <c r="G3" s="100"/>
      <c r="H3" s="101"/>
      <c r="I3" s="101"/>
      <c r="J3" s="101"/>
      <c r="K3" s="101"/>
      <c r="M3" s="101"/>
      <c r="N3" s="101"/>
      <c r="O3" s="101"/>
      <c r="P3" s="101"/>
      <c r="Q3" s="101"/>
      <c r="R3" s="30"/>
    </row>
    <row r="4" spans="2:18" ht="27.75" customHeight="1">
      <c r="B4" s="1117" t="s">
        <v>142</v>
      </c>
      <c r="C4" s="1118"/>
      <c r="D4" s="848" t="s">
        <v>106</v>
      </c>
      <c r="E4" s="849">
        <v>7.5</v>
      </c>
      <c r="F4" s="30"/>
      <c r="G4" s="102"/>
      <c r="H4" s="102"/>
      <c r="I4" s="103"/>
      <c r="J4" s="104"/>
      <c r="K4" s="101"/>
      <c r="L4" s="105"/>
      <c r="M4" s="101"/>
      <c r="N4" s="106"/>
      <c r="O4" s="107"/>
      <c r="P4" s="106"/>
      <c r="Q4" s="101"/>
      <c r="R4" s="30"/>
    </row>
    <row r="5" spans="2:18" ht="15.75">
      <c r="B5" s="830"/>
      <c r="C5" s="850"/>
      <c r="D5" s="851" t="s">
        <v>50</v>
      </c>
      <c r="E5" s="852">
        <v>365</v>
      </c>
      <c r="F5" s="30"/>
      <c r="G5" s="101"/>
      <c r="H5" s="104"/>
      <c r="I5" s="103"/>
      <c r="J5" s="104"/>
      <c r="K5" s="101"/>
      <c r="L5" s="105"/>
      <c r="M5" s="101"/>
      <c r="N5" s="108"/>
      <c r="O5" s="107"/>
      <c r="P5" s="107"/>
      <c r="Q5" s="101"/>
      <c r="R5" s="30"/>
    </row>
    <row r="6" spans="2:18" ht="25.5">
      <c r="B6" s="853" t="s">
        <v>107</v>
      </c>
      <c r="C6" s="854" t="s">
        <v>272</v>
      </c>
      <c r="D6" s="854" t="s">
        <v>108</v>
      </c>
      <c r="E6" s="855" t="s">
        <v>109</v>
      </c>
      <c r="F6" s="30"/>
      <c r="G6" s="392"/>
      <c r="H6" s="392"/>
      <c r="I6" s="109"/>
      <c r="J6" s="110"/>
      <c r="K6" s="101"/>
      <c r="L6" s="105"/>
      <c r="M6" s="101"/>
      <c r="N6" s="111"/>
      <c r="O6" s="112"/>
      <c r="P6" s="113"/>
      <c r="Q6" s="101"/>
      <c r="R6" s="30"/>
    </row>
    <row r="7" spans="2:18" ht="15" customHeight="1">
      <c r="B7" s="999" t="str">
        <f>'Master Lookup'!B15</f>
        <v>Program Manager / Director</v>
      </c>
      <c r="C7" s="1000">
        <f>'Master Lookup'!C15</f>
        <v>62995</v>
      </c>
      <c r="D7" s="1001">
        <f>'[16]Staffing charts'!B20</f>
        <v>0.5</v>
      </c>
      <c r="E7" s="1002">
        <f t="shared" ref="E7:E12" si="0">C7*D7</f>
        <v>31497.5</v>
      </c>
      <c r="G7" s="393"/>
      <c r="H7" s="394"/>
      <c r="I7" s="115"/>
      <c r="J7" s="116"/>
      <c r="M7" s="101"/>
      <c r="N7" s="111"/>
      <c r="O7" s="117"/>
      <c r="P7" s="113"/>
      <c r="Q7" s="101"/>
      <c r="R7" s="30"/>
    </row>
    <row r="8" spans="2:18" ht="15" customHeight="1">
      <c r="B8" s="999" t="s">
        <v>110</v>
      </c>
      <c r="C8" s="1003">
        <f>'Master Lookup'!C19</f>
        <v>55868</v>
      </c>
      <c r="D8" s="1001">
        <f>'[16]Staffing charts'!B21</f>
        <v>0.1</v>
      </c>
      <c r="E8" s="1002">
        <f t="shared" si="0"/>
        <v>5586.8</v>
      </c>
      <c r="G8" s="393"/>
      <c r="H8" s="395"/>
      <c r="I8" s="115"/>
      <c r="J8" s="116"/>
      <c r="M8" s="101"/>
      <c r="N8" s="118"/>
      <c r="O8" s="119"/>
      <c r="P8" s="120"/>
      <c r="Q8" s="101"/>
      <c r="R8" s="30"/>
    </row>
    <row r="9" spans="2:18" ht="15" customHeight="1">
      <c r="B9" s="1004" t="s">
        <v>111</v>
      </c>
      <c r="C9" s="1005">
        <f>'Master Lookup'!C26</f>
        <v>36128</v>
      </c>
      <c r="D9" s="1001">
        <f>'[16]Staffing charts'!B22</f>
        <v>1</v>
      </c>
      <c r="E9" s="1002">
        <f t="shared" si="0"/>
        <v>36128</v>
      </c>
      <c r="G9" s="393"/>
      <c r="H9" s="395"/>
      <c r="I9" s="115"/>
      <c r="J9" s="116"/>
      <c r="M9" s="101"/>
      <c r="N9" s="121"/>
      <c r="O9" s="122"/>
      <c r="P9" s="115"/>
      <c r="Q9" s="101"/>
      <c r="R9" s="30"/>
    </row>
    <row r="10" spans="2:18" ht="15" customHeight="1">
      <c r="B10" s="999" t="s">
        <v>112</v>
      </c>
      <c r="C10" s="1003">
        <f>'Master Lookup'!C27</f>
        <v>36128</v>
      </c>
      <c r="D10" s="1001">
        <f>'[16]Staffing charts'!B23</f>
        <v>1</v>
      </c>
      <c r="E10" s="1002">
        <f t="shared" si="0"/>
        <v>36128</v>
      </c>
      <c r="G10" s="393"/>
      <c r="H10" s="395"/>
      <c r="I10" s="123"/>
      <c r="J10" s="116"/>
      <c r="K10" s="124"/>
      <c r="L10" s="124"/>
      <c r="M10" s="101"/>
      <c r="N10" s="125"/>
      <c r="O10" s="116"/>
      <c r="P10" s="123"/>
      <c r="Q10" s="101"/>
      <c r="R10" s="30"/>
    </row>
    <row r="11" spans="2:18" ht="15" customHeight="1">
      <c r="B11" s="999" t="s">
        <v>113</v>
      </c>
      <c r="C11" s="1003">
        <f>'Master Lookup'!C31</f>
        <v>30480</v>
      </c>
      <c r="D11" s="1001">
        <f>'[16]Staffing charts'!B24</f>
        <v>3</v>
      </c>
      <c r="E11" s="1002">
        <f t="shared" si="0"/>
        <v>91440</v>
      </c>
      <c r="G11" s="393"/>
      <c r="H11" s="395"/>
      <c r="I11" s="123"/>
      <c r="J11" s="504"/>
      <c r="K11" s="124"/>
      <c r="M11" s="101"/>
      <c r="N11" s="126"/>
      <c r="O11" s="127"/>
      <c r="P11" s="128"/>
      <c r="Q11" s="101"/>
      <c r="R11" s="30"/>
    </row>
    <row r="12" spans="2:18" ht="15" customHeight="1" thickBot="1">
      <c r="B12" s="1006" t="s">
        <v>114</v>
      </c>
      <c r="C12" s="1007">
        <f>'Master Lookup'!C32</f>
        <v>30480</v>
      </c>
      <c r="D12" s="1008">
        <f>(D11+D10+D9)*'Master Lookup'!C10</f>
        <v>0.76923076923076927</v>
      </c>
      <c r="E12" s="1009">
        <f t="shared" si="0"/>
        <v>23446.153846153848</v>
      </c>
      <c r="G12" s="114"/>
      <c r="H12" s="129"/>
      <c r="I12" s="123"/>
      <c r="J12" s="116"/>
      <c r="K12" s="124"/>
      <c r="M12" s="130"/>
      <c r="N12" s="126"/>
      <c r="O12" s="127"/>
      <c r="P12" s="128"/>
      <c r="Q12" s="101"/>
      <c r="R12" s="30"/>
    </row>
    <row r="13" spans="2:18" ht="15" customHeight="1" thickBot="1">
      <c r="B13" s="1010" t="s">
        <v>115</v>
      </c>
      <c r="C13" s="1011"/>
      <c r="D13" s="1012">
        <f>SUM(D7:D12)</f>
        <v>6.3692307692307688</v>
      </c>
      <c r="E13" s="1013">
        <f>SUM(E7:E12)</f>
        <v>224226.45384615383</v>
      </c>
      <c r="G13" s="131"/>
      <c r="H13" s="132"/>
      <c r="I13" s="123"/>
      <c r="J13" s="116"/>
      <c r="M13" s="130"/>
      <c r="N13" s="126"/>
      <c r="O13" s="127"/>
      <c r="P13" s="128"/>
      <c r="Q13" s="101"/>
      <c r="R13" s="30"/>
    </row>
    <row r="14" spans="2:18" ht="15" customHeight="1" thickTop="1" thickBot="1">
      <c r="B14" s="1014" t="s">
        <v>20</v>
      </c>
      <c r="C14" s="1015">
        <f>[16]Benchmarks!B7</f>
        <v>0.22499987275605302</v>
      </c>
      <c r="D14" s="1016"/>
      <c r="E14" s="1017">
        <f>E13*C14</f>
        <v>50450.923583925607</v>
      </c>
      <c r="G14" s="30"/>
      <c r="H14" s="30"/>
      <c r="I14" s="30"/>
      <c r="J14" s="133"/>
      <c r="M14" s="130"/>
      <c r="N14" s="125"/>
      <c r="O14" s="122"/>
      <c r="P14" s="115"/>
      <c r="Q14" s="101"/>
      <c r="R14" s="30"/>
    </row>
    <row r="15" spans="2:18" ht="15" customHeight="1" thickTop="1">
      <c r="B15" s="1018" t="s">
        <v>21</v>
      </c>
      <c r="C15" s="1019"/>
      <c r="D15" s="1019"/>
      <c r="E15" s="1020">
        <f>E13+E14</f>
        <v>274677.37743007945</v>
      </c>
      <c r="G15" s="30"/>
      <c r="H15" s="30"/>
      <c r="I15" s="30"/>
      <c r="J15" s="135"/>
      <c r="M15" s="130"/>
      <c r="N15" s="136"/>
      <c r="O15" s="137"/>
      <c r="P15" s="138"/>
      <c r="Q15" s="101"/>
      <c r="R15" s="30"/>
    </row>
    <row r="16" spans="2:18" ht="15" customHeight="1">
      <c r="B16" s="1018"/>
      <c r="C16" s="1019" t="s">
        <v>116</v>
      </c>
      <c r="D16" s="1019"/>
      <c r="E16" s="1020"/>
      <c r="G16" s="30"/>
      <c r="H16" s="30"/>
      <c r="I16" s="30"/>
      <c r="J16" s="135"/>
      <c r="M16" s="101"/>
      <c r="N16" s="101"/>
      <c r="O16" s="139"/>
      <c r="P16" s="140"/>
      <c r="Q16" s="101"/>
      <c r="R16" s="30"/>
    </row>
    <row r="17" spans="2:18" ht="15" customHeight="1">
      <c r="B17" s="999" t="s">
        <v>25</v>
      </c>
      <c r="C17" s="1021">
        <f>'Master Lookup'!E42</f>
        <v>26.83</v>
      </c>
      <c r="D17" s="1022"/>
      <c r="E17" s="1023">
        <f>C17*$E$4*$E$5</f>
        <v>73447.125</v>
      </c>
      <c r="G17" s="76"/>
      <c r="H17" s="76"/>
      <c r="I17" s="77"/>
      <c r="J17" s="143"/>
      <c r="M17" s="101"/>
      <c r="N17" s="144"/>
      <c r="O17" s="145"/>
      <c r="P17" s="146"/>
      <c r="Q17" s="101"/>
      <c r="R17" s="30"/>
    </row>
    <row r="18" spans="2:18" ht="15" customHeight="1">
      <c r="B18" s="1024" t="s">
        <v>27</v>
      </c>
      <c r="C18" s="1021">
        <f>'Master Lookup'!E44</f>
        <v>8.68</v>
      </c>
      <c r="D18" s="1022"/>
      <c r="E18" s="1023">
        <f>C18*$E$4*$E$5</f>
        <v>23761.499999999996</v>
      </c>
      <c r="G18" s="77"/>
      <c r="H18" s="76"/>
      <c r="I18" s="77"/>
      <c r="J18" s="147"/>
      <c r="M18" s="101"/>
      <c r="N18" s="144"/>
      <c r="O18" s="145"/>
      <c r="P18" s="146"/>
      <c r="Q18" s="101"/>
      <c r="R18" s="30"/>
    </row>
    <row r="19" spans="2:18" ht="15" customHeight="1">
      <c r="B19" s="999" t="s">
        <v>34</v>
      </c>
      <c r="C19" s="1021">
        <f>'Master Lookup'!E59</f>
        <v>3.15</v>
      </c>
      <c r="D19" s="1022"/>
      <c r="E19" s="1023">
        <f>C19*$E$4*$E$5</f>
        <v>8623.125</v>
      </c>
      <c r="G19" s="77"/>
      <c r="H19" s="76"/>
      <c r="I19" s="77"/>
      <c r="J19" s="147"/>
      <c r="M19" s="101"/>
      <c r="N19" s="144"/>
      <c r="O19" s="145"/>
      <c r="P19" s="146"/>
      <c r="Q19" s="101"/>
      <c r="R19" s="30"/>
    </row>
    <row r="20" spans="2:18" ht="15" customHeight="1">
      <c r="B20" s="999" t="s">
        <v>117</v>
      </c>
      <c r="C20" s="1021">
        <f>'Master Lookup'!E49</f>
        <v>1.78</v>
      </c>
      <c r="D20" s="1022"/>
      <c r="E20" s="1023">
        <f>C20*$E$4*$E$5</f>
        <v>4872.75</v>
      </c>
      <c r="G20" s="77"/>
      <c r="H20" s="76"/>
      <c r="I20" s="77"/>
      <c r="J20" s="147"/>
      <c r="M20" s="101"/>
      <c r="N20" s="144"/>
      <c r="O20" s="145"/>
      <c r="P20" s="146"/>
      <c r="Q20" s="101"/>
      <c r="R20" s="30"/>
    </row>
    <row r="21" spans="2:18" ht="15" customHeight="1" thickBot="1">
      <c r="B21" s="1025" t="s">
        <v>118</v>
      </c>
      <c r="C21" s="1026">
        <f>'Master Lookup'!E54</f>
        <v>1.9</v>
      </c>
      <c r="D21" s="1027"/>
      <c r="E21" s="1028">
        <f>C21*$E$4*$E$5</f>
        <v>5201.25</v>
      </c>
      <c r="G21" s="416"/>
      <c r="H21" s="76"/>
      <c r="I21" s="77"/>
      <c r="J21" s="150"/>
      <c r="M21" s="101"/>
      <c r="N21" s="144"/>
      <c r="O21" s="145"/>
      <c r="P21" s="146"/>
      <c r="Q21" s="101"/>
      <c r="R21" s="30"/>
    </row>
    <row r="22" spans="2:18" ht="15" customHeight="1" thickTop="1">
      <c r="B22" s="1029" t="s">
        <v>28</v>
      </c>
      <c r="C22" s="1030"/>
      <c r="D22" s="1030"/>
      <c r="E22" s="1031">
        <f>SUM(E15:E21)</f>
        <v>390583.12743007945</v>
      </c>
      <c r="G22" s="77"/>
      <c r="H22" s="76"/>
      <c r="I22" s="77"/>
      <c r="J22" s="151"/>
      <c r="M22" s="101"/>
      <c r="N22" s="144"/>
      <c r="O22" s="145"/>
      <c r="P22" s="146"/>
      <c r="Q22" s="101"/>
      <c r="R22" s="30"/>
    </row>
    <row r="23" spans="2:18" ht="15" customHeight="1">
      <c r="B23" s="1032" t="str">
        <f>'Master Lookup'!B39</f>
        <v>PFMLA Trust Contribution</v>
      </c>
      <c r="C23" s="1033">
        <f>'Master Lookup'!E39</f>
        <v>6.3E-3</v>
      </c>
      <c r="D23" s="1030"/>
      <c r="E23" s="1034">
        <f>E13*C23</f>
        <v>1412.6266592307691</v>
      </c>
      <c r="G23" s="77"/>
      <c r="H23" s="76"/>
      <c r="I23" s="77"/>
      <c r="J23" s="151"/>
      <c r="M23" s="101"/>
      <c r="N23" s="144"/>
      <c r="O23" s="145"/>
      <c r="P23" s="146"/>
      <c r="Q23" s="101"/>
      <c r="R23" s="30"/>
    </row>
    <row r="24" spans="2:18" ht="15" customHeight="1" thickBot="1">
      <c r="B24" s="856" t="s">
        <v>119</v>
      </c>
      <c r="C24" s="831">
        <f>'Master Lookup'!C64</f>
        <v>0.12</v>
      </c>
      <c r="D24" s="832"/>
      <c r="E24" s="833">
        <f>E22*C24</f>
        <v>46869.975291609531</v>
      </c>
      <c r="G24" s="77"/>
      <c r="H24" s="76"/>
      <c r="I24" s="77"/>
      <c r="J24" s="152"/>
      <c r="M24" s="101"/>
      <c r="N24" s="144"/>
      <c r="O24" s="145"/>
      <c r="P24" s="146"/>
      <c r="Q24" s="101"/>
      <c r="R24" s="30"/>
    </row>
    <row r="25" spans="2:18" ht="15" customHeight="1" thickTop="1">
      <c r="B25" s="857" t="s">
        <v>120</v>
      </c>
      <c r="C25" s="834"/>
      <c r="D25" s="834"/>
      <c r="E25" s="835">
        <f>E22+E24+E23</f>
        <v>438865.72938091977</v>
      </c>
      <c r="G25" s="77"/>
      <c r="H25" s="76"/>
      <c r="I25" s="77"/>
      <c r="J25" s="152"/>
      <c r="M25" s="101"/>
      <c r="N25" s="144"/>
      <c r="O25" s="145"/>
      <c r="P25" s="146"/>
      <c r="Q25" s="101"/>
      <c r="R25" s="30"/>
    </row>
    <row r="26" spans="2:18" ht="15" customHeight="1">
      <c r="B26" s="858" t="s">
        <v>121</v>
      </c>
      <c r="C26" s="836"/>
      <c r="D26" s="836"/>
      <c r="E26" s="837">
        <f>E25/(E4*E5)</f>
        <v>160.31624817567845</v>
      </c>
      <c r="G26" s="78"/>
      <c r="H26" s="413"/>
      <c r="I26" s="78"/>
      <c r="J26" s="155"/>
      <c r="M26" s="101"/>
      <c r="N26" s="101"/>
      <c r="O26" s="156"/>
      <c r="P26" s="115"/>
      <c r="Q26" s="101"/>
      <c r="R26" s="30"/>
    </row>
    <row r="27" spans="2:18" ht="15" customHeight="1" thickBot="1">
      <c r="B27" s="859" t="s">
        <v>122</v>
      </c>
      <c r="C27" s="838">
        <v>0.9</v>
      </c>
      <c r="D27" s="839"/>
      <c r="E27" s="840">
        <f>E26/C27</f>
        <v>178.12916463964271</v>
      </c>
      <c r="F27" s="30"/>
      <c r="G27" s="77"/>
      <c r="H27" s="158"/>
      <c r="I27" s="158"/>
      <c r="J27" s="159"/>
      <c r="M27" s="101"/>
      <c r="N27" s="101"/>
      <c r="O27" s="156"/>
      <c r="P27" s="115"/>
      <c r="Q27" s="101"/>
      <c r="R27" s="30"/>
    </row>
    <row r="28" spans="2:18" ht="15" customHeight="1" thickBot="1">
      <c r="B28" s="542" t="s">
        <v>246</v>
      </c>
      <c r="C28" s="841">
        <f>'Master Lookup'!C60</f>
        <v>2.3531493276716206E-2</v>
      </c>
      <c r="D28" s="842"/>
      <c r="E28" s="843">
        <f>E27*(1+C28)</f>
        <v>182.32080987974751</v>
      </c>
      <c r="F28" s="30"/>
      <c r="G28" s="30"/>
      <c r="H28" s="30"/>
      <c r="I28" s="30"/>
      <c r="J28" s="160"/>
      <c r="M28" s="101"/>
      <c r="N28" s="161"/>
      <c r="O28" s="156"/>
      <c r="P28" s="162"/>
      <c r="Q28" s="101"/>
      <c r="R28" s="30"/>
    </row>
    <row r="29" spans="2:18" ht="15" customHeight="1">
      <c r="B29" s="844"/>
      <c r="C29" s="845"/>
      <c r="D29" s="844"/>
      <c r="E29" s="846"/>
      <c r="J29" s="160"/>
      <c r="L29" s="163"/>
      <c r="M29" s="101"/>
      <c r="N29" s="101"/>
      <c r="O29" s="139"/>
      <c r="P29" s="162"/>
      <c r="Q29" s="101"/>
      <c r="R29" s="30"/>
    </row>
    <row r="30" spans="2:18">
      <c r="B30" s="847"/>
      <c r="C30" s="847"/>
      <c r="D30" s="715"/>
      <c r="E30" s="860"/>
      <c r="G30" s="144"/>
      <c r="H30" s="164"/>
      <c r="I30" s="144"/>
      <c r="J30" s="160"/>
      <c r="K30" s="30"/>
      <c r="L30" s="30"/>
      <c r="M30" s="101"/>
      <c r="N30" s="165"/>
      <c r="O30" s="145"/>
      <c r="P30" s="146"/>
      <c r="Q30" s="101"/>
      <c r="R30" s="30"/>
    </row>
    <row r="31" spans="2:18">
      <c r="B31" s="861"/>
      <c r="C31" s="862"/>
      <c r="D31" s="719"/>
      <c r="E31" s="720"/>
      <c r="H31" s="30"/>
      <c r="I31" s="30"/>
      <c r="J31" s="30"/>
      <c r="K31" s="30"/>
      <c r="L31" s="30"/>
      <c r="M31" s="101"/>
      <c r="N31" s="101"/>
      <c r="O31" s="166"/>
      <c r="P31" s="115"/>
      <c r="Q31" s="101"/>
      <c r="R31" s="30"/>
    </row>
    <row r="32" spans="2:18">
      <c r="B32" s="863"/>
      <c r="C32" s="864"/>
      <c r="D32" s="847"/>
      <c r="E32" s="847"/>
      <c r="H32" s="30"/>
      <c r="I32" s="76"/>
      <c r="J32" s="76"/>
      <c r="K32" s="77"/>
      <c r="L32" s="159"/>
      <c r="M32" s="101"/>
      <c r="N32" s="101"/>
      <c r="O32" s="101"/>
      <c r="P32" s="101"/>
      <c r="Q32" s="101"/>
      <c r="R32" s="30"/>
    </row>
    <row r="33" spans="2:18">
      <c r="B33" s="813"/>
      <c r="C33" s="813"/>
      <c r="D33" s="813"/>
      <c r="E33" s="861"/>
      <c r="H33" s="30"/>
      <c r="I33" s="30"/>
      <c r="J33" s="30"/>
      <c r="K33" s="30"/>
      <c r="L33" s="159"/>
      <c r="M33" s="101"/>
      <c r="N33" s="101"/>
      <c r="O33" s="101"/>
      <c r="P33" s="101"/>
      <c r="Q33" s="101"/>
      <c r="R33" s="30"/>
    </row>
    <row r="34" spans="2:18">
      <c r="B34" s="814"/>
      <c r="C34" s="813"/>
      <c r="D34" s="814"/>
      <c r="E34" s="861"/>
      <c r="H34" s="30"/>
      <c r="I34" s="30"/>
      <c r="J34" s="30"/>
      <c r="K34" s="30"/>
      <c r="L34" s="159"/>
      <c r="M34" s="101"/>
      <c r="N34" s="101"/>
      <c r="O34" s="105"/>
      <c r="P34" s="105"/>
      <c r="Q34" s="105"/>
    </row>
    <row r="35" spans="2:18" ht="27" customHeight="1">
      <c r="B35" s="754"/>
      <c r="C35" s="815"/>
      <c r="D35" s="813"/>
      <c r="E35" s="861"/>
      <c r="H35" s="30"/>
      <c r="I35" s="30"/>
      <c r="J35" s="30"/>
      <c r="K35" s="30"/>
      <c r="L35" s="30"/>
      <c r="M35" s="101"/>
      <c r="N35" s="101"/>
      <c r="O35" s="105"/>
      <c r="P35" s="105"/>
      <c r="Q35" s="105"/>
    </row>
    <row r="36" spans="2:18">
      <c r="B36" s="752"/>
      <c r="C36" s="816"/>
      <c r="D36" s="752"/>
      <c r="E36" s="865"/>
      <c r="H36" s="30"/>
      <c r="I36" s="30"/>
      <c r="J36" s="30"/>
      <c r="K36" s="30"/>
      <c r="L36" s="30"/>
      <c r="M36" s="101"/>
      <c r="N36" s="101"/>
      <c r="O36" s="105"/>
      <c r="P36" s="105"/>
      <c r="Q36" s="105"/>
    </row>
    <row r="37" spans="2:18">
      <c r="B37" s="861"/>
      <c r="C37" s="861"/>
      <c r="D37" s="861"/>
      <c r="E37" s="861"/>
      <c r="H37" s="30"/>
      <c r="I37" s="30"/>
      <c r="J37" s="30"/>
      <c r="K37" s="30"/>
      <c r="L37" s="30"/>
      <c r="M37" s="101"/>
      <c r="N37" s="101"/>
      <c r="O37" s="105"/>
      <c r="P37" s="105"/>
      <c r="Q37" s="105"/>
    </row>
    <row r="38" spans="2:18" ht="15">
      <c r="B38"/>
      <c r="C38"/>
      <c r="D38"/>
      <c r="E38"/>
      <c r="H38" s="30"/>
      <c r="I38" s="30"/>
      <c r="J38" s="30"/>
      <c r="K38" s="30"/>
      <c r="L38" s="30"/>
      <c r="M38" s="101"/>
      <c r="N38" s="101"/>
      <c r="O38" s="105"/>
      <c r="P38" s="105"/>
      <c r="Q38" s="105"/>
    </row>
    <row r="39" spans="2:18">
      <c r="M39" s="105"/>
      <c r="N39" s="105"/>
      <c r="O39" s="105"/>
      <c r="P39" s="105"/>
      <c r="Q39" s="105"/>
    </row>
    <row r="40" spans="2:18">
      <c r="M40" s="105"/>
      <c r="N40" s="105"/>
      <c r="O40" s="105"/>
      <c r="P40" s="105"/>
      <c r="Q40" s="105"/>
    </row>
    <row r="41" spans="2:18">
      <c r="M41" s="105"/>
      <c r="N41" s="105"/>
      <c r="O41" s="105"/>
      <c r="P41" s="105"/>
      <c r="Q41" s="105"/>
    </row>
    <row r="43" spans="2:18">
      <c r="I43" s="167"/>
      <c r="J43" s="168"/>
      <c r="K43" s="167"/>
    </row>
    <row r="50" spans="6:15" ht="15">
      <c r="O50" s="169"/>
    </row>
    <row r="51" spans="6:15" ht="15">
      <c r="O51" s="169"/>
    </row>
    <row r="64" spans="6:15">
      <c r="F64" s="124"/>
    </row>
  </sheetData>
  <customSheetViews>
    <customSheetView guid="{B5837528-F556-4927-BE56-326C83C78B54}" scale="95" fitToPage="1" topLeftCell="A16">
      <selection activeCell="D6" sqref="D6"/>
      <colBreaks count="1" manualBreakCount="1">
        <brk id="11" max="1048575" man="1"/>
      </colBreaks>
      <pageMargins left="0.25" right="0.25" top="0.25" bottom="0.25" header="0.3" footer="0.3"/>
      <pageSetup orientation="landscape" r:id="rId1"/>
      <headerFooter>
        <oddFooter>Page &amp;P</oddFooter>
      </headerFooter>
    </customSheetView>
    <customSheetView guid="{0E99B8F5-2809-4D97-8227-3422E522E04C}" scale="95" showPageBreaks="1" fitToPage="1" printArea="1">
      <selection activeCell="D6" sqref="D6"/>
      <colBreaks count="1" manualBreakCount="1">
        <brk id="11" max="1048575" man="1"/>
      </colBreaks>
      <pageMargins left="0.25" right="0.25" top="0.25" bottom="0.25" header="0.3" footer="0.3"/>
      <pageSetup orientation="landscape" r:id="rId2"/>
      <headerFooter>
        <oddFooter>Page &amp;P</oddFooter>
      </headerFooter>
    </customSheetView>
  </customSheetViews>
  <mergeCells count="2">
    <mergeCell ref="B3:E3"/>
    <mergeCell ref="B4:C4"/>
  </mergeCells>
  <pageMargins left="0.25" right="0.25" top="0.25" bottom="0.25" header="0.3" footer="0.3"/>
  <pageSetup scale="96" orientation="landscape" r:id="rId3"/>
  <colBreaks count="1" manualBreakCount="1">
    <brk id="11" max="1048575" man="1"/>
  </colBreaks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BA80"/>
  <sheetViews>
    <sheetView tabSelected="1" zoomScale="90" zoomScaleNormal="90" zoomScaleSheetLayoutView="50" workbookViewId="0">
      <selection activeCell="I43" sqref="I43"/>
    </sheetView>
  </sheetViews>
  <sheetFormatPr defaultRowHeight="22.5" customHeight="1"/>
  <cols>
    <col min="1" max="1" width="5.7109375" style="157" customWidth="1"/>
    <col min="2" max="2" width="27.7109375" style="170" customWidth="1"/>
    <col min="3" max="3" width="11.140625" style="170" customWidth="1"/>
    <col min="4" max="4" width="17.28515625" style="170" bestFit="1" customWidth="1"/>
    <col min="5" max="5" width="12.42578125" style="170" customWidth="1"/>
    <col min="6" max="6" width="5.85546875" style="170" customWidth="1"/>
    <col min="7" max="7" width="27.7109375" style="170" customWidth="1"/>
    <col min="8" max="8" width="11.140625" style="170" customWidth="1"/>
    <col min="9" max="9" width="12.7109375" style="170" customWidth="1"/>
    <col min="10" max="10" width="12.42578125" style="170" customWidth="1"/>
    <col min="11" max="11" width="2.7109375" style="172" customWidth="1"/>
    <col min="12" max="12" width="27.7109375" style="170" customWidth="1"/>
    <col min="13" max="13" width="11.140625" style="170" customWidth="1"/>
    <col min="14" max="14" width="13.140625" style="170" customWidth="1"/>
    <col min="15" max="15" width="12.42578125" style="170" customWidth="1"/>
    <col min="16" max="16" width="2.7109375" style="172" customWidth="1"/>
    <col min="17" max="17" width="27.7109375" style="170" customWidth="1"/>
    <col min="18" max="18" width="11.140625" style="170" customWidth="1"/>
    <col min="19" max="19" width="12.85546875" style="170" customWidth="1"/>
    <col min="20" max="20" width="12.42578125" style="170" customWidth="1"/>
    <col min="21" max="21" width="2.7109375" style="172" customWidth="1"/>
    <col min="22" max="22" width="27.7109375" style="170" customWidth="1"/>
    <col min="23" max="23" width="11.140625" style="170" customWidth="1"/>
    <col min="24" max="24" width="13.140625" style="170" customWidth="1"/>
    <col min="25" max="25" width="12.42578125" style="170" customWidth="1"/>
    <col min="26" max="26" width="2.7109375" style="172" customWidth="1"/>
    <col min="27" max="27" width="27.7109375" style="170" customWidth="1"/>
    <col min="28" max="28" width="11.140625" style="170" customWidth="1"/>
    <col min="29" max="29" width="14.5703125" style="170" customWidth="1"/>
    <col min="30" max="30" width="12.42578125" style="170" customWidth="1"/>
    <col min="31" max="31" width="4.7109375" style="172" customWidth="1"/>
    <col min="32" max="53" width="9.140625" style="173"/>
    <col min="54" max="247" width="9.140625" style="157"/>
    <col min="248" max="248" width="16" style="157" bestFit="1" customWidth="1"/>
    <col min="249" max="249" width="31.140625" style="157" bestFit="1" customWidth="1"/>
    <col min="250" max="250" width="3.42578125" style="157" customWidth="1"/>
    <col min="251" max="251" width="13.140625" style="157" customWidth="1"/>
    <col min="252" max="254" width="9.140625" style="157"/>
    <col min="255" max="255" width="11.5703125" style="157" customWidth="1"/>
    <col min="256" max="257" width="9.140625" style="157"/>
    <col min="258" max="258" width="3.85546875" style="157" customWidth="1"/>
    <col min="259" max="262" width="9.140625" style="157"/>
    <col min="263" max="263" width="15.5703125" style="157" customWidth="1"/>
    <col min="264" max="503" width="9.140625" style="157"/>
    <col min="504" max="504" width="16" style="157" bestFit="1" customWidth="1"/>
    <col min="505" max="505" width="31.140625" style="157" bestFit="1" customWidth="1"/>
    <col min="506" max="506" width="3.42578125" style="157" customWidth="1"/>
    <col min="507" max="507" width="13.140625" style="157" customWidth="1"/>
    <col min="508" max="510" width="9.140625" style="157"/>
    <col min="511" max="511" width="11.5703125" style="157" customWidth="1"/>
    <col min="512" max="513" width="9.140625" style="157"/>
    <col min="514" max="514" width="3.85546875" style="157" customWidth="1"/>
    <col min="515" max="518" width="9.140625" style="157"/>
    <col min="519" max="519" width="15.5703125" style="157" customWidth="1"/>
    <col min="520" max="759" width="9.140625" style="157"/>
    <col min="760" max="760" width="16" style="157" bestFit="1" customWidth="1"/>
    <col min="761" max="761" width="31.140625" style="157" bestFit="1" customWidth="1"/>
    <col min="762" max="762" width="3.42578125" style="157" customWidth="1"/>
    <col min="763" max="763" width="13.140625" style="157" customWidth="1"/>
    <col min="764" max="766" width="9.140625" style="157"/>
    <col min="767" max="767" width="11.5703125" style="157" customWidth="1"/>
    <col min="768" max="769" width="9.140625" style="157"/>
    <col min="770" max="770" width="3.85546875" style="157" customWidth="1"/>
    <col min="771" max="774" width="9.140625" style="157"/>
    <col min="775" max="775" width="15.5703125" style="157" customWidth="1"/>
    <col min="776" max="1015" width="9.140625" style="157"/>
    <col min="1016" max="1016" width="16" style="157" bestFit="1" customWidth="1"/>
    <col min="1017" max="1017" width="31.140625" style="157" bestFit="1" customWidth="1"/>
    <col min="1018" max="1018" width="3.42578125" style="157" customWidth="1"/>
    <col min="1019" max="1019" width="13.140625" style="157" customWidth="1"/>
    <col min="1020" max="1022" width="9.140625" style="157"/>
    <col min="1023" max="1023" width="11.5703125" style="157" customWidth="1"/>
    <col min="1024" max="1025" width="9.140625" style="157"/>
    <col min="1026" max="1026" width="3.85546875" style="157" customWidth="1"/>
    <col min="1027" max="1030" width="9.140625" style="157"/>
    <col min="1031" max="1031" width="15.5703125" style="157" customWidth="1"/>
    <col min="1032" max="1271" width="9.140625" style="157"/>
    <col min="1272" max="1272" width="16" style="157" bestFit="1" customWidth="1"/>
    <col min="1273" max="1273" width="31.140625" style="157" bestFit="1" customWidth="1"/>
    <col min="1274" max="1274" width="3.42578125" style="157" customWidth="1"/>
    <col min="1275" max="1275" width="13.140625" style="157" customWidth="1"/>
    <col min="1276" max="1278" width="9.140625" style="157"/>
    <col min="1279" max="1279" width="11.5703125" style="157" customWidth="1"/>
    <col min="1280" max="1281" width="9.140625" style="157"/>
    <col min="1282" max="1282" width="3.85546875" style="157" customWidth="1"/>
    <col min="1283" max="1286" width="9.140625" style="157"/>
    <col min="1287" max="1287" width="15.5703125" style="157" customWidth="1"/>
    <col min="1288" max="1527" width="9.140625" style="157"/>
    <col min="1528" max="1528" width="16" style="157" bestFit="1" customWidth="1"/>
    <col min="1529" max="1529" width="31.140625" style="157" bestFit="1" customWidth="1"/>
    <col min="1530" max="1530" width="3.42578125" style="157" customWidth="1"/>
    <col min="1531" max="1531" width="13.140625" style="157" customWidth="1"/>
    <col min="1532" max="1534" width="9.140625" style="157"/>
    <col min="1535" max="1535" width="11.5703125" style="157" customWidth="1"/>
    <col min="1536" max="1537" width="9.140625" style="157"/>
    <col min="1538" max="1538" width="3.85546875" style="157" customWidth="1"/>
    <col min="1539" max="1542" width="9.140625" style="157"/>
    <col min="1543" max="1543" width="15.5703125" style="157" customWidth="1"/>
    <col min="1544" max="1783" width="9.140625" style="157"/>
    <col min="1784" max="1784" width="16" style="157" bestFit="1" customWidth="1"/>
    <col min="1785" max="1785" width="31.140625" style="157" bestFit="1" customWidth="1"/>
    <col min="1786" max="1786" width="3.42578125" style="157" customWidth="1"/>
    <col min="1787" max="1787" width="13.140625" style="157" customWidth="1"/>
    <col min="1788" max="1790" width="9.140625" style="157"/>
    <col min="1791" max="1791" width="11.5703125" style="157" customWidth="1"/>
    <col min="1792" max="1793" width="9.140625" style="157"/>
    <col min="1794" max="1794" width="3.85546875" style="157" customWidth="1"/>
    <col min="1795" max="1798" width="9.140625" style="157"/>
    <col min="1799" max="1799" width="15.5703125" style="157" customWidth="1"/>
    <col min="1800" max="2039" width="9.140625" style="157"/>
    <col min="2040" max="2040" width="16" style="157" bestFit="1" customWidth="1"/>
    <col min="2041" max="2041" width="31.140625" style="157" bestFit="1" customWidth="1"/>
    <col min="2042" max="2042" width="3.42578125" style="157" customWidth="1"/>
    <col min="2043" max="2043" width="13.140625" style="157" customWidth="1"/>
    <col min="2044" max="2046" width="9.140625" style="157"/>
    <col min="2047" max="2047" width="11.5703125" style="157" customWidth="1"/>
    <col min="2048" max="2049" width="9.140625" style="157"/>
    <col min="2050" max="2050" width="3.85546875" style="157" customWidth="1"/>
    <col min="2051" max="2054" width="9.140625" style="157"/>
    <col min="2055" max="2055" width="15.5703125" style="157" customWidth="1"/>
    <col min="2056" max="2295" width="9.140625" style="157"/>
    <col min="2296" max="2296" width="16" style="157" bestFit="1" customWidth="1"/>
    <col min="2297" max="2297" width="31.140625" style="157" bestFit="1" customWidth="1"/>
    <col min="2298" max="2298" width="3.42578125" style="157" customWidth="1"/>
    <col min="2299" max="2299" width="13.140625" style="157" customWidth="1"/>
    <col min="2300" max="2302" width="9.140625" style="157"/>
    <col min="2303" max="2303" width="11.5703125" style="157" customWidth="1"/>
    <col min="2304" max="2305" width="9.140625" style="157"/>
    <col min="2306" max="2306" width="3.85546875" style="157" customWidth="1"/>
    <col min="2307" max="2310" width="9.140625" style="157"/>
    <col min="2311" max="2311" width="15.5703125" style="157" customWidth="1"/>
    <col min="2312" max="2551" width="9.140625" style="157"/>
    <col min="2552" max="2552" width="16" style="157" bestFit="1" customWidth="1"/>
    <col min="2553" max="2553" width="31.140625" style="157" bestFit="1" customWidth="1"/>
    <col min="2554" max="2554" width="3.42578125" style="157" customWidth="1"/>
    <col min="2555" max="2555" width="13.140625" style="157" customWidth="1"/>
    <col min="2556" max="2558" width="9.140625" style="157"/>
    <col min="2559" max="2559" width="11.5703125" style="157" customWidth="1"/>
    <col min="2560" max="2561" width="9.140625" style="157"/>
    <col min="2562" max="2562" width="3.85546875" style="157" customWidth="1"/>
    <col min="2563" max="2566" width="9.140625" style="157"/>
    <col min="2567" max="2567" width="15.5703125" style="157" customWidth="1"/>
    <col min="2568" max="2807" width="9.140625" style="157"/>
    <col min="2808" max="2808" width="16" style="157" bestFit="1" customWidth="1"/>
    <col min="2809" max="2809" width="31.140625" style="157" bestFit="1" customWidth="1"/>
    <col min="2810" max="2810" width="3.42578125" style="157" customWidth="1"/>
    <col min="2811" max="2811" width="13.140625" style="157" customWidth="1"/>
    <col min="2812" max="2814" width="9.140625" style="157"/>
    <col min="2815" max="2815" width="11.5703125" style="157" customWidth="1"/>
    <col min="2816" max="2817" width="9.140625" style="157"/>
    <col min="2818" max="2818" width="3.85546875" style="157" customWidth="1"/>
    <col min="2819" max="2822" width="9.140625" style="157"/>
    <col min="2823" max="2823" width="15.5703125" style="157" customWidth="1"/>
    <col min="2824" max="3063" width="9.140625" style="157"/>
    <col min="3064" max="3064" width="16" style="157" bestFit="1" customWidth="1"/>
    <col min="3065" max="3065" width="31.140625" style="157" bestFit="1" customWidth="1"/>
    <col min="3066" max="3066" width="3.42578125" style="157" customWidth="1"/>
    <col min="3067" max="3067" width="13.140625" style="157" customWidth="1"/>
    <col min="3068" max="3070" width="9.140625" style="157"/>
    <col min="3071" max="3071" width="11.5703125" style="157" customWidth="1"/>
    <col min="3072" max="3073" width="9.140625" style="157"/>
    <col min="3074" max="3074" width="3.85546875" style="157" customWidth="1"/>
    <col min="3075" max="3078" width="9.140625" style="157"/>
    <col min="3079" max="3079" width="15.5703125" style="157" customWidth="1"/>
    <col min="3080" max="3319" width="9.140625" style="157"/>
    <col min="3320" max="3320" width="16" style="157" bestFit="1" customWidth="1"/>
    <col min="3321" max="3321" width="31.140625" style="157" bestFit="1" customWidth="1"/>
    <col min="3322" max="3322" width="3.42578125" style="157" customWidth="1"/>
    <col min="3323" max="3323" width="13.140625" style="157" customWidth="1"/>
    <col min="3324" max="3326" width="9.140625" style="157"/>
    <col min="3327" max="3327" width="11.5703125" style="157" customWidth="1"/>
    <col min="3328" max="3329" width="9.140625" style="157"/>
    <col min="3330" max="3330" width="3.85546875" style="157" customWidth="1"/>
    <col min="3331" max="3334" width="9.140625" style="157"/>
    <col min="3335" max="3335" width="15.5703125" style="157" customWidth="1"/>
    <col min="3336" max="3575" width="9.140625" style="157"/>
    <col min="3576" max="3576" width="16" style="157" bestFit="1" customWidth="1"/>
    <col min="3577" max="3577" width="31.140625" style="157" bestFit="1" customWidth="1"/>
    <col min="3578" max="3578" width="3.42578125" style="157" customWidth="1"/>
    <col min="3579" max="3579" width="13.140625" style="157" customWidth="1"/>
    <col min="3580" max="3582" width="9.140625" style="157"/>
    <col min="3583" max="3583" width="11.5703125" style="157" customWidth="1"/>
    <col min="3584" max="3585" width="9.140625" style="157"/>
    <col min="3586" max="3586" width="3.85546875" style="157" customWidth="1"/>
    <col min="3587" max="3590" width="9.140625" style="157"/>
    <col min="3591" max="3591" width="15.5703125" style="157" customWidth="1"/>
    <col min="3592" max="3831" width="9.140625" style="157"/>
    <col min="3832" max="3832" width="16" style="157" bestFit="1" customWidth="1"/>
    <col min="3833" max="3833" width="31.140625" style="157" bestFit="1" customWidth="1"/>
    <col min="3834" max="3834" width="3.42578125" style="157" customWidth="1"/>
    <col min="3835" max="3835" width="13.140625" style="157" customWidth="1"/>
    <col min="3836" max="3838" width="9.140625" style="157"/>
    <col min="3839" max="3839" width="11.5703125" style="157" customWidth="1"/>
    <col min="3840" max="3841" width="9.140625" style="157"/>
    <col min="3842" max="3842" width="3.85546875" style="157" customWidth="1"/>
    <col min="3843" max="3846" width="9.140625" style="157"/>
    <col min="3847" max="3847" width="15.5703125" style="157" customWidth="1"/>
    <col min="3848" max="4087" width="9.140625" style="157"/>
    <col min="4088" max="4088" width="16" style="157" bestFit="1" customWidth="1"/>
    <col min="4089" max="4089" width="31.140625" style="157" bestFit="1" customWidth="1"/>
    <col min="4090" max="4090" width="3.42578125" style="157" customWidth="1"/>
    <col min="4091" max="4091" width="13.140625" style="157" customWidth="1"/>
    <col min="4092" max="4094" width="9.140625" style="157"/>
    <col min="4095" max="4095" width="11.5703125" style="157" customWidth="1"/>
    <col min="4096" max="4097" width="9.140625" style="157"/>
    <col min="4098" max="4098" width="3.85546875" style="157" customWidth="1"/>
    <col min="4099" max="4102" width="9.140625" style="157"/>
    <col min="4103" max="4103" width="15.5703125" style="157" customWidth="1"/>
    <col min="4104" max="4343" width="9.140625" style="157"/>
    <col min="4344" max="4344" width="16" style="157" bestFit="1" customWidth="1"/>
    <col min="4345" max="4345" width="31.140625" style="157" bestFit="1" customWidth="1"/>
    <col min="4346" max="4346" width="3.42578125" style="157" customWidth="1"/>
    <col min="4347" max="4347" width="13.140625" style="157" customWidth="1"/>
    <col min="4348" max="4350" width="9.140625" style="157"/>
    <col min="4351" max="4351" width="11.5703125" style="157" customWidth="1"/>
    <col min="4352" max="4353" width="9.140625" style="157"/>
    <col min="4354" max="4354" width="3.85546875" style="157" customWidth="1"/>
    <col min="4355" max="4358" width="9.140625" style="157"/>
    <col min="4359" max="4359" width="15.5703125" style="157" customWidth="1"/>
    <col min="4360" max="4599" width="9.140625" style="157"/>
    <col min="4600" max="4600" width="16" style="157" bestFit="1" customWidth="1"/>
    <col min="4601" max="4601" width="31.140625" style="157" bestFit="1" customWidth="1"/>
    <col min="4602" max="4602" width="3.42578125" style="157" customWidth="1"/>
    <col min="4603" max="4603" width="13.140625" style="157" customWidth="1"/>
    <col min="4604" max="4606" width="9.140625" style="157"/>
    <col min="4607" max="4607" width="11.5703125" style="157" customWidth="1"/>
    <col min="4608" max="4609" width="9.140625" style="157"/>
    <col min="4610" max="4610" width="3.85546875" style="157" customWidth="1"/>
    <col min="4611" max="4614" width="9.140625" style="157"/>
    <col min="4615" max="4615" width="15.5703125" style="157" customWidth="1"/>
    <col min="4616" max="4855" width="9.140625" style="157"/>
    <col min="4856" max="4856" width="16" style="157" bestFit="1" customWidth="1"/>
    <col min="4857" max="4857" width="31.140625" style="157" bestFit="1" customWidth="1"/>
    <col min="4858" max="4858" width="3.42578125" style="157" customWidth="1"/>
    <col min="4859" max="4859" width="13.140625" style="157" customWidth="1"/>
    <col min="4860" max="4862" width="9.140625" style="157"/>
    <col min="4863" max="4863" width="11.5703125" style="157" customWidth="1"/>
    <col min="4864" max="4865" width="9.140625" style="157"/>
    <col min="4866" max="4866" width="3.85546875" style="157" customWidth="1"/>
    <col min="4867" max="4870" width="9.140625" style="157"/>
    <col min="4871" max="4871" width="15.5703125" style="157" customWidth="1"/>
    <col min="4872" max="5111" width="9.140625" style="157"/>
    <col min="5112" max="5112" width="16" style="157" bestFit="1" customWidth="1"/>
    <col min="5113" max="5113" width="31.140625" style="157" bestFit="1" customWidth="1"/>
    <col min="5114" max="5114" width="3.42578125" style="157" customWidth="1"/>
    <col min="5115" max="5115" width="13.140625" style="157" customWidth="1"/>
    <col min="5116" max="5118" width="9.140625" style="157"/>
    <col min="5119" max="5119" width="11.5703125" style="157" customWidth="1"/>
    <col min="5120" max="5121" width="9.140625" style="157"/>
    <col min="5122" max="5122" width="3.85546875" style="157" customWidth="1"/>
    <col min="5123" max="5126" width="9.140625" style="157"/>
    <col min="5127" max="5127" width="15.5703125" style="157" customWidth="1"/>
    <col min="5128" max="5367" width="9.140625" style="157"/>
    <col min="5368" max="5368" width="16" style="157" bestFit="1" customWidth="1"/>
    <col min="5369" max="5369" width="31.140625" style="157" bestFit="1" customWidth="1"/>
    <col min="5370" max="5370" width="3.42578125" style="157" customWidth="1"/>
    <col min="5371" max="5371" width="13.140625" style="157" customWidth="1"/>
    <col min="5372" max="5374" width="9.140625" style="157"/>
    <col min="5375" max="5375" width="11.5703125" style="157" customWidth="1"/>
    <col min="5376" max="5377" width="9.140625" style="157"/>
    <col min="5378" max="5378" width="3.85546875" style="157" customWidth="1"/>
    <col min="5379" max="5382" width="9.140625" style="157"/>
    <col min="5383" max="5383" width="15.5703125" style="157" customWidth="1"/>
    <col min="5384" max="5623" width="9.140625" style="157"/>
    <col min="5624" max="5624" width="16" style="157" bestFit="1" customWidth="1"/>
    <col min="5625" max="5625" width="31.140625" style="157" bestFit="1" customWidth="1"/>
    <col min="5626" max="5626" width="3.42578125" style="157" customWidth="1"/>
    <col min="5627" max="5627" width="13.140625" style="157" customWidth="1"/>
    <col min="5628" max="5630" width="9.140625" style="157"/>
    <col min="5631" max="5631" width="11.5703125" style="157" customWidth="1"/>
    <col min="5632" max="5633" width="9.140625" style="157"/>
    <col min="5634" max="5634" width="3.85546875" style="157" customWidth="1"/>
    <col min="5635" max="5638" width="9.140625" style="157"/>
    <col min="5639" max="5639" width="15.5703125" style="157" customWidth="1"/>
    <col min="5640" max="5879" width="9.140625" style="157"/>
    <col min="5880" max="5880" width="16" style="157" bestFit="1" customWidth="1"/>
    <col min="5881" max="5881" width="31.140625" style="157" bestFit="1" customWidth="1"/>
    <col min="5882" max="5882" width="3.42578125" style="157" customWidth="1"/>
    <col min="5883" max="5883" width="13.140625" style="157" customWidth="1"/>
    <col min="5884" max="5886" width="9.140625" style="157"/>
    <col min="5887" max="5887" width="11.5703125" style="157" customWidth="1"/>
    <col min="5888" max="5889" width="9.140625" style="157"/>
    <col min="5890" max="5890" width="3.85546875" style="157" customWidth="1"/>
    <col min="5891" max="5894" width="9.140625" style="157"/>
    <col min="5895" max="5895" width="15.5703125" style="157" customWidth="1"/>
    <col min="5896" max="6135" width="9.140625" style="157"/>
    <col min="6136" max="6136" width="16" style="157" bestFit="1" customWidth="1"/>
    <col min="6137" max="6137" width="31.140625" style="157" bestFit="1" customWidth="1"/>
    <col min="6138" max="6138" width="3.42578125" style="157" customWidth="1"/>
    <col min="6139" max="6139" width="13.140625" style="157" customWidth="1"/>
    <col min="6140" max="6142" width="9.140625" style="157"/>
    <col min="6143" max="6143" width="11.5703125" style="157" customWidth="1"/>
    <col min="6144" max="6145" width="9.140625" style="157"/>
    <col min="6146" max="6146" width="3.85546875" style="157" customWidth="1"/>
    <col min="6147" max="6150" width="9.140625" style="157"/>
    <col min="6151" max="6151" width="15.5703125" style="157" customWidth="1"/>
    <col min="6152" max="6391" width="9.140625" style="157"/>
    <col min="6392" max="6392" width="16" style="157" bestFit="1" customWidth="1"/>
    <col min="6393" max="6393" width="31.140625" style="157" bestFit="1" customWidth="1"/>
    <col min="6394" max="6394" width="3.42578125" style="157" customWidth="1"/>
    <col min="6395" max="6395" width="13.140625" style="157" customWidth="1"/>
    <col min="6396" max="6398" width="9.140625" style="157"/>
    <col min="6399" max="6399" width="11.5703125" style="157" customWidth="1"/>
    <col min="6400" max="6401" width="9.140625" style="157"/>
    <col min="6402" max="6402" width="3.85546875" style="157" customWidth="1"/>
    <col min="6403" max="6406" width="9.140625" style="157"/>
    <col min="6407" max="6407" width="15.5703125" style="157" customWidth="1"/>
    <col min="6408" max="6647" width="9.140625" style="157"/>
    <col min="6648" max="6648" width="16" style="157" bestFit="1" customWidth="1"/>
    <col min="6649" max="6649" width="31.140625" style="157" bestFit="1" customWidth="1"/>
    <col min="6650" max="6650" width="3.42578125" style="157" customWidth="1"/>
    <col min="6651" max="6651" width="13.140625" style="157" customWidth="1"/>
    <col min="6652" max="6654" width="9.140625" style="157"/>
    <col min="6655" max="6655" width="11.5703125" style="157" customWidth="1"/>
    <col min="6656" max="6657" width="9.140625" style="157"/>
    <col min="6658" max="6658" width="3.85546875" style="157" customWidth="1"/>
    <col min="6659" max="6662" width="9.140625" style="157"/>
    <col min="6663" max="6663" width="15.5703125" style="157" customWidth="1"/>
    <col min="6664" max="6903" width="9.140625" style="157"/>
    <col min="6904" max="6904" width="16" style="157" bestFit="1" customWidth="1"/>
    <col min="6905" max="6905" width="31.140625" style="157" bestFit="1" customWidth="1"/>
    <col min="6906" max="6906" width="3.42578125" style="157" customWidth="1"/>
    <col min="6907" max="6907" width="13.140625" style="157" customWidth="1"/>
    <col min="6908" max="6910" width="9.140625" style="157"/>
    <col min="6911" max="6911" width="11.5703125" style="157" customWidth="1"/>
    <col min="6912" max="6913" width="9.140625" style="157"/>
    <col min="6914" max="6914" width="3.85546875" style="157" customWidth="1"/>
    <col min="6915" max="6918" width="9.140625" style="157"/>
    <col min="6919" max="6919" width="15.5703125" style="157" customWidth="1"/>
    <col min="6920" max="7159" width="9.140625" style="157"/>
    <col min="7160" max="7160" width="16" style="157" bestFit="1" customWidth="1"/>
    <col min="7161" max="7161" width="31.140625" style="157" bestFit="1" customWidth="1"/>
    <col min="7162" max="7162" width="3.42578125" style="157" customWidth="1"/>
    <col min="7163" max="7163" width="13.140625" style="157" customWidth="1"/>
    <col min="7164" max="7166" width="9.140625" style="157"/>
    <col min="7167" max="7167" width="11.5703125" style="157" customWidth="1"/>
    <col min="7168" max="7169" width="9.140625" style="157"/>
    <col min="7170" max="7170" width="3.85546875" style="157" customWidth="1"/>
    <col min="7171" max="7174" width="9.140625" style="157"/>
    <col min="7175" max="7175" width="15.5703125" style="157" customWidth="1"/>
    <col min="7176" max="7415" width="9.140625" style="157"/>
    <col min="7416" max="7416" width="16" style="157" bestFit="1" customWidth="1"/>
    <col min="7417" max="7417" width="31.140625" style="157" bestFit="1" customWidth="1"/>
    <col min="7418" max="7418" width="3.42578125" style="157" customWidth="1"/>
    <col min="7419" max="7419" width="13.140625" style="157" customWidth="1"/>
    <col min="7420" max="7422" width="9.140625" style="157"/>
    <col min="7423" max="7423" width="11.5703125" style="157" customWidth="1"/>
    <col min="7424" max="7425" width="9.140625" style="157"/>
    <col min="7426" max="7426" width="3.85546875" style="157" customWidth="1"/>
    <col min="7427" max="7430" width="9.140625" style="157"/>
    <col min="7431" max="7431" width="15.5703125" style="157" customWidth="1"/>
    <col min="7432" max="7671" width="9.140625" style="157"/>
    <col min="7672" max="7672" width="16" style="157" bestFit="1" customWidth="1"/>
    <col min="7673" max="7673" width="31.140625" style="157" bestFit="1" customWidth="1"/>
    <col min="7674" max="7674" width="3.42578125" style="157" customWidth="1"/>
    <col min="7675" max="7675" width="13.140625" style="157" customWidth="1"/>
    <col min="7676" max="7678" width="9.140625" style="157"/>
    <col min="7679" max="7679" width="11.5703125" style="157" customWidth="1"/>
    <col min="7680" max="7681" width="9.140625" style="157"/>
    <col min="7682" max="7682" width="3.85546875" style="157" customWidth="1"/>
    <col min="7683" max="7686" width="9.140625" style="157"/>
    <col min="7687" max="7687" width="15.5703125" style="157" customWidth="1"/>
    <col min="7688" max="7927" width="9.140625" style="157"/>
    <col min="7928" max="7928" width="16" style="157" bestFit="1" customWidth="1"/>
    <col min="7929" max="7929" width="31.140625" style="157" bestFit="1" customWidth="1"/>
    <col min="7930" max="7930" width="3.42578125" style="157" customWidth="1"/>
    <col min="7931" max="7931" width="13.140625" style="157" customWidth="1"/>
    <col min="7932" max="7934" width="9.140625" style="157"/>
    <col min="7935" max="7935" width="11.5703125" style="157" customWidth="1"/>
    <col min="7936" max="7937" width="9.140625" style="157"/>
    <col min="7938" max="7938" width="3.85546875" style="157" customWidth="1"/>
    <col min="7939" max="7942" width="9.140625" style="157"/>
    <col min="7943" max="7943" width="15.5703125" style="157" customWidth="1"/>
    <col min="7944" max="8183" width="9.140625" style="157"/>
    <col min="8184" max="8184" width="16" style="157" bestFit="1" customWidth="1"/>
    <col min="8185" max="8185" width="31.140625" style="157" bestFit="1" customWidth="1"/>
    <col min="8186" max="8186" width="3.42578125" style="157" customWidth="1"/>
    <col min="8187" max="8187" width="13.140625" style="157" customWidth="1"/>
    <col min="8188" max="8190" width="9.140625" style="157"/>
    <col min="8191" max="8191" width="11.5703125" style="157" customWidth="1"/>
    <col min="8192" max="8193" width="9.140625" style="157"/>
    <col min="8194" max="8194" width="3.85546875" style="157" customWidth="1"/>
    <col min="8195" max="8198" width="9.140625" style="157"/>
    <col min="8199" max="8199" width="15.5703125" style="157" customWidth="1"/>
    <col min="8200" max="8439" width="9.140625" style="157"/>
    <col min="8440" max="8440" width="16" style="157" bestFit="1" customWidth="1"/>
    <col min="8441" max="8441" width="31.140625" style="157" bestFit="1" customWidth="1"/>
    <col min="8442" max="8442" width="3.42578125" style="157" customWidth="1"/>
    <col min="8443" max="8443" width="13.140625" style="157" customWidth="1"/>
    <col min="8444" max="8446" width="9.140625" style="157"/>
    <col min="8447" max="8447" width="11.5703125" style="157" customWidth="1"/>
    <col min="8448" max="8449" width="9.140625" style="157"/>
    <col min="8450" max="8450" width="3.85546875" style="157" customWidth="1"/>
    <col min="8451" max="8454" width="9.140625" style="157"/>
    <col min="8455" max="8455" width="15.5703125" style="157" customWidth="1"/>
    <col min="8456" max="8695" width="9.140625" style="157"/>
    <col min="8696" max="8696" width="16" style="157" bestFit="1" customWidth="1"/>
    <col min="8697" max="8697" width="31.140625" style="157" bestFit="1" customWidth="1"/>
    <col min="8698" max="8698" width="3.42578125" style="157" customWidth="1"/>
    <col min="8699" max="8699" width="13.140625" style="157" customWidth="1"/>
    <col min="8700" max="8702" width="9.140625" style="157"/>
    <col min="8703" max="8703" width="11.5703125" style="157" customWidth="1"/>
    <col min="8704" max="8705" width="9.140625" style="157"/>
    <col min="8706" max="8706" width="3.85546875" style="157" customWidth="1"/>
    <col min="8707" max="8710" width="9.140625" style="157"/>
    <col min="8711" max="8711" width="15.5703125" style="157" customWidth="1"/>
    <col min="8712" max="8951" width="9.140625" style="157"/>
    <col min="8952" max="8952" width="16" style="157" bestFit="1" customWidth="1"/>
    <col min="8953" max="8953" width="31.140625" style="157" bestFit="1" customWidth="1"/>
    <col min="8954" max="8954" width="3.42578125" style="157" customWidth="1"/>
    <col min="8955" max="8955" width="13.140625" style="157" customWidth="1"/>
    <col min="8956" max="8958" width="9.140625" style="157"/>
    <col min="8959" max="8959" width="11.5703125" style="157" customWidth="1"/>
    <col min="8960" max="8961" width="9.140625" style="157"/>
    <col min="8962" max="8962" width="3.85546875" style="157" customWidth="1"/>
    <col min="8963" max="8966" width="9.140625" style="157"/>
    <col min="8967" max="8967" width="15.5703125" style="157" customWidth="1"/>
    <col min="8968" max="9207" width="9.140625" style="157"/>
    <col min="9208" max="9208" width="16" style="157" bestFit="1" customWidth="1"/>
    <col min="9209" max="9209" width="31.140625" style="157" bestFit="1" customWidth="1"/>
    <col min="9210" max="9210" width="3.42578125" style="157" customWidth="1"/>
    <col min="9211" max="9211" width="13.140625" style="157" customWidth="1"/>
    <col min="9212" max="9214" width="9.140625" style="157"/>
    <col min="9215" max="9215" width="11.5703125" style="157" customWidth="1"/>
    <col min="9216" max="9217" width="9.140625" style="157"/>
    <col min="9218" max="9218" width="3.85546875" style="157" customWidth="1"/>
    <col min="9219" max="9222" width="9.140625" style="157"/>
    <col min="9223" max="9223" width="15.5703125" style="157" customWidth="1"/>
    <col min="9224" max="9463" width="9.140625" style="157"/>
    <col min="9464" max="9464" width="16" style="157" bestFit="1" customWidth="1"/>
    <col min="9465" max="9465" width="31.140625" style="157" bestFit="1" customWidth="1"/>
    <col min="9466" max="9466" width="3.42578125" style="157" customWidth="1"/>
    <col min="9467" max="9467" width="13.140625" style="157" customWidth="1"/>
    <col min="9468" max="9470" width="9.140625" style="157"/>
    <col min="9471" max="9471" width="11.5703125" style="157" customWidth="1"/>
    <col min="9472" max="9473" width="9.140625" style="157"/>
    <col min="9474" max="9474" width="3.85546875" style="157" customWidth="1"/>
    <col min="9475" max="9478" width="9.140625" style="157"/>
    <col min="9479" max="9479" width="15.5703125" style="157" customWidth="1"/>
    <col min="9480" max="9719" width="9.140625" style="157"/>
    <col min="9720" max="9720" width="16" style="157" bestFit="1" customWidth="1"/>
    <col min="9721" max="9721" width="31.140625" style="157" bestFit="1" customWidth="1"/>
    <col min="9722" max="9722" width="3.42578125" style="157" customWidth="1"/>
    <col min="9723" max="9723" width="13.140625" style="157" customWidth="1"/>
    <col min="9724" max="9726" width="9.140625" style="157"/>
    <col min="9727" max="9727" width="11.5703125" style="157" customWidth="1"/>
    <col min="9728" max="9729" width="9.140625" style="157"/>
    <col min="9730" max="9730" width="3.85546875" style="157" customWidth="1"/>
    <col min="9731" max="9734" width="9.140625" style="157"/>
    <col min="9735" max="9735" width="15.5703125" style="157" customWidth="1"/>
    <col min="9736" max="9975" width="9.140625" style="157"/>
    <col min="9976" max="9976" width="16" style="157" bestFit="1" customWidth="1"/>
    <col min="9977" max="9977" width="31.140625" style="157" bestFit="1" customWidth="1"/>
    <col min="9978" max="9978" width="3.42578125" style="157" customWidth="1"/>
    <col min="9979" max="9979" width="13.140625" style="157" customWidth="1"/>
    <col min="9980" max="9982" width="9.140625" style="157"/>
    <col min="9983" max="9983" width="11.5703125" style="157" customWidth="1"/>
    <col min="9984" max="9985" width="9.140625" style="157"/>
    <col min="9986" max="9986" width="3.85546875" style="157" customWidth="1"/>
    <col min="9987" max="9990" width="9.140625" style="157"/>
    <col min="9991" max="9991" width="15.5703125" style="157" customWidth="1"/>
    <col min="9992" max="10231" width="9.140625" style="157"/>
    <col min="10232" max="10232" width="16" style="157" bestFit="1" customWidth="1"/>
    <col min="10233" max="10233" width="31.140625" style="157" bestFit="1" customWidth="1"/>
    <col min="10234" max="10234" width="3.42578125" style="157" customWidth="1"/>
    <col min="10235" max="10235" width="13.140625" style="157" customWidth="1"/>
    <col min="10236" max="10238" width="9.140625" style="157"/>
    <col min="10239" max="10239" width="11.5703125" style="157" customWidth="1"/>
    <col min="10240" max="10241" width="9.140625" style="157"/>
    <col min="10242" max="10242" width="3.85546875" style="157" customWidth="1"/>
    <col min="10243" max="10246" width="9.140625" style="157"/>
    <col min="10247" max="10247" width="15.5703125" style="157" customWidth="1"/>
    <col min="10248" max="10487" width="9.140625" style="157"/>
    <col min="10488" max="10488" width="16" style="157" bestFit="1" customWidth="1"/>
    <col min="10489" max="10489" width="31.140625" style="157" bestFit="1" customWidth="1"/>
    <col min="10490" max="10490" width="3.42578125" style="157" customWidth="1"/>
    <col min="10491" max="10491" width="13.140625" style="157" customWidth="1"/>
    <col min="10492" max="10494" width="9.140625" style="157"/>
    <col min="10495" max="10495" width="11.5703125" style="157" customWidth="1"/>
    <col min="10496" max="10497" width="9.140625" style="157"/>
    <col min="10498" max="10498" width="3.85546875" style="157" customWidth="1"/>
    <col min="10499" max="10502" width="9.140625" style="157"/>
    <col min="10503" max="10503" width="15.5703125" style="157" customWidth="1"/>
    <col min="10504" max="10743" width="9.140625" style="157"/>
    <col min="10744" max="10744" width="16" style="157" bestFit="1" customWidth="1"/>
    <col min="10745" max="10745" width="31.140625" style="157" bestFit="1" customWidth="1"/>
    <col min="10746" max="10746" width="3.42578125" style="157" customWidth="1"/>
    <col min="10747" max="10747" width="13.140625" style="157" customWidth="1"/>
    <col min="10748" max="10750" width="9.140625" style="157"/>
    <col min="10751" max="10751" width="11.5703125" style="157" customWidth="1"/>
    <col min="10752" max="10753" width="9.140625" style="157"/>
    <col min="10754" max="10754" width="3.85546875" style="157" customWidth="1"/>
    <col min="10755" max="10758" width="9.140625" style="157"/>
    <col min="10759" max="10759" width="15.5703125" style="157" customWidth="1"/>
    <col min="10760" max="10999" width="9.140625" style="157"/>
    <col min="11000" max="11000" width="16" style="157" bestFit="1" customWidth="1"/>
    <col min="11001" max="11001" width="31.140625" style="157" bestFit="1" customWidth="1"/>
    <col min="11002" max="11002" width="3.42578125" style="157" customWidth="1"/>
    <col min="11003" max="11003" width="13.140625" style="157" customWidth="1"/>
    <col min="11004" max="11006" width="9.140625" style="157"/>
    <col min="11007" max="11007" width="11.5703125" style="157" customWidth="1"/>
    <col min="11008" max="11009" width="9.140625" style="157"/>
    <col min="11010" max="11010" width="3.85546875" style="157" customWidth="1"/>
    <col min="11011" max="11014" width="9.140625" style="157"/>
    <col min="11015" max="11015" width="15.5703125" style="157" customWidth="1"/>
    <col min="11016" max="11255" width="9.140625" style="157"/>
    <col min="11256" max="11256" width="16" style="157" bestFit="1" customWidth="1"/>
    <col min="11257" max="11257" width="31.140625" style="157" bestFit="1" customWidth="1"/>
    <col min="11258" max="11258" width="3.42578125" style="157" customWidth="1"/>
    <col min="11259" max="11259" width="13.140625" style="157" customWidth="1"/>
    <col min="11260" max="11262" width="9.140625" style="157"/>
    <col min="11263" max="11263" width="11.5703125" style="157" customWidth="1"/>
    <col min="11264" max="11265" width="9.140625" style="157"/>
    <col min="11266" max="11266" width="3.85546875" style="157" customWidth="1"/>
    <col min="11267" max="11270" width="9.140625" style="157"/>
    <col min="11271" max="11271" width="15.5703125" style="157" customWidth="1"/>
    <col min="11272" max="11511" width="9.140625" style="157"/>
    <col min="11512" max="11512" width="16" style="157" bestFit="1" customWidth="1"/>
    <col min="11513" max="11513" width="31.140625" style="157" bestFit="1" customWidth="1"/>
    <col min="11514" max="11514" width="3.42578125" style="157" customWidth="1"/>
    <col min="11515" max="11515" width="13.140625" style="157" customWidth="1"/>
    <col min="11516" max="11518" width="9.140625" style="157"/>
    <col min="11519" max="11519" width="11.5703125" style="157" customWidth="1"/>
    <col min="11520" max="11521" width="9.140625" style="157"/>
    <col min="11522" max="11522" width="3.85546875" style="157" customWidth="1"/>
    <col min="11523" max="11526" width="9.140625" style="157"/>
    <col min="11527" max="11527" width="15.5703125" style="157" customWidth="1"/>
    <col min="11528" max="11767" width="9.140625" style="157"/>
    <col min="11768" max="11768" width="16" style="157" bestFit="1" customWidth="1"/>
    <col min="11769" max="11769" width="31.140625" style="157" bestFit="1" customWidth="1"/>
    <col min="11770" max="11770" width="3.42578125" style="157" customWidth="1"/>
    <col min="11771" max="11771" width="13.140625" style="157" customWidth="1"/>
    <col min="11772" max="11774" width="9.140625" style="157"/>
    <col min="11775" max="11775" width="11.5703125" style="157" customWidth="1"/>
    <col min="11776" max="11777" width="9.140625" style="157"/>
    <col min="11778" max="11778" width="3.85546875" style="157" customWidth="1"/>
    <col min="11779" max="11782" width="9.140625" style="157"/>
    <col min="11783" max="11783" width="15.5703125" style="157" customWidth="1"/>
    <col min="11784" max="12023" width="9.140625" style="157"/>
    <col min="12024" max="12024" width="16" style="157" bestFit="1" customWidth="1"/>
    <col min="12025" max="12025" width="31.140625" style="157" bestFit="1" customWidth="1"/>
    <col min="12026" max="12026" width="3.42578125" style="157" customWidth="1"/>
    <col min="12027" max="12027" width="13.140625" style="157" customWidth="1"/>
    <col min="12028" max="12030" width="9.140625" style="157"/>
    <col min="12031" max="12031" width="11.5703125" style="157" customWidth="1"/>
    <col min="12032" max="12033" width="9.140625" style="157"/>
    <col min="12034" max="12034" width="3.85546875" style="157" customWidth="1"/>
    <col min="12035" max="12038" width="9.140625" style="157"/>
    <col min="12039" max="12039" width="15.5703125" style="157" customWidth="1"/>
    <col min="12040" max="12279" width="9.140625" style="157"/>
    <col min="12280" max="12280" width="16" style="157" bestFit="1" customWidth="1"/>
    <col min="12281" max="12281" width="31.140625" style="157" bestFit="1" customWidth="1"/>
    <col min="12282" max="12282" width="3.42578125" style="157" customWidth="1"/>
    <col min="12283" max="12283" width="13.140625" style="157" customWidth="1"/>
    <col min="12284" max="12286" width="9.140625" style="157"/>
    <col min="12287" max="12287" width="11.5703125" style="157" customWidth="1"/>
    <col min="12288" max="12289" width="9.140625" style="157"/>
    <col min="12290" max="12290" width="3.85546875" style="157" customWidth="1"/>
    <col min="12291" max="12294" width="9.140625" style="157"/>
    <col min="12295" max="12295" width="15.5703125" style="157" customWidth="1"/>
    <col min="12296" max="12535" width="9.140625" style="157"/>
    <col min="12536" max="12536" width="16" style="157" bestFit="1" customWidth="1"/>
    <col min="12537" max="12537" width="31.140625" style="157" bestFit="1" customWidth="1"/>
    <col min="12538" max="12538" width="3.42578125" style="157" customWidth="1"/>
    <col min="12539" max="12539" width="13.140625" style="157" customWidth="1"/>
    <col min="12540" max="12542" width="9.140625" style="157"/>
    <col min="12543" max="12543" width="11.5703125" style="157" customWidth="1"/>
    <col min="12544" max="12545" width="9.140625" style="157"/>
    <col min="12546" max="12546" width="3.85546875" style="157" customWidth="1"/>
    <col min="12547" max="12550" width="9.140625" style="157"/>
    <col min="12551" max="12551" width="15.5703125" style="157" customWidth="1"/>
    <col min="12552" max="12791" width="9.140625" style="157"/>
    <col min="12792" max="12792" width="16" style="157" bestFit="1" customWidth="1"/>
    <col min="12793" max="12793" width="31.140625" style="157" bestFit="1" customWidth="1"/>
    <col min="12794" max="12794" width="3.42578125" style="157" customWidth="1"/>
    <col min="12795" max="12795" width="13.140625" style="157" customWidth="1"/>
    <col min="12796" max="12798" width="9.140625" style="157"/>
    <col min="12799" max="12799" width="11.5703125" style="157" customWidth="1"/>
    <col min="12800" max="12801" width="9.140625" style="157"/>
    <col min="12802" max="12802" width="3.85546875" style="157" customWidth="1"/>
    <col min="12803" max="12806" width="9.140625" style="157"/>
    <col min="12807" max="12807" width="15.5703125" style="157" customWidth="1"/>
    <col min="12808" max="13047" width="9.140625" style="157"/>
    <col min="13048" max="13048" width="16" style="157" bestFit="1" customWidth="1"/>
    <col min="13049" max="13049" width="31.140625" style="157" bestFit="1" customWidth="1"/>
    <col min="13050" max="13050" width="3.42578125" style="157" customWidth="1"/>
    <col min="13051" max="13051" width="13.140625" style="157" customWidth="1"/>
    <col min="13052" max="13054" width="9.140625" style="157"/>
    <col min="13055" max="13055" width="11.5703125" style="157" customWidth="1"/>
    <col min="13056" max="13057" width="9.140625" style="157"/>
    <col min="13058" max="13058" width="3.85546875" style="157" customWidth="1"/>
    <col min="13059" max="13062" width="9.140625" style="157"/>
    <col min="13063" max="13063" width="15.5703125" style="157" customWidth="1"/>
    <col min="13064" max="13303" width="9.140625" style="157"/>
    <col min="13304" max="13304" width="16" style="157" bestFit="1" customWidth="1"/>
    <col min="13305" max="13305" width="31.140625" style="157" bestFit="1" customWidth="1"/>
    <col min="13306" max="13306" width="3.42578125" style="157" customWidth="1"/>
    <col min="13307" max="13307" width="13.140625" style="157" customWidth="1"/>
    <col min="13308" max="13310" width="9.140625" style="157"/>
    <col min="13311" max="13311" width="11.5703125" style="157" customWidth="1"/>
    <col min="13312" max="13313" width="9.140625" style="157"/>
    <col min="13314" max="13314" width="3.85546875" style="157" customWidth="1"/>
    <col min="13315" max="13318" width="9.140625" style="157"/>
    <col min="13319" max="13319" width="15.5703125" style="157" customWidth="1"/>
    <col min="13320" max="13559" width="9.140625" style="157"/>
    <col min="13560" max="13560" width="16" style="157" bestFit="1" customWidth="1"/>
    <col min="13561" max="13561" width="31.140625" style="157" bestFit="1" customWidth="1"/>
    <col min="13562" max="13562" width="3.42578125" style="157" customWidth="1"/>
    <col min="13563" max="13563" width="13.140625" style="157" customWidth="1"/>
    <col min="13564" max="13566" width="9.140625" style="157"/>
    <col min="13567" max="13567" width="11.5703125" style="157" customWidth="1"/>
    <col min="13568" max="13569" width="9.140625" style="157"/>
    <col min="13570" max="13570" width="3.85546875" style="157" customWidth="1"/>
    <col min="13571" max="13574" width="9.140625" style="157"/>
    <col min="13575" max="13575" width="15.5703125" style="157" customWidth="1"/>
    <col min="13576" max="13815" width="9.140625" style="157"/>
    <col min="13816" max="13816" width="16" style="157" bestFit="1" customWidth="1"/>
    <col min="13817" max="13817" width="31.140625" style="157" bestFit="1" customWidth="1"/>
    <col min="13818" max="13818" width="3.42578125" style="157" customWidth="1"/>
    <col min="13819" max="13819" width="13.140625" style="157" customWidth="1"/>
    <col min="13820" max="13822" width="9.140625" style="157"/>
    <col min="13823" max="13823" width="11.5703125" style="157" customWidth="1"/>
    <col min="13824" max="13825" width="9.140625" style="157"/>
    <col min="13826" max="13826" width="3.85546875" style="157" customWidth="1"/>
    <col min="13827" max="13830" width="9.140625" style="157"/>
    <col min="13831" max="13831" width="15.5703125" style="157" customWidth="1"/>
    <col min="13832" max="14071" width="9.140625" style="157"/>
    <col min="14072" max="14072" width="16" style="157" bestFit="1" customWidth="1"/>
    <col min="14073" max="14073" width="31.140625" style="157" bestFit="1" customWidth="1"/>
    <col min="14074" max="14074" width="3.42578125" style="157" customWidth="1"/>
    <col min="14075" max="14075" width="13.140625" style="157" customWidth="1"/>
    <col min="14076" max="14078" width="9.140625" style="157"/>
    <col min="14079" max="14079" width="11.5703125" style="157" customWidth="1"/>
    <col min="14080" max="14081" width="9.140625" style="157"/>
    <col min="14082" max="14082" width="3.85546875" style="157" customWidth="1"/>
    <col min="14083" max="14086" width="9.140625" style="157"/>
    <col min="14087" max="14087" width="15.5703125" style="157" customWidth="1"/>
    <col min="14088" max="14327" width="9.140625" style="157"/>
    <col min="14328" max="14328" width="16" style="157" bestFit="1" customWidth="1"/>
    <col min="14329" max="14329" width="31.140625" style="157" bestFit="1" customWidth="1"/>
    <col min="14330" max="14330" width="3.42578125" style="157" customWidth="1"/>
    <col min="14331" max="14331" width="13.140625" style="157" customWidth="1"/>
    <col min="14332" max="14334" width="9.140625" style="157"/>
    <col min="14335" max="14335" width="11.5703125" style="157" customWidth="1"/>
    <col min="14336" max="14337" width="9.140625" style="157"/>
    <col min="14338" max="14338" width="3.85546875" style="157" customWidth="1"/>
    <col min="14339" max="14342" width="9.140625" style="157"/>
    <col min="14343" max="14343" width="15.5703125" style="157" customWidth="1"/>
    <col min="14344" max="14583" width="9.140625" style="157"/>
    <col min="14584" max="14584" width="16" style="157" bestFit="1" customWidth="1"/>
    <col min="14585" max="14585" width="31.140625" style="157" bestFit="1" customWidth="1"/>
    <col min="14586" max="14586" width="3.42578125" style="157" customWidth="1"/>
    <col min="14587" max="14587" width="13.140625" style="157" customWidth="1"/>
    <col min="14588" max="14590" width="9.140625" style="157"/>
    <col min="14591" max="14591" width="11.5703125" style="157" customWidth="1"/>
    <col min="14592" max="14593" width="9.140625" style="157"/>
    <col min="14594" max="14594" width="3.85546875" style="157" customWidth="1"/>
    <col min="14595" max="14598" width="9.140625" style="157"/>
    <col min="14599" max="14599" width="15.5703125" style="157" customWidth="1"/>
    <col min="14600" max="14839" width="9.140625" style="157"/>
    <col min="14840" max="14840" width="16" style="157" bestFit="1" customWidth="1"/>
    <col min="14841" max="14841" width="31.140625" style="157" bestFit="1" customWidth="1"/>
    <col min="14842" max="14842" width="3.42578125" style="157" customWidth="1"/>
    <col min="14843" max="14843" width="13.140625" style="157" customWidth="1"/>
    <col min="14844" max="14846" width="9.140625" style="157"/>
    <col min="14847" max="14847" width="11.5703125" style="157" customWidth="1"/>
    <col min="14848" max="14849" width="9.140625" style="157"/>
    <col min="14850" max="14850" width="3.85546875" style="157" customWidth="1"/>
    <col min="14851" max="14854" width="9.140625" style="157"/>
    <col min="14855" max="14855" width="15.5703125" style="157" customWidth="1"/>
    <col min="14856" max="15095" width="9.140625" style="157"/>
    <col min="15096" max="15096" width="16" style="157" bestFit="1" customWidth="1"/>
    <col min="15097" max="15097" width="31.140625" style="157" bestFit="1" customWidth="1"/>
    <col min="15098" max="15098" width="3.42578125" style="157" customWidth="1"/>
    <col min="15099" max="15099" width="13.140625" style="157" customWidth="1"/>
    <col min="15100" max="15102" width="9.140625" style="157"/>
    <col min="15103" max="15103" width="11.5703125" style="157" customWidth="1"/>
    <col min="15104" max="15105" width="9.140625" style="157"/>
    <col min="15106" max="15106" width="3.85546875" style="157" customWidth="1"/>
    <col min="15107" max="15110" width="9.140625" style="157"/>
    <col min="15111" max="15111" width="15.5703125" style="157" customWidth="1"/>
    <col min="15112" max="15351" width="9.140625" style="157"/>
    <col min="15352" max="15352" width="16" style="157" bestFit="1" customWidth="1"/>
    <col min="15353" max="15353" width="31.140625" style="157" bestFit="1" customWidth="1"/>
    <col min="15354" max="15354" width="3.42578125" style="157" customWidth="1"/>
    <col min="15355" max="15355" width="13.140625" style="157" customWidth="1"/>
    <col min="15356" max="15358" width="9.140625" style="157"/>
    <col min="15359" max="15359" width="11.5703125" style="157" customWidth="1"/>
    <col min="15360" max="15361" width="9.140625" style="157"/>
    <col min="15362" max="15362" width="3.85546875" style="157" customWidth="1"/>
    <col min="15363" max="15366" width="9.140625" style="157"/>
    <col min="15367" max="15367" width="15.5703125" style="157" customWidth="1"/>
    <col min="15368" max="15607" width="9.140625" style="157"/>
    <col min="15608" max="15608" width="16" style="157" bestFit="1" customWidth="1"/>
    <col min="15609" max="15609" width="31.140625" style="157" bestFit="1" customWidth="1"/>
    <col min="15610" max="15610" width="3.42578125" style="157" customWidth="1"/>
    <col min="15611" max="15611" width="13.140625" style="157" customWidth="1"/>
    <col min="15612" max="15614" width="9.140625" style="157"/>
    <col min="15615" max="15615" width="11.5703125" style="157" customWidth="1"/>
    <col min="15616" max="15617" width="9.140625" style="157"/>
    <col min="15618" max="15618" width="3.85546875" style="157" customWidth="1"/>
    <col min="15619" max="15622" width="9.140625" style="157"/>
    <col min="15623" max="15623" width="15.5703125" style="157" customWidth="1"/>
    <col min="15624" max="15863" width="9.140625" style="157"/>
    <col min="15864" max="15864" width="16" style="157" bestFit="1" customWidth="1"/>
    <col min="15865" max="15865" width="31.140625" style="157" bestFit="1" customWidth="1"/>
    <col min="15866" max="15866" width="3.42578125" style="157" customWidth="1"/>
    <col min="15867" max="15867" width="13.140625" style="157" customWidth="1"/>
    <col min="15868" max="15870" width="9.140625" style="157"/>
    <col min="15871" max="15871" width="11.5703125" style="157" customWidth="1"/>
    <col min="15872" max="15873" width="9.140625" style="157"/>
    <col min="15874" max="15874" width="3.85546875" style="157" customWidth="1"/>
    <col min="15875" max="15878" width="9.140625" style="157"/>
    <col min="15879" max="15879" width="15.5703125" style="157" customWidth="1"/>
    <col min="15880" max="16119" width="9.140625" style="157"/>
    <col min="16120" max="16120" width="16" style="157" bestFit="1" customWidth="1"/>
    <col min="16121" max="16121" width="31.140625" style="157" bestFit="1" customWidth="1"/>
    <col min="16122" max="16122" width="3.42578125" style="157" customWidth="1"/>
    <col min="16123" max="16123" width="13.140625" style="157" customWidth="1"/>
    <col min="16124" max="16126" width="9.140625" style="157"/>
    <col min="16127" max="16127" width="11.5703125" style="157" customWidth="1"/>
    <col min="16128" max="16129" width="9.140625" style="157"/>
    <col min="16130" max="16130" width="3.85546875" style="157" customWidth="1"/>
    <col min="16131" max="16134" width="9.140625" style="157"/>
    <col min="16135" max="16135" width="15.5703125" style="157" customWidth="1"/>
    <col min="16136" max="16384" width="9.140625" style="157"/>
  </cols>
  <sheetData>
    <row r="1" spans="2:53" ht="19.5" customHeight="1">
      <c r="B1" s="97" t="s">
        <v>123</v>
      </c>
      <c r="G1" s="288" t="s">
        <v>318</v>
      </c>
      <c r="H1" s="171"/>
      <c r="L1" s="1128"/>
      <c r="M1" s="1128"/>
    </row>
    <row r="2" spans="2:53" ht="24.75" customHeight="1" thickBot="1">
      <c r="B2" s="503">
        <v>43495</v>
      </c>
      <c r="E2" s="170">
        <f>E3*E4</f>
        <v>4015</v>
      </c>
      <c r="J2" s="170">
        <f>J3*J4</f>
        <v>4380</v>
      </c>
      <c r="O2" s="170">
        <f>O3*O4</f>
        <v>4745</v>
      </c>
      <c r="T2" s="170">
        <f>T3*T4</f>
        <v>5110</v>
      </c>
      <c r="Y2" s="170">
        <f>Y3*Y4</f>
        <v>5475</v>
      </c>
      <c r="AD2" s="170">
        <f>AD3*AD4</f>
        <v>5840</v>
      </c>
    </row>
    <row r="3" spans="2:53" ht="15.75">
      <c r="B3" s="1129" t="s">
        <v>124</v>
      </c>
      <c r="C3" s="1130"/>
      <c r="D3" s="174" t="s">
        <v>106</v>
      </c>
      <c r="E3" s="175">
        <v>11</v>
      </c>
      <c r="F3" s="176"/>
      <c r="G3" s="1122" t="s">
        <v>124</v>
      </c>
      <c r="H3" s="1123"/>
      <c r="I3" s="177" t="s">
        <v>106</v>
      </c>
      <c r="J3" s="178">
        <v>12</v>
      </c>
      <c r="K3" s="176"/>
      <c r="L3" s="1122" t="s">
        <v>124</v>
      </c>
      <c r="M3" s="1123"/>
      <c r="N3" s="177" t="s">
        <v>106</v>
      </c>
      <c r="O3" s="178">
        <v>13</v>
      </c>
      <c r="P3" s="176"/>
      <c r="Q3" s="1122" t="s">
        <v>124</v>
      </c>
      <c r="R3" s="1123"/>
      <c r="S3" s="177" t="s">
        <v>106</v>
      </c>
      <c r="T3" s="178">
        <v>14</v>
      </c>
      <c r="U3" s="176"/>
      <c r="V3" s="1122" t="s">
        <v>124</v>
      </c>
      <c r="W3" s="1123"/>
      <c r="X3" s="177" t="s">
        <v>106</v>
      </c>
      <c r="Y3" s="178">
        <v>15</v>
      </c>
      <c r="Z3" s="176"/>
      <c r="AA3" s="1122" t="s">
        <v>124</v>
      </c>
      <c r="AB3" s="1123"/>
      <c r="AC3" s="177" t="s">
        <v>106</v>
      </c>
      <c r="AD3" s="178">
        <v>16</v>
      </c>
      <c r="AE3" s="176"/>
    </row>
    <row r="4" spans="2:53" ht="15.75">
      <c r="B4" s="1124" t="s">
        <v>317</v>
      </c>
      <c r="C4" s="1125"/>
      <c r="D4" s="179" t="s">
        <v>50</v>
      </c>
      <c r="E4" s="180">
        <v>365</v>
      </c>
      <c r="F4" s="176"/>
      <c r="G4" s="1126" t="s">
        <v>316</v>
      </c>
      <c r="H4" s="1127"/>
      <c r="I4" s="181" t="s">
        <v>50</v>
      </c>
      <c r="J4" s="182">
        <v>365</v>
      </c>
      <c r="K4" s="176"/>
      <c r="L4" s="1126" t="s">
        <v>125</v>
      </c>
      <c r="M4" s="1127"/>
      <c r="N4" s="181" t="s">
        <v>50</v>
      </c>
      <c r="O4" s="182">
        <v>365</v>
      </c>
      <c r="P4" s="176"/>
      <c r="Q4" s="1126" t="s">
        <v>126</v>
      </c>
      <c r="R4" s="1127"/>
      <c r="S4" s="181" t="s">
        <v>50</v>
      </c>
      <c r="T4" s="182">
        <v>365</v>
      </c>
      <c r="U4" s="176"/>
      <c r="V4" s="1126" t="s">
        <v>127</v>
      </c>
      <c r="W4" s="1127"/>
      <c r="X4" s="181" t="s">
        <v>50</v>
      </c>
      <c r="Y4" s="182">
        <v>365</v>
      </c>
      <c r="Z4" s="176"/>
      <c r="AA4" s="1126" t="s">
        <v>128</v>
      </c>
      <c r="AB4" s="1127"/>
      <c r="AC4" s="181" t="s">
        <v>50</v>
      </c>
      <c r="AD4" s="182">
        <v>365</v>
      </c>
      <c r="AE4" s="176"/>
    </row>
    <row r="5" spans="2:53" ht="39.75" customHeight="1">
      <c r="B5" s="183" t="s">
        <v>107</v>
      </c>
      <c r="C5" s="184" t="s">
        <v>290</v>
      </c>
      <c r="D5" s="184" t="s">
        <v>276</v>
      </c>
      <c r="E5" s="185" t="s">
        <v>109</v>
      </c>
      <c r="F5" s="109"/>
      <c r="G5" s="186" t="s">
        <v>107</v>
      </c>
      <c r="H5" s="184" t="s">
        <v>290</v>
      </c>
      <c r="I5" s="184" t="s">
        <v>276</v>
      </c>
      <c r="J5" s="187" t="s">
        <v>109</v>
      </c>
      <c r="K5" s="109"/>
      <c r="L5" s="186" t="s">
        <v>107</v>
      </c>
      <c r="M5" s="184" t="s">
        <v>290</v>
      </c>
      <c r="N5" s="184" t="s">
        <v>276</v>
      </c>
      <c r="O5" s="187" t="s">
        <v>109</v>
      </c>
      <c r="P5" s="109"/>
      <c r="Q5" s="186" t="s">
        <v>107</v>
      </c>
      <c r="R5" s="184" t="s">
        <v>290</v>
      </c>
      <c r="S5" s="184" t="s">
        <v>276</v>
      </c>
      <c r="T5" s="188" t="s">
        <v>109</v>
      </c>
      <c r="U5" s="109"/>
      <c r="V5" s="186" t="s">
        <v>107</v>
      </c>
      <c r="W5" s="184" t="s">
        <v>290</v>
      </c>
      <c r="X5" s="184" t="s">
        <v>276</v>
      </c>
      <c r="Y5" s="188" t="s">
        <v>109</v>
      </c>
      <c r="Z5" s="109"/>
      <c r="AA5" s="186" t="s">
        <v>107</v>
      </c>
      <c r="AB5" s="184" t="s">
        <v>290</v>
      </c>
      <c r="AC5" s="184" t="s">
        <v>276</v>
      </c>
      <c r="AD5" s="188" t="s">
        <v>109</v>
      </c>
      <c r="AE5" s="109"/>
    </row>
    <row r="6" spans="2:53" s="173" customFormat="1" ht="22.5" customHeight="1">
      <c r="B6" s="1035" t="str">
        <f>'Master Lookup'!B15</f>
        <v>Program Manager / Director</v>
      </c>
      <c r="C6" s="1036">
        <f>'[16]Staffing charts'!$B$7</f>
        <v>1</v>
      </c>
      <c r="D6" s="1037">
        <f>'Master Lookup'!C15</f>
        <v>62995</v>
      </c>
      <c r="E6" s="1038">
        <f t="shared" ref="E6:E13" si="0">C6*D6</f>
        <v>62995</v>
      </c>
      <c r="F6" s="114"/>
      <c r="G6" s="1039" t="str">
        <f>B6</f>
        <v>Program Manager / Director</v>
      </c>
      <c r="H6" s="1036">
        <f>'[16]Staffing charts'!$B$7</f>
        <v>1</v>
      </c>
      <c r="I6" s="1040">
        <f t="shared" ref="I6:I13" si="1">D6</f>
        <v>62995</v>
      </c>
      <c r="J6" s="1041">
        <f>I6*H6</f>
        <v>62995</v>
      </c>
      <c r="K6" s="114"/>
      <c r="L6" s="1039" t="str">
        <f>G6</f>
        <v>Program Manager / Director</v>
      </c>
      <c r="M6" s="1036">
        <f>'[16]Staffing charts'!$B$7</f>
        <v>1</v>
      </c>
      <c r="N6" s="1040">
        <f t="shared" ref="N6:N13" si="2">I6</f>
        <v>62995</v>
      </c>
      <c r="O6" s="1041">
        <f>N6*M6</f>
        <v>62995</v>
      </c>
      <c r="P6" s="114"/>
      <c r="Q6" s="1039" t="str">
        <f>L6</f>
        <v>Program Manager / Director</v>
      </c>
      <c r="R6" s="190">
        <f>'[16]Staffing charts'!$B$7</f>
        <v>1</v>
      </c>
      <c r="S6" s="1040">
        <f t="shared" ref="S6:S13" si="3">N6</f>
        <v>62995</v>
      </c>
      <c r="T6" s="1041">
        <f>S6*R6</f>
        <v>62995</v>
      </c>
      <c r="U6" s="114"/>
      <c r="V6" s="1039" t="str">
        <f>Q6</f>
        <v>Program Manager / Director</v>
      </c>
      <c r="W6" s="190">
        <f>'[16]Staffing charts'!$B$7</f>
        <v>1</v>
      </c>
      <c r="X6" s="1040">
        <f t="shared" ref="X6:X13" si="4">S6</f>
        <v>62995</v>
      </c>
      <c r="Y6" s="1041">
        <f>W6*X6</f>
        <v>62995</v>
      </c>
      <c r="Z6" s="114"/>
      <c r="AA6" s="1039" t="str">
        <f>V6</f>
        <v>Program Manager / Director</v>
      </c>
      <c r="AB6" s="190">
        <f>'[16]Staffing charts'!$B$7</f>
        <v>1</v>
      </c>
      <c r="AC6" s="1040">
        <f t="shared" ref="AC6:AC13" si="5">X6</f>
        <v>62995</v>
      </c>
      <c r="AD6" s="1041">
        <f>AB6*AC6</f>
        <v>62995</v>
      </c>
      <c r="AE6" s="114"/>
    </row>
    <row r="7" spans="2:53" s="173" customFormat="1" ht="22.5" customHeight="1">
      <c r="B7" s="1035" t="s">
        <v>129</v>
      </c>
      <c r="C7" s="191">
        <f>'[16]Staffing charts'!$B$8</f>
        <v>1</v>
      </c>
      <c r="D7" s="1037">
        <f>'Master Lookup'!C16</f>
        <v>57412</v>
      </c>
      <c r="E7" s="1038">
        <f t="shared" si="0"/>
        <v>57412</v>
      </c>
      <c r="F7" s="114"/>
      <c r="G7" s="1042" t="s">
        <v>129</v>
      </c>
      <c r="H7" s="190">
        <f>'[16]Staffing charts'!$B$8</f>
        <v>1</v>
      </c>
      <c r="I7" s="1040">
        <f t="shared" si="1"/>
        <v>57412</v>
      </c>
      <c r="J7" s="1041">
        <f t="shared" ref="J7:J13" si="6">I7*H7</f>
        <v>57412</v>
      </c>
      <c r="K7" s="114"/>
      <c r="L7" s="1042" t="s">
        <v>129</v>
      </c>
      <c r="M7" s="190">
        <f>'[16]Staffing charts'!$B$8</f>
        <v>1</v>
      </c>
      <c r="N7" s="1040">
        <f t="shared" si="2"/>
        <v>57412</v>
      </c>
      <c r="O7" s="1041">
        <f t="shared" ref="O7:O13" si="7">N7*M7</f>
        <v>57412</v>
      </c>
      <c r="P7" s="114"/>
      <c r="Q7" s="1042" t="s">
        <v>129</v>
      </c>
      <c r="R7" s="190">
        <f>'[16]Staffing charts'!$B$8</f>
        <v>1</v>
      </c>
      <c r="S7" s="1040">
        <f t="shared" si="3"/>
        <v>57412</v>
      </c>
      <c r="T7" s="1041">
        <f t="shared" ref="T7:T13" si="8">S7*R7</f>
        <v>57412</v>
      </c>
      <c r="U7" s="114"/>
      <c r="V7" s="1042" t="s">
        <v>129</v>
      </c>
      <c r="W7" s="190">
        <f>'[16]Staffing charts'!$B$8</f>
        <v>1</v>
      </c>
      <c r="X7" s="1040">
        <f t="shared" si="4"/>
        <v>57412</v>
      </c>
      <c r="Y7" s="1041">
        <f t="shared" ref="Y7:Y13" si="9">W7*X7</f>
        <v>57412</v>
      </c>
      <c r="Z7" s="114"/>
      <c r="AA7" s="1042" t="s">
        <v>129</v>
      </c>
      <c r="AB7" s="190">
        <f>'[16]Staffing charts'!$B$8</f>
        <v>1</v>
      </c>
      <c r="AC7" s="1040">
        <f t="shared" si="5"/>
        <v>57412</v>
      </c>
      <c r="AD7" s="1041">
        <f t="shared" ref="AD7:AD13" si="10">AB7*AC7</f>
        <v>57412</v>
      </c>
      <c r="AE7" s="114"/>
    </row>
    <row r="8" spans="2:53" s="173" customFormat="1" ht="22.5" customHeight="1">
      <c r="B8" s="1035" t="s">
        <v>130</v>
      </c>
      <c r="C8" s="192">
        <f>'[16]Staffing charts'!$B$9</f>
        <v>1</v>
      </c>
      <c r="D8" s="1037">
        <f>'Master Lookup'!C22</f>
        <v>54841</v>
      </c>
      <c r="E8" s="1038">
        <f t="shared" si="0"/>
        <v>54841</v>
      </c>
      <c r="F8" s="193"/>
      <c r="G8" s="1043" t="s">
        <v>130</v>
      </c>
      <c r="H8" s="194">
        <f>'[16]Staffing charts'!$B$9</f>
        <v>1</v>
      </c>
      <c r="I8" s="1040">
        <f t="shared" si="1"/>
        <v>54841</v>
      </c>
      <c r="J8" s="1041">
        <f t="shared" si="6"/>
        <v>54841</v>
      </c>
      <c r="K8" s="193"/>
      <c r="L8" s="1043" t="s">
        <v>130</v>
      </c>
      <c r="M8" s="194">
        <f>'[16]Staffing charts'!$B$9</f>
        <v>1</v>
      </c>
      <c r="N8" s="1040">
        <f t="shared" si="2"/>
        <v>54841</v>
      </c>
      <c r="O8" s="1041">
        <f t="shared" si="7"/>
        <v>54841</v>
      </c>
      <c r="P8" s="193"/>
      <c r="Q8" s="1043" t="s">
        <v>130</v>
      </c>
      <c r="R8" s="194">
        <f>'[16]Staffing charts'!$B$9</f>
        <v>1</v>
      </c>
      <c r="S8" s="1040">
        <f t="shared" si="3"/>
        <v>54841</v>
      </c>
      <c r="T8" s="1041">
        <f t="shared" si="8"/>
        <v>54841</v>
      </c>
      <c r="U8" s="193"/>
      <c r="V8" s="1043" t="s">
        <v>130</v>
      </c>
      <c r="W8" s="194">
        <f>'[16]Staffing charts'!$B$9</f>
        <v>1</v>
      </c>
      <c r="X8" s="1040">
        <f t="shared" si="4"/>
        <v>54841</v>
      </c>
      <c r="Y8" s="1041">
        <f t="shared" si="9"/>
        <v>54841</v>
      </c>
      <c r="Z8" s="193"/>
      <c r="AA8" s="1043" t="s">
        <v>130</v>
      </c>
      <c r="AB8" s="194">
        <f>'[16]Staffing charts'!$B$9</f>
        <v>1</v>
      </c>
      <c r="AC8" s="1040">
        <f t="shared" si="5"/>
        <v>54841</v>
      </c>
      <c r="AD8" s="1041">
        <f t="shared" si="10"/>
        <v>54841</v>
      </c>
      <c r="AE8" s="193"/>
    </row>
    <row r="9" spans="2:53" s="173" customFormat="1" ht="22.5" customHeight="1">
      <c r="B9" s="1035" t="s">
        <v>131</v>
      </c>
      <c r="C9" s="191">
        <f>'[16]Staffing charts'!C13</f>
        <v>6.3</v>
      </c>
      <c r="D9" s="1037">
        <f>'Master Lookup'!C31</f>
        <v>30480</v>
      </c>
      <c r="E9" s="1038">
        <f t="shared" si="0"/>
        <v>192024</v>
      </c>
      <c r="F9" s="193"/>
      <c r="G9" s="1043" t="s">
        <v>131</v>
      </c>
      <c r="H9" s="190">
        <f>'[16]Staffing charts'!D13</f>
        <v>6.1</v>
      </c>
      <c r="I9" s="1040">
        <f t="shared" si="1"/>
        <v>30480</v>
      </c>
      <c r="J9" s="1041">
        <f t="shared" si="6"/>
        <v>185928</v>
      </c>
      <c r="K9" s="193"/>
      <c r="L9" s="1043" t="s">
        <v>131</v>
      </c>
      <c r="M9" s="190">
        <f>'[16]Staffing charts'!E13</f>
        <v>5.9</v>
      </c>
      <c r="N9" s="1040">
        <f t="shared" si="2"/>
        <v>30480</v>
      </c>
      <c r="O9" s="1041">
        <f t="shared" si="7"/>
        <v>179832</v>
      </c>
      <c r="P9" s="193"/>
      <c r="Q9" s="1043" t="s">
        <v>131</v>
      </c>
      <c r="R9" s="190">
        <f>'[16]Staffing charts'!F13</f>
        <v>5.7</v>
      </c>
      <c r="S9" s="1040">
        <f t="shared" si="3"/>
        <v>30480</v>
      </c>
      <c r="T9" s="1041">
        <f t="shared" si="8"/>
        <v>173736</v>
      </c>
      <c r="U9" s="193"/>
      <c r="V9" s="1043" t="s">
        <v>131</v>
      </c>
      <c r="W9" s="190">
        <f>'[16]Staffing charts'!G13</f>
        <v>5.5</v>
      </c>
      <c r="X9" s="1040">
        <f t="shared" si="4"/>
        <v>30480</v>
      </c>
      <c r="Y9" s="1041">
        <f t="shared" si="9"/>
        <v>167640</v>
      </c>
      <c r="Z9" s="193"/>
      <c r="AA9" s="1043" t="s">
        <v>131</v>
      </c>
      <c r="AB9" s="190">
        <f>'[16]Staffing charts'!H13</f>
        <v>5.3</v>
      </c>
      <c r="AC9" s="1040">
        <f t="shared" si="5"/>
        <v>30480</v>
      </c>
      <c r="AD9" s="1041">
        <f t="shared" si="10"/>
        <v>161544</v>
      </c>
      <c r="AE9" s="193"/>
    </row>
    <row r="10" spans="2:53" s="173" customFormat="1" ht="21" customHeight="1">
      <c r="B10" s="1035" t="s">
        <v>15</v>
      </c>
      <c r="C10" s="191">
        <f>'[16]Staffing charts'!C12</f>
        <v>2.2000000000000002</v>
      </c>
      <c r="D10" s="1044">
        <f>'Master Lookup'!C23</f>
        <v>41972</v>
      </c>
      <c r="E10" s="1038">
        <f t="shared" si="0"/>
        <v>92338.400000000009</v>
      </c>
      <c r="F10" s="193"/>
      <c r="G10" s="1043" t="s">
        <v>15</v>
      </c>
      <c r="H10" s="190">
        <f>'[16]Staffing charts'!D12</f>
        <v>2.4</v>
      </c>
      <c r="I10" s="1045">
        <f t="shared" si="1"/>
        <v>41972</v>
      </c>
      <c r="J10" s="1041">
        <f t="shared" si="6"/>
        <v>100732.8</v>
      </c>
      <c r="K10" s="193"/>
      <c r="L10" s="1043" t="s">
        <v>15</v>
      </c>
      <c r="M10" s="190">
        <f>'[16]Staffing charts'!E12</f>
        <v>2.6</v>
      </c>
      <c r="N10" s="1045">
        <f t="shared" si="2"/>
        <v>41972</v>
      </c>
      <c r="O10" s="1041">
        <f t="shared" si="7"/>
        <v>109127.2</v>
      </c>
      <c r="P10" s="193"/>
      <c r="Q10" s="1043" t="s">
        <v>15</v>
      </c>
      <c r="R10" s="190">
        <f>'[16]Staffing charts'!F12</f>
        <v>2.8</v>
      </c>
      <c r="S10" s="1045">
        <f t="shared" si="3"/>
        <v>41972</v>
      </c>
      <c r="T10" s="1041">
        <f t="shared" si="8"/>
        <v>117521.59999999999</v>
      </c>
      <c r="U10" s="193"/>
      <c r="V10" s="1043" t="s">
        <v>15</v>
      </c>
      <c r="W10" s="190">
        <f>'[16]Staffing charts'!G12</f>
        <v>3</v>
      </c>
      <c r="X10" s="1045">
        <f t="shared" si="4"/>
        <v>41972</v>
      </c>
      <c r="Y10" s="1041">
        <f t="shared" si="9"/>
        <v>125916</v>
      </c>
      <c r="Z10" s="193"/>
      <c r="AA10" s="1043" t="s">
        <v>15</v>
      </c>
      <c r="AB10" s="190">
        <f>'[16]Staffing charts'!H12</f>
        <v>3.2</v>
      </c>
      <c r="AC10" s="1045">
        <f t="shared" si="5"/>
        <v>41972</v>
      </c>
      <c r="AD10" s="1041">
        <f t="shared" si="10"/>
        <v>134310.39999999999</v>
      </c>
      <c r="AE10" s="193"/>
    </row>
    <row r="11" spans="2:53" s="173" customFormat="1" ht="22.5" customHeight="1">
      <c r="B11" s="477" t="s">
        <v>132</v>
      </c>
      <c r="C11" s="192">
        <f>'[16]Staffing charts'!$B$10</f>
        <v>1</v>
      </c>
      <c r="D11" s="1037">
        <f>'Master Lookup'!C27</f>
        <v>36128</v>
      </c>
      <c r="E11" s="1038">
        <f t="shared" si="0"/>
        <v>36128</v>
      </c>
      <c r="F11" s="196"/>
      <c r="G11" s="1046" t="s">
        <v>132</v>
      </c>
      <c r="H11" s="194">
        <f>'[16]Staffing charts'!$B$10</f>
        <v>1</v>
      </c>
      <c r="I11" s="1040">
        <f t="shared" si="1"/>
        <v>36128</v>
      </c>
      <c r="J11" s="1041">
        <f t="shared" si="6"/>
        <v>36128</v>
      </c>
      <c r="K11" s="196"/>
      <c r="L11" s="1046" t="s">
        <v>132</v>
      </c>
      <c r="M11" s="194">
        <f>'[16]Staffing charts'!$B$10</f>
        <v>1</v>
      </c>
      <c r="N11" s="1040">
        <f t="shared" si="2"/>
        <v>36128</v>
      </c>
      <c r="O11" s="1041">
        <f t="shared" si="7"/>
        <v>36128</v>
      </c>
      <c r="P11" s="196"/>
      <c r="Q11" s="1046" t="s">
        <v>132</v>
      </c>
      <c r="R11" s="194">
        <f>'[16]Staffing charts'!$B$10</f>
        <v>1</v>
      </c>
      <c r="S11" s="1040">
        <f t="shared" si="3"/>
        <v>36128</v>
      </c>
      <c r="T11" s="1041">
        <f t="shared" si="8"/>
        <v>36128</v>
      </c>
      <c r="U11" s="196"/>
      <c r="V11" s="1046" t="s">
        <v>132</v>
      </c>
      <c r="W11" s="194">
        <f>'[16]Staffing charts'!$B$10</f>
        <v>1</v>
      </c>
      <c r="X11" s="1040">
        <f t="shared" si="4"/>
        <v>36128</v>
      </c>
      <c r="Y11" s="1041">
        <f t="shared" si="9"/>
        <v>36128</v>
      </c>
      <c r="Z11" s="196"/>
      <c r="AA11" s="1046" t="s">
        <v>132</v>
      </c>
      <c r="AB11" s="194">
        <f>'[16]Staffing charts'!$B$10</f>
        <v>1</v>
      </c>
      <c r="AC11" s="1040">
        <f t="shared" si="5"/>
        <v>36128</v>
      </c>
      <c r="AD11" s="1041">
        <f t="shared" si="10"/>
        <v>36128</v>
      </c>
      <c r="AE11" s="196"/>
    </row>
    <row r="12" spans="2:53" s="173" customFormat="1" ht="22.5" customHeight="1">
      <c r="B12" s="477" t="s">
        <v>133</v>
      </c>
      <c r="C12" s="192">
        <f>'[16]Staffing charts'!$B$11</f>
        <v>1</v>
      </c>
      <c r="D12" s="1037">
        <f>'Master Lookup'!C30</f>
        <v>30480</v>
      </c>
      <c r="E12" s="1038">
        <f t="shared" si="0"/>
        <v>30480</v>
      </c>
      <c r="F12" s="196"/>
      <c r="G12" s="1046" t="s">
        <v>133</v>
      </c>
      <c r="H12" s="194">
        <f>'[16]Staffing charts'!$B$11</f>
        <v>1</v>
      </c>
      <c r="I12" s="1040">
        <f t="shared" si="1"/>
        <v>30480</v>
      </c>
      <c r="J12" s="1041">
        <f t="shared" si="6"/>
        <v>30480</v>
      </c>
      <c r="K12" s="196"/>
      <c r="L12" s="1046" t="s">
        <v>133</v>
      </c>
      <c r="M12" s="194">
        <f>'[16]Staffing charts'!$B$11</f>
        <v>1</v>
      </c>
      <c r="N12" s="1040">
        <f t="shared" si="2"/>
        <v>30480</v>
      </c>
      <c r="O12" s="1041">
        <f t="shared" si="7"/>
        <v>30480</v>
      </c>
      <c r="P12" s="196"/>
      <c r="Q12" s="1046" t="s">
        <v>133</v>
      </c>
      <c r="R12" s="194">
        <f>'[16]Staffing charts'!$B$11</f>
        <v>1</v>
      </c>
      <c r="S12" s="1040">
        <f t="shared" si="3"/>
        <v>30480</v>
      </c>
      <c r="T12" s="1041">
        <f t="shared" si="8"/>
        <v>30480</v>
      </c>
      <c r="U12" s="196"/>
      <c r="V12" s="1046" t="s">
        <v>133</v>
      </c>
      <c r="W12" s="194">
        <f>'[16]Staffing charts'!$B$11</f>
        <v>1</v>
      </c>
      <c r="X12" s="1040">
        <f t="shared" si="4"/>
        <v>30480</v>
      </c>
      <c r="Y12" s="1041">
        <f t="shared" si="9"/>
        <v>30480</v>
      </c>
      <c r="Z12" s="196"/>
      <c r="AA12" s="1046" t="s">
        <v>133</v>
      </c>
      <c r="AB12" s="194">
        <f>'[16]Staffing charts'!$B$11</f>
        <v>1</v>
      </c>
      <c r="AC12" s="1040">
        <f t="shared" si="5"/>
        <v>30480</v>
      </c>
      <c r="AD12" s="1041">
        <f t="shared" si="10"/>
        <v>30480</v>
      </c>
      <c r="AE12" s="196"/>
    </row>
    <row r="13" spans="2:53" s="173" customFormat="1" ht="27.75" customHeight="1" thickBot="1">
      <c r="B13" s="1047" t="s">
        <v>134</v>
      </c>
      <c r="C13" s="197">
        <f>(C9+C10)*'Master Lookup'!C10</f>
        <v>1.3076923076923077</v>
      </c>
      <c r="D13" s="1048">
        <f>'Master Lookup'!C31</f>
        <v>30480</v>
      </c>
      <c r="E13" s="1049">
        <f t="shared" si="0"/>
        <v>39858.461538461539</v>
      </c>
      <c r="F13" s="196"/>
      <c r="G13" s="1050" t="s">
        <v>134</v>
      </c>
      <c r="H13" s="199">
        <f>'[16]FAMILY RESI MODELS'!$G$13</f>
        <v>1.3076923076923077</v>
      </c>
      <c r="I13" s="1051">
        <f t="shared" si="1"/>
        <v>30480</v>
      </c>
      <c r="J13" s="1052">
        <f t="shared" si="6"/>
        <v>39858.461538461539</v>
      </c>
      <c r="K13" s="196"/>
      <c r="L13" s="1050" t="s">
        <v>134</v>
      </c>
      <c r="M13" s="199">
        <f>'[16]FAMILY RESI MODELS'!$L$13</f>
        <v>1.3076923076923077</v>
      </c>
      <c r="N13" s="1051">
        <f t="shared" si="2"/>
        <v>30480</v>
      </c>
      <c r="O13" s="1052">
        <f t="shared" si="7"/>
        <v>39858.461538461539</v>
      </c>
      <c r="P13" s="196"/>
      <c r="Q13" s="1050" t="s">
        <v>134</v>
      </c>
      <c r="R13" s="199">
        <f>'[16]FAMILY RESI MODELS'!$Q$13</f>
        <v>1.3076923076923077</v>
      </c>
      <c r="S13" s="1051">
        <f t="shared" si="3"/>
        <v>30480</v>
      </c>
      <c r="T13" s="1052">
        <f t="shared" si="8"/>
        <v>39858.461538461539</v>
      </c>
      <c r="U13" s="196"/>
      <c r="V13" s="1050" t="s">
        <v>134</v>
      </c>
      <c r="W13" s="199">
        <f>'[16]FAMILY RESI MODELS'!$V$13</f>
        <v>1.3076923076923077</v>
      </c>
      <c r="X13" s="1051">
        <f t="shared" si="4"/>
        <v>30480</v>
      </c>
      <c r="Y13" s="1041">
        <f t="shared" si="9"/>
        <v>39858.461538461539</v>
      </c>
      <c r="Z13" s="193"/>
      <c r="AA13" s="1050" t="s">
        <v>134</v>
      </c>
      <c r="AB13" s="199">
        <f>'[16]FAMILY RESI MODELS'!$AA$13</f>
        <v>1.3076923076923077</v>
      </c>
      <c r="AC13" s="1051">
        <f t="shared" si="5"/>
        <v>30480</v>
      </c>
      <c r="AD13" s="1041">
        <f t="shared" si="10"/>
        <v>39858.461538461539</v>
      </c>
      <c r="AE13" s="193"/>
    </row>
    <row r="14" spans="2:53" ht="22.5" customHeight="1" thickTop="1">
      <c r="B14" s="201" t="s">
        <v>115</v>
      </c>
      <c r="C14" s="202">
        <f>SUM(C6:C13)</f>
        <v>14.807692307692308</v>
      </c>
      <c r="D14" s="203"/>
      <c r="E14" s="204">
        <f>SUM(E6:E13)</f>
        <v>566076.86153846153</v>
      </c>
      <c r="F14" s="205"/>
      <c r="G14" s="206" t="s">
        <v>115</v>
      </c>
      <c r="H14" s="207">
        <f>SUM(H6:H13)</f>
        <v>14.807692307692308</v>
      </c>
      <c r="I14" s="208"/>
      <c r="J14" s="209">
        <f>SUM(J6:J13)</f>
        <v>568375.26153846155</v>
      </c>
      <c r="K14" s="205"/>
      <c r="L14" s="206" t="s">
        <v>115</v>
      </c>
      <c r="M14" s="207">
        <f>SUM(M6:M13)</f>
        <v>14.807692307692308</v>
      </c>
      <c r="N14" s="208"/>
      <c r="O14" s="209">
        <f>SUM(O6:O13)</f>
        <v>570673.66153846146</v>
      </c>
      <c r="P14" s="205"/>
      <c r="Q14" s="206" t="s">
        <v>115</v>
      </c>
      <c r="R14" s="207">
        <f>SUM(R6:R13)</f>
        <v>14.807692307692308</v>
      </c>
      <c r="S14" s="210"/>
      <c r="T14" s="209">
        <f>SUM(T6:T13)</f>
        <v>572972.06153846148</v>
      </c>
      <c r="U14" s="205"/>
      <c r="V14" s="206" t="s">
        <v>115</v>
      </c>
      <c r="W14" s="207">
        <f>SUM(C6:C13)</f>
        <v>14.807692307692308</v>
      </c>
      <c r="X14" s="210"/>
      <c r="Y14" s="209">
        <f>SUM(Y6:Y13)</f>
        <v>575270.4615384615</v>
      </c>
      <c r="Z14" s="205"/>
      <c r="AA14" s="206" t="s">
        <v>115</v>
      </c>
      <c r="AB14" s="207">
        <f>SUM(C6:C13)</f>
        <v>14.807692307692308</v>
      </c>
      <c r="AC14" s="211"/>
      <c r="AD14" s="209">
        <f>SUM(AD6:AD13)</f>
        <v>577568.86153846153</v>
      </c>
      <c r="AE14" s="205"/>
    </row>
    <row r="15" spans="2:53" s="221" customFormat="1" ht="22.5" customHeight="1" thickBot="1">
      <c r="B15" s="212" t="s">
        <v>135</v>
      </c>
      <c r="C15" s="213">
        <f>[16]Benchmarks!B7</f>
        <v>0.22499987275605302</v>
      </c>
      <c r="D15" s="214"/>
      <c r="E15" s="198">
        <f>E14*C15</f>
        <v>127367.22181629969</v>
      </c>
      <c r="F15" s="205"/>
      <c r="G15" s="215" t="s">
        <v>135</v>
      </c>
      <c r="H15" s="216">
        <f>[16]Benchmarks!B7</f>
        <v>0.22499987275605302</v>
      </c>
      <c r="I15" s="217"/>
      <c r="J15" s="218">
        <f>J14*H15</f>
        <v>127884.36152384221</v>
      </c>
      <c r="K15" s="205"/>
      <c r="L15" s="215" t="s">
        <v>135</v>
      </c>
      <c r="M15" s="216">
        <f>[16]Benchmarks!B7</f>
        <v>0.22499987275605302</v>
      </c>
      <c r="N15" s="217"/>
      <c r="O15" s="218">
        <f>O14*M15</f>
        <v>128401.5012313847</v>
      </c>
      <c r="P15" s="205"/>
      <c r="Q15" s="215" t="s">
        <v>135</v>
      </c>
      <c r="R15" s="216">
        <f>[16]Benchmarks!B7</f>
        <v>0.22499987275605302</v>
      </c>
      <c r="S15" s="219"/>
      <c r="T15" s="218">
        <f>T14*R15</f>
        <v>128918.64093892722</v>
      </c>
      <c r="U15" s="205"/>
      <c r="V15" s="215" t="s">
        <v>135</v>
      </c>
      <c r="W15" s="216">
        <f>[16]Benchmarks!B7</f>
        <v>0.22499987275605302</v>
      </c>
      <c r="X15" s="219"/>
      <c r="Y15" s="218">
        <f>Y14*C15</f>
        <v>129435.78064646974</v>
      </c>
      <c r="Z15" s="205"/>
      <c r="AA15" s="220" t="s">
        <v>135</v>
      </c>
      <c r="AB15" s="216">
        <f>[16]Benchmarks!B7</f>
        <v>0.22499987275605302</v>
      </c>
      <c r="AC15" s="219"/>
      <c r="AD15" s="218">
        <f>AD14*C15</f>
        <v>129952.92035401224</v>
      </c>
      <c r="AE15" s="205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73"/>
      <c r="AU15" s="173"/>
      <c r="AV15" s="173"/>
      <c r="AW15" s="173"/>
      <c r="AX15" s="173"/>
      <c r="AY15" s="173"/>
      <c r="AZ15" s="173"/>
      <c r="BA15" s="173"/>
    </row>
    <row r="16" spans="2:53" ht="22.5" customHeight="1" thickTop="1">
      <c r="B16" s="222" t="s">
        <v>21</v>
      </c>
      <c r="C16" s="223"/>
      <c r="D16" s="224"/>
      <c r="E16" s="204">
        <f>E14+E15</f>
        <v>693444.08335476124</v>
      </c>
      <c r="F16" s="205"/>
      <c r="G16" s="225" t="s">
        <v>21</v>
      </c>
      <c r="H16" s="134"/>
      <c r="I16" s="134"/>
      <c r="J16" s="226">
        <f>J15+J14</f>
        <v>696259.62306230376</v>
      </c>
      <c r="K16" s="205"/>
      <c r="L16" s="225" t="s">
        <v>21</v>
      </c>
      <c r="M16" s="134"/>
      <c r="N16" s="134"/>
      <c r="O16" s="226">
        <f>O14+O15</f>
        <v>699075.16276984615</v>
      </c>
      <c r="P16" s="205"/>
      <c r="Q16" s="225" t="s">
        <v>21</v>
      </c>
      <c r="R16" s="227"/>
      <c r="S16" s="228"/>
      <c r="T16" s="226">
        <f>T14+T15</f>
        <v>701890.70247738867</v>
      </c>
      <c r="U16" s="205"/>
      <c r="V16" s="225" t="s">
        <v>21</v>
      </c>
      <c r="W16" s="227"/>
      <c r="X16" s="228"/>
      <c r="Y16" s="226">
        <f>Y14+Y15</f>
        <v>704706.24218493118</v>
      </c>
      <c r="Z16" s="205"/>
      <c r="AA16" s="225" t="s">
        <v>21</v>
      </c>
      <c r="AB16" s="227"/>
      <c r="AC16" s="228"/>
      <c r="AD16" s="226">
        <f>AD14+AD15</f>
        <v>707521.78189247381</v>
      </c>
      <c r="AE16" s="205"/>
    </row>
    <row r="17" spans="2:53" s="221" customFormat="1" ht="22.5" customHeight="1">
      <c r="B17" s="229" t="s">
        <v>25</v>
      </c>
      <c r="C17" s="230">
        <v>26.828454462</v>
      </c>
      <c r="D17" s="231"/>
      <c r="E17" s="189">
        <f>C17*$E$3*$E$4</f>
        <v>107716.24466493</v>
      </c>
      <c r="F17" s="205"/>
      <c r="G17" s="232" t="s">
        <v>25</v>
      </c>
      <c r="H17" s="141">
        <f>C17</f>
        <v>26.828454462</v>
      </c>
      <c r="I17" s="142"/>
      <c r="J17" s="233">
        <f>H17*$J$3*$J$4</f>
        <v>117508.63054356001</v>
      </c>
      <c r="K17" s="205"/>
      <c r="L17" s="232" t="s">
        <v>25</v>
      </c>
      <c r="M17" s="141">
        <f>H17</f>
        <v>26.828454462</v>
      </c>
      <c r="N17" s="142"/>
      <c r="O17" s="233">
        <f>M17*$O$3*$O$4</f>
        <v>127301.01642218999</v>
      </c>
      <c r="P17" s="205"/>
      <c r="Q17" s="232" t="s">
        <v>25</v>
      </c>
      <c r="R17" s="141">
        <f>M17</f>
        <v>26.828454462</v>
      </c>
      <c r="S17" s="234"/>
      <c r="T17" s="233">
        <f>R17*$T$3*$T$4</f>
        <v>137093.40230081999</v>
      </c>
      <c r="U17" s="205"/>
      <c r="V17" s="232" t="s">
        <v>25</v>
      </c>
      <c r="W17" s="141">
        <f>R17</f>
        <v>26.828454462</v>
      </c>
      <c r="X17" s="234"/>
      <c r="Y17" s="233">
        <f>C17*$Y$3*$Y$4</f>
        <v>146885.78817945</v>
      </c>
      <c r="Z17" s="205"/>
      <c r="AA17" s="232" t="s">
        <v>25</v>
      </c>
      <c r="AB17" s="141">
        <f>W17</f>
        <v>26.828454462</v>
      </c>
      <c r="AC17" s="234"/>
      <c r="AD17" s="233">
        <f>C17*$AD$3*$AD$4</f>
        <v>156678.17405808001</v>
      </c>
      <c r="AE17" s="205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</row>
    <row r="18" spans="2:53" s="221" customFormat="1" ht="22.5" customHeight="1">
      <c r="B18" s="235" t="s">
        <v>27</v>
      </c>
      <c r="C18" s="230">
        <v>8.6759229270000002</v>
      </c>
      <c r="D18" s="231"/>
      <c r="E18" s="189">
        <f>C18*$E$3*$E$4</f>
        <v>34833.830551905005</v>
      </c>
      <c r="F18" s="205"/>
      <c r="G18" s="236" t="s">
        <v>27</v>
      </c>
      <c r="H18" s="141">
        <f>C18</f>
        <v>8.6759229270000002</v>
      </c>
      <c r="I18" s="142"/>
      <c r="J18" s="233">
        <f t="shared" ref="J18:J21" si="11">H18*$J$3*$J$4</f>
        <v>38000.542420259997</v>
      </c>
      <c r="K18" s="205"/>
      <c r="L18" s="236" t="s">
        <v>27</v>
      </c>
      <c r="M18" s="141">
        <f>H18</f>
        <v>8.6759229270000002</v>
      </c>
      <c r="N18" s="142"/>
      <c r="O18" s="233">
        <f t="shared" ref="O18:O21" si="12">M18*$O$3*$O$4</f>
        <v>41167.254288614997</v>
      </c>
      <c r="P18" s="205"/>
      <c r="Q18" s="236" t="s">
        <v>27</v>
      </c>
      <c r="R18" s="141">
        <f>M18</f>
        <v>8.6759229270000002</v>
      </c>
      <c r="S18" s="234"/>
      <c r="T18" s="233">
        <f t="shared" ref="T18:T21" si="13">R18*$T$3*$T$4</f>
        <v>44333.966156969997</v>
      </c>
      <c r="U18" s="205"/>
      <c r="V18" s="236" t="s">
        <v>27</v>
      </c>
      <c r="W18" s="141">
        <f>R18</f>
        <v>8.6759229270000002</v>
      </c>
      <c r="X18" s="234"/>
      <c r="Y18" s="233">
        <f>C18*$Y$3*$Y$4</f>
        <v>47500.678025325004</v>
      </c>
      <c r="Z18" s="205"/>
      <c r="AA18" s="236" t="s">
        <v>27</v>
      </c>
      <c r="AB18" s="141">
        <f>W18</f>
        <v>8.6759229270000002</v>
      </c>
      <c r="AC18" s="234"/>
      <c r="AD18" s="233">
        <f>C18*$AD$3*$AD$4</f>
        <v>50667.389893680003</v>
      </c>
      <c r="AE18" s="205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3"/>
      <c r="BA18" s="173"/>
    </row>
    <row r="19" spans="2:53" s="221" customFormat="1" ht="22.5" customHeight="1">
      <c r="B19" s="237" t="s">
        <v>34</v>
      </c>
      <c r="C19" s="230">
        <v>3.1588695359999996</v>
      </c>
      <c r="D19" s="231"/>
      <c r="E19" s="189">
        <f>C19*$E$3*$E$4</f>
        <v>12682.861187039998</v>
      </c>
      <c r="F19" s="205"/>
      <c r="G19" s="238" t="s">
        <v>34</v>
      </c>
      <c r="H19" s="141">
        <f>C19</f>
        <v>3.1588695359999996</v>
      </c>
      <c r="I19" s="142"/>
      <c r="J19" s="233">
        <f t="shared" si="11"/>
        <v>13835.848567679999</v>
      </c>
      <c r="K19" s="205"/>
      <c r="L19" s="238" t="s">
        <v>34</v>
      </c>
      <c r="M19" s="141">
        <f>H19</f>
        <v>3.1588695359999996</v>
      </c>
      <c r="N19" s="142"/>
      <c r="O19" s="233">
        <f t="shared" si="12"/>
        <v>14988.835948319998</v>
      </c>
      <c r="P19" s="205"/>
      <c r="Q19" s="238" t="s">
        <v>34</v>
      </c>
      <c r="R19" s="141">
        <f>M19</f>
        <v>3.1588695359999996</v>
      </c>
      <c r="S19" s="234"/>
      <c r="T19" s="233">
        <f t="shared" si="13"/>
        <v>16141.823328959998</v>
      </c>
      <c r="U19" s="205"/>
      <c r="V19" s="238" t="s">
        <v>34</v>
      </c>
      <c r="W19" s="141">
        <f>R19</f>
        <v>3.1588695359999996</v>
      </c>
      <c r="X19" s="234"/>
      <c r="Y19" s="233">
        <f>C19*$Y$3*$Y$4</f>
        <v>17294.810709599999</v>
      </c>
      <c r="Z19" s="205"/>
      <c r="AA19" s="238" t="s">
        <v>34</v>
      </c>
      <c r="AB19" s="141">
        <f>W19</f>
        <v>3.1588695359999996</v>
      </c>
      <c r="AC19" s="234"/>
      <c r="AD19" s="233">
        <f>C19*$AD$3*$AD$4</f>
        <v>18447.798090239998</v>
      </c>
      <c r="AE19" s="205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</row>
    <row r="20" spans="2:53" s="221" customFormat="1" ht="22.5" customHeight="1">
      <c r="B20" s="237" t="s">
        <v>117</v>
      </c>
      <c r="C20" s="230">
        <v>1.7768641139999999</v>
      </c>
      <c r="D20" s="231"/>
      <c r="E20" s="189">
        <f>C20*$E$3*$E$4</f>
        <v>7134.1094177099994</v>
      </c>
      <c r="F20" s="205"/>
      <c r="G20" s="238" t="s">
        <v>117</v>
      </c>
      <c r="H20" s="141">
        <f>C20</f>
        <v>1.7768641139999999</v>
      </c>
      <c r="I20" s="142"/>
      <c r="J20" s="233">
        <f t="shared" si="11"/>
        <v>7782.664819319999</v>
      </c>
      <c r="K20" s="205"/>
      <c r="L20" s="238" t="s">
        <v>117</v>
      </c>
      <c r="M20" s="141">
        <f>H20</f>
        <v>1.7768641139999999</v>
      </c>
      <c r="N20" s="142"/>
      <c r="O20" s="233">
        <f t="shared" si="12"/>
        <v>8431.2202209299994</v>
      </c>
      <c r="P20" s="205"/>
      <c r="Q20" s="238" t="s">
        <v>117</v>
      </c>
      <c r="R20" s="141">
        <f>M20</f>
        <v>1.7768641139999999</v>
      </c>
      <c r="S20" s="234"/>
      <c r="T20" s="233">
        <f t="shared" si="13"/>
        <v>9079.7756225399989</v>
      </c>
      <c r="U20" s="205"/>
      <c r="V20" s="238" t="s">
        <v>117</v>
      </c>
      <c r="W20" s="141">
        <f>R20</f>
        <v>1.7768641139999999</v>
      </c>
      <c r="X20" s="234"/>
      <c r="Y20" s="233">
        <f>C20*$Y$3*$Y$4</f>
        <v>9728.3310241500003</v>
      </c>
      <c r="Z20" s="205"/>
      <c r="AA20" s="238" t="s">
        <v>117</v>
      </c>
      <c r="AB20" s="141">
        <f>W20</f>
        <v>1.7768641139999999</v>
      </c>
      <c r="AC20" s="234"/>
      <c r="AD20" s="233">
        <f>C20*$AD$3*$AD$4</f>
        <v>10376.88642576</v>
      </c>
      <c r="AE20" s="205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3"/>
      <c r="AZ20" s="173"/>
      <c r="BA20" s="173"/>
    </row>
    <row r="21" spans="2:53" s="221" customFormat="1" ht="27" customHeight="1" thickBot="1">
      <c r="B21" s="239" t="s">
        <v>118</v>
      </c>
      <c r="C21" s="240">
        <v>1.8975153810000001</v>
      </c>
      <c r="D21" s="214"/>
      <c r="E21" s="198">
        <f>C21*$E$3*$E$4</f>
        <v>7618.5242547150001</v>
      </c>
      <c r="F21" s="205"/>
      <c r="G21" s="241" t="s">
        <v>118</v>
      </c>
      <c r="H21" s="148">
        <f>C21</f>
        <v>1.8975153810000001</v>
      </c>
      <c r="I21" s="149"/>
      <c r="J21" s="218">
        <f t="shared" si="11"/>
        <v>8311.1173687800001</v>
      </c>
      <c r="K21" s="205"/>
      <c r="L21" s="241" t="s">
        <v>118</v>
      </c>
      <c r="M21" s="148">
        <f>H21</f>
        <v>1.8975153810000001</v>
      </c>
      <c r="N21" s="149"/>
      <c r="O21" s="218">
        <f t="shared" si="12"/>
        <v>9003.7104828449992</v>
      </c>
      <c r="P21" s="205"/>
      <c r="Q21" s="241" t="s">
        <v>118</v>
      </c>
      <c r="R21" s="148">
        <f>M21</f>
        <v>1.8975153810000001</v>
      </c>
      <c r="S21" s="219"/>
      <c r="T21" s="218">
        <f t="shared" si="13"/>
        <v>9696.3035969100001</v>
      </c>
      <c r="U21" s="205"/>
      <c r="V21" s="241" t="s">
        <v>118</v>
      </c>
      <c r="W21" s="148">
        <f>R21</f>
        <v>1.8975153810000001</v>
      </c>
      <c r="X21" s="219"/>
      <c r="Y21" s="218">
        <f>C21*$Y$3*$Y$4</f>
        <v>10388.896710974999</v>
      </c>
      <c r="Z21" s="205"/>
      <c r="AA21" s="241" t="s">
        <v>118</v>
      </c>
      <c r="AB21" s="148">
        <f>W21</f>
        <v>1.8975153810000001</v>
      </c>
      <c r="AC21" s="219"/>
      <c r="AD21" s="218">
        <f>C21*$AD$3*$AD$4</f>
        <v>11081.48982504</v>
      </c>
      <c r="AE21" s="205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3"/>
    </row>
    <row r="22" spans="2:53" ht="22.5" customHeight="1" thickTop="1">
      <c r="B22" s="242" t="s">
        <v>136</v>
      </c>
      <c r="C22" s="243"/>
      <c r="D22" s="244"/>
      <c r="E22" s="245">
        <f>SUM(E16:E21)</f>
        <v>863429.65343106119</v>
      </c>
      <c r="F22" s="205"/>
      <c r="G22" s="246" t="s">
        <v>136</v>
      </c>
      <c r="H22" s="247"/>
      <c r="I22" s="153"/>
      <c r="J22" s="248">
        <f>SUM(J16:J21)</f>
        <v>881698.42678190372</v>
      </c>
      <c r="K22" s="205"/>
      <c r="L22" s="246" t="s">
        <v>136</v>
      </c>
      <c r="M22" s="247"/>
      <c r="N22" s="153"/>
      <c r="O22" s="248">
        <f>SUM(O16:O21)</f>
        <v>899967.20013274602</v>
      </c>
      <c r="P22" s="205"/>
      <c r="Q22" s="246" t="s">
        <v>136</v>
      </c>
      <c r="R22" s="247"/>
      <c r="S22" s="249"/>
      <c r="T22" s="248">
        <f>SUM(T16:T21)</f>
        <v>918235.97348358866</v>
      </c>
      <c r="U22" s="205"/>
      <c r="V22" s="246" t="s">
        <v>136</v>
      </c>
      <c r="W22" s="247"/>
      <c r="X22" s="249"/>
      <c r="Y22" s="248">
        <f>SUM(Y16:Y21)</f>
        <v>936504.74683443119</v>
      </c>
      <c r="Z22" s="205"/>
      <c r="AA22" s="246" t="s">
        <v>136</v>
      </c>
      <c r="AB22" s="247"/>
      <c r="AC22" s="249"/>
      <c r="AD22" s="248">
        <f>SUM(AD16:AD21)</f>
        <v>954773.52018527372</v>
      </c>
      <c r="AE22" s="205"/>
    </row>
    <row r="23" spans="2:53" s="173" customFormat="1" ht="22.5" customHeight="1">
      <c r="B23" s="1053" t="str">
        <f>'Master Lookup'!B39</f>
        <v>PFMLA Trust Contribution</v>
      </c>
      <c r="C23" s="1054">
        <f>'Master Lookup'!E39</f>
        <v>6.3E-3</v>
      </c>
      <c r="D23" s="1055"/>
      <c r="E23" s="1056">
        <f>E14*C23</f>
        <v>3566.2842276923075</v>
      </c>
      <c r="F23" s="114"/>
      <c r="G23" s="1057" t="str">
        <f>B23</f>
        <v>PFMLA Trust Contribution</v>
      </c>
      <c r="H23" s="1058">
        <f>C23</f>
        <v>6.3E-3</v>
      </c>
      <c r="I23" s="1059"/>
      <c r="J23" s="1060">
        <f>J14*H23</f>
        <v>3580.7641476923077</v>
      </c>
      <c r="K23" s="114"/>
      <c r="L23" s="1057" t="str">
        <f>G23</f>
        <v>PFMLA Trust Contribution</v>
      </c>
      <c r="M23" s="1058">
        <f>H23</f>
        <v>6.3E-3</v>
      </c>
      <c r="N23" s="1059"/>
      <c r="O23" s="1060">
        <f>O14*M23</f>
        <v>3595.244067692307</v>
      </c>
      <c r="P23" s="114"/>
      <c r="Q23" s="1057" t="str">
        <f>L23</f>
        <v>PFMLA Trust Contribution</v>
      </c>
      <c r="R23" s="1058">
        <f>M23</f>
        <v>6.3E-3</v>
      </c>
      <c r="S23" s="1059"/>
      <c r="T23" s="1060">
        <f>T14*R23</f>
        <v>3609.7239876923072</v>
      </c>
      <c r="U23" s="114"/>
      <c r="V23" s="1057" t="str">
        <f>Q23</f>
        <v>PFMLA Trust Contribution</v>
      </c>
      <c r="W23" s="1058">
        <f>R23</f>
        <v>6.3E-3</v>
      </c>
      <c r="X23" s="1059"/>
      <c r="Y23" s="1060">
        <f>Y14*W23</f>
        <v>3624.2039076923074</v>
      </c>
      <c r="Z23" s="114"/>
      <c r="AA23" s="1057" t="str">
        <f>V23</f>
        <v>PFMLA Trust Contribution</v>
      </c>
      <c r="AB23" s="1058">
        <f>W23</f>
        <v>6.3E-3</v>
      </c>
      <c r="AC23" s="1061"/>
      <c r="AD23" s="1062">
        <f>AD14*AB23</f>
        <v>3638.6838276923077</v>
      </c>
      <c r="AE23" s="205"/>
    </row>
    <row r="24" spans="2:53" s="221" customFormat="1" ht="22.5" customHeight="1" thickBot="1">
      <c r="B24" s="250" t="s">
        <v>119</v>
      </c>
      <c r="C24" s="251">
        <f>'Master Lookup'!C64</f>
        <v>0.12</v>
      </c>
      <c r="D24" s="252"/>
      <c r="E24" s="198">
        <f>E22*C24</f>
        <v>103611.55841172734</v>
      </c>
      <c r="F24" s="205"/>
      <c r="G24" s="253" t="s">
        <v>119</v>
      </c>
      <c r="H24" s="254">
        <f>C24</f>
        <v>0.12</v>
      </c>
      <c r="I24" s="255"/>
      <c r="J24" s="200">
        <f>J22*H24</f>
        <v>105803.81121382845</v>
      </c>
      <c r="K24" s="205"/>
      <c r="L24" s="253" t="s">
        <v>119</v>
      </c>
      <c r="M24" s="254">
        <f>C24</f>
        <v>0.12</v>
      </c>
      <c r="N24" s="255"/>
      <c r="O24" s="200">
        <f>O22*M24</f>
        <v>107996.06401592951</v>
      </c>
      <c r="P24" s="205"/>
      <c r="Q24" s="253" t="s">
        <v>119</v>
      </c>
      <c r="R24" s="254">
        <f>M24</f>
        <v>0.12</v>
      </c>
      <c r="S24" s="256"/>
      <c r="T24" s="200">
        <f>T22*R24</f>
        <v>110188.31681803064</v>
      </c>
      <c r="U24" s="205"/>
      <c r="V24" s="253" t="s">
        <v>119</v>
      </c>
      <c r="W24" s="254">
        <f>R24</f>
        <v>0.12</v>
      </c>
      <c r="X24" s="256"/>
      <c r="Y24" s="200">
        <f>Y22*C24</f>
        <v>112380.56962013173</v>
      </c>
      <c r="Z24" s="205"/>
      <c r="AA24" s="253" t="s">
        <v>119</v>
      </c>
      <c r="AB24" s="254">
        <f>W24</f>
        <v>0.12</v>
      </c>
      <c r="AC24" s="256"/>
      <c r="AD24" s="200">
        <f>AD22*C24</f>
        <v>114572.82242223284</v>
      </c>
      <c r="AE24" s="205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3"/>
      <c r="AT24" s="173"/>
      <c r="AU24" s="173"/>
      <c r="AV24" s="173"/>
      <c r="AW24" s="173"/>
      <c r="AX24" s="173"/>
      <c r="AY24" s="173"/>
      <c r="AZ24" s="173"/>
      <c r="BA24" s="173"/>
    </row>
    <row r="25" spans="2:53" ht="22.5" customHeight="1" thickTop="1" thickBot="1">
      <c r="B25" s="515" t="s">
        <v>28</v>
      </c>
      <c r="C25" s="516"/>
      <c r="D25" s="517"/>
      <c r="E25" s="518">
        <f>SUM(E22:E24)</f>
        <v>970607.49607048079</v>
      </c>
      <c r="F25" s="205"/>
      <c r="G25" s="206" t="s">
        <v>28</v>
      </c>
      <c r="H25" s="247"/>
      <c r="I25" s="257"/>
      <c r="J25" s="154">
        <f>SUM(J22:J24)</f>
        <v>991083.00214342447</v>
      </c>
      <c r="K25" s="205"/>
      <c r="L25" s="206" t="s">
        <v>28</v>
      </c>
      <c r="M25" s="247"/>
      <c r="N25" s="257"/>
      <c r="O25" s="154">
        <f>O22+O24+O23</f>
        <v>1011558.5082163678</v>
      </c>
      <c r="P25" s="205"/>
      <c r="Q25" s="206" t="s">
        <v>28</v>
      </c>
      <c r="R25" s="247"/>
      <c r="S25" s="249"/>
      <c r="T25" s="154">
        <f>T22+T24+T23</f>
        <v>1032034.0142893116</v>
      </c>
      <c r="U25" s="205"/>
      <c r="V25" s="206" t="s">
        <v>28</v>
      </c>
      <c r="W25" s="247"/>
      <c r="X25" s="249"/>
      <c r="Y25" s="154">
        <f>Y22+Y24+Y23</f>
        <v>1052509.5203622552</v>
      </c>
      <c r="Z25" s="205"/>
      <c r="AA25" s="206" t="s">
        <v>28</v>
      </c>
      <c r="AB25" s="247"/>
      <c r="AC25" s="249"/>
      <c r="AD25" s="154">
        <f>AD22+AD24+AD23</f>
        <v>1072985.026435199</v>
      </c>
      <c r="AE25" s="205"/>
    </row>
    <row r="26" spans="2:53" ht="22.5" customHeight="1">
      <c r="B26" s="519" t="s">
        <v>121</v>
      </c>
      <c r="C26" s="520"/>
      <c r="D26" s="521"/>
      <c r="E26" s="522">
        <f>E25/($E$3*$E$4)</f>
        <v>241.74532903374367</v>
      </c>
      <c r="F26" s="114"/>
      <c r="G26" s="506" t="s">
        <v>121</v>
      </c>
      <c r="H26" s="339"/>
      <c r="I26" s="339"/>
      <c r="J26" s="507">
        <f>J25/($J$3*$J$4)</f>
        <v>226.27465802361289</v>
      </c>
      <c r="K26" s="114"/>
      <c r="L26" s="506" t="s">
        <v>121</v>
      </c>
      <c r="M26" s="339"/>
      <c r="N26" s="339"/>
      <c r="O26" s="507">
        <f>$O$25/($O$3*$O$4)</f>
        <v>213.18409024580987</v>
      </c>
      <c r="P26" s="114"/>
      <c r="Q26" s="506" t="s">
        <v>121</v>
      </c>
      <c r="R26" s="340"/>
      <c r="S26" s="259"/>
      <c r="T26" s="507">
        <f>$T$25/($T$3*$T$4)</f>
        <v>201.96360357912164</v>
      </c>
      <c r="U26" s="114"/>
      <c r="V26" s="506" t="s">
        <v>121</v>
      </c>
      <c r="W26" s="340"/>
      <c r="X26" s="259"/>
      <c r="Y26" s="507">
        <f>$Y$25/($Y$3*$Y$4)</f>
        <v>192.23918180132515</v>
      </c>
      <c r="Z26" s="114"/>
      <c r="AA26" s="506" t="s">
        <v>121</v>
      </c>
      <c r="AB26" s="340"/>
      <c r="AC26" s="259"/>
      <c r="AD26" s="507">
        <f>$AD$25/($AD$3*$AD$4)</f>
        <v>183.73031274575325</v>
      </c>
      <c r="AE26" s="114"/>
    </row>
    <row r="27" spans="2:53" ht="22.5" customHeight="1" thickBot="1">
      <c r="B27" s="477" t="s">
        <v>122</v>
      </c>
      <c r="C27" s="337">
        <v>0.9</v>
      </c>
      <c r="D27" s="258"/>
      <c r="E27" s="505">
        <f>E26/C27</f>
        <v>268.60592114860407</v>
      </c>
      <c r="F27" s="114"/>
      <c r="G27" s="509" t="s">
        <v>122</v>
      </c>
      <c r="H27" s="510">
        <v>0.9</v>
      </c>
      <c r="I27" s="342"/>
      <c r="J27" s="508">
        <f>J26/H27</f>
        <v>251.41628669290321</v>
      </c>
      <c r="K27" s="114"/>
      <c r="L27" s="509" t="s">
        <v>122</v>
      </c>
      <c r="M27" s="510">
        <v>0.9</v>
      </c>
      <c r="N27" s="342"/>
      <c r="O27" s="508">
        <f>O26/M27</f>
        <v>236.87121138423319</v>
      </c>
      <c r="P27" s="114"/>
      <c r="Q27" s="509" t="s">
        <v>122</v>
      </c>
      <c r="R27" s="510">
        <v>0.9</v>
      </c>
      <c r="S27" s="343"/>
      <c r="T27" s="508">
        <f>T26/R27</f>
        <v>224.40400397680182</v>
      </c>
      <c r="U27" s="114"/>
      <c r="V27" s="509" t="s">
        <v>122</v>
      </c>
      <c r="W27" s="510">
        <v>0.9</v>
      </c>
      <c r="X27" s="343"/>
      <c r="Y27" s="508">
        <f>Y26/W27</f>
        <v>213.59909089036125</v>
      </c>
      <c r="Z27" s="114"/>
      <c r="AA27" s="509" t="s">
        <v>122</v>
      </c>
      <c r="AB27" s="510">
        <v>0.9</v>
      </c>
      <c r="AC27" s="343"/>
      <c r="AD27" s="508">
        <f>AD26/AB27</f>
        <v>204.14479193972582</v>
      </c>
      <c r="AE27" s="114"/>
    </row>
    <row r="28" spans="2:53" s="173" customFormat="1" ht="22.5" customHeight="1" thickBot="1">
      <c r="B28" s="91" t="s">
        <v>246</v>
      </c>
      <c r="C28" s="478">
        <f>'Master Lookup'!C65</f>
        <v>2.3531493276716206E-2</v>
      </c>
      <c r="D28" s="258"/>
      <c r="E28" s="505">
        <f>E27*(1+C28)</f>
        <v>274.92661957619856</v>
      </c>
      <c r="F28" s="260"/>
      <c r="G28" s="511" t="s">
        <v>246</v>
      </c>
      <c r="H28" s="512">
        <f>C28</f>
        <v>2.3531493276716206E-2</v>
      </c>
      <c r="I28" s="479"/>
      <c r="J28" s="513">
        <f>J27*(1+H28)-0.01</f>
        <v>257.32248735287419</v>
      </c>
      <c r="K28" s="260"/>
      <c r="L28" s="511" t="s">
        <v>246</v>
      </c>
      <c r="M28" s="512">
        <f>H28</f>
        <v>2.3531493276716206E-2</v>
      </c>
      <c r="N28" s="479"/>
      <c r="O28" s="513">
        <f>O27*(1+M28)</f>
        <v>242.44514470236888</v>
      </c>
      <c r="P28" s="260"/>
      <c r="Q28" s="511" t="s">
        <v>246</v>
      </c>
      <c r="R28" s="512">
        <f>M28</f>
        <v>2.3531493276716206E-2</v>
      </c>
      <c r="S28" s="479"/>
      <c r="T28" s="513">
        <f>T27*(1+R28)-0.01</f>
        <v>229.67456528765013</v>
      </c>
      <c r="U28" s="260"/>
      <c r="V28" s="511" t="s">
        <v>246</v>
      </c>
      <c r="W28" s="512">
        <f>R28</f>
        <v>2.3531493276716206E-2</v>
      </c>
      <c r="X28" s="479"/>
      <c r="Y28" s="513">
        <f>Y27*(1+W28)</f>
        <v>218.62539646156046</v>
      </c>
      <c r="Z28" s="260"/>
      <c r="AA28" s="511" t="s">
        <v>246</v>
      </c>
      <c r="AB28" s="512">
        <f>W28</f>
        <v>2.3531493276716206E-2</v>
      </c>
      <c r="AC28" s="479"/>
      <c r="AD28" s="513">
        <f>AD27*(1+AB28)</f>
        <v>208.9486237387321</v>
      </c>
      <c r="AE28" s="260"/>
    </row>
    <row r="29" spans="2:53" s="173" customFormat="1" ht="22.5" customHeight="1">
      <c r="B29" s="523" t="s">
        <v>310</v>
      </c>
      <c r="C29" s="514"/>
      <c r="D29" s="258"/>
      <c r="E29" s="338">
        <f>'2. Per DiemAdd on'!E16</f>
        <v>15.51400802075961</v>
      </c>
      <c r="F29" s="260"/>
      <c r="G29" s="523" t="s">
        <v>310</v>
      </c>
      <c r="H29" s="514"/>
      <c r="I29" s="258"/>
      <c r="J29" s="338">
        <f>E29</f>
        <v>15.51400802075961</v>
      </c>
      <c r="K29" s="260"/>
      <c r="L29" s="523" t="s">
        <v>310</v>
      </c>
      <c r="M29" s="514"/>
      <c r="N29" s="258"/>
      <c r="O29" s="338">
        <f>J29</f>
        <v>15.51400802075961</v>
      </c>
      <c r="P29" s="260"/>
      <c r="Q29" s="523" t="s">
        <v>310</v>
      </c>
      <c r="R29" s="514"/>
      <c r="S29" s="258"/>
      <c r="T29" s="338">
        <f>O29</f>
        <v>15.51400802075961</v>
      </c>
      <c r="U29" s="260"/>
      <c r="V29" s="523" t="s">
        <v>310</v>
      </c>
      <c r="W29" s="514"/>
      <c r="X29" s="258"/>
      <c r="Y29" s="338">
        <f>T29</f>
        <v>15.51400802075961</v>
      </c>
      <c r="Z29" s="260"/>
      <c r="AA29" s="523" t="s">
        <v>310</v>
      </c>
      <c r="AB29" s="514"/>
      <c r="AC29" s="258"/>
      <c r="AD29" s="338">
        <f>Y29</f>
        <v>15.51400802075961</v>
      </c>
      <c r="AE29" s="260"/>
    </row>
    <row r="30" spans="2:53" s="173" customFormat="1" ht="22.5" customHeight="1" thickBot="1">
      <c r="B30" s="480" t="s">
        <v>121</v>
      </c>
      <c r="C30" s="524"/>
      <c r="D30" s="341"/>
      <c r="E30" s="525">
        <f>E28-E29</f>
        <v>259.41261155543896</v>
      </c>
      <c r="F30" s="260"/>
      <c r="G30" s="480" t="s">
        <v>121</v>
      </c>
      <c r="H30" s="524"/>
      <c r="I30" s="341"/>
      <c r="J30" s="525">
        <f>J28-J29</f>
        <v>241.80847933211459</v>
      </c>
      <c r="K30" s="260"/>
      <c r="L30" s="480" t="s">
        <v>121</v>
      </c>
      <c r="M30" s="524"/>
      <c r="N30" s="341"/>
      <c r="O30" s="525">
        <f>O28-O29</f>
        <v>226.93113668160927</v>
      </c>
      <c r="P30" s="260"/>
      <c r="Q30" s="480" t="s">
        <v>121</v>
      </c>
      <c r="R30" s="524"/>
      <c r="S30" s="341"/>
      <c r="T30" s="525">
        <f>T28-T29</f>
        <v>214.16055726689052</v>
      </c>
      <c r="U30" s="260"/>
      <c r="V30" s="480" t="s">
        <v>121</v>
      </c>
      <c r="W30" s="524"/>
      <c r="X30" s="341"/>
      <c r="Y30" s="525">
        <f>Y28-Y29</f>
        <v>203.11138844080085</v>
      </c>
      <c r="Z30" s="260"/>
      <c r="AA30" s="480" t="s">
        <v>121</v>
      </c>
      <c r="AB30" s="524"/>
      <c r="AC30" s="341"/>
      <c r="AD30" s="525">
        <f>AD28-AD29</f>
        <v>193.43461571797249</v>
      </c>
      <c r="AE30" s="260"/>
    </row>
    <row r="31" spans="2:53" s="173" customFormat="1" ht="22.5" customHeight="1">
      <c r="D31" s="466"/>
      <c r="E31" s="475"/>
      <c r="F31" s="260"/>
      <c r="I31" s="466"/>
      <c r="J31" s="475"/>
      <c r="K31" s="260"/>
      <c r="L31" s="15"/>
      <c r="M31" s="476"/>
      <c r="N31" s="466"/>
      <c r="O31" s="475"/>
      <c r="P31" s="260"/>
      <c r="S31" s="466"/>
      <c r="T31" s="475"/>
      <c r="U31" s="260"/>
      <c r="X31" s="466"/>
      <c r="Y31" s="475"/>
      <c r="Z31" s="260"/>
      <c r="AC31" s="466"/>
      <c r="AD31" s="475"/>
      <c r="AE31" s="260"/>
    </row>
    <row r="32" spans="2:53" s="173" customFormat="1" ht="22.5" customHeight="1">
      <c r="B32" s="261"/>
      <c r="C32" s="262"/>
      <c r="D32" s="468"/>
      <c r="E32" s="474"/>
      <c r="F32" s="260"/>
      <c r="G32" s="76"/>
      <c r="H32" s="76"/>
      <c r="I32" s="468"/>
      <c r="J32" s="474"/>
      <c r="K32" s="260"/>
      <c r="N32" s="468"/>
      <c r="O32" s="474"/>
      <c r="P32" s="260"/>
      <c r="Q32" s="261"/>
      <c r="R32" s="262"/>
      <c r="S32" s="468"/>
      <c r="T32" s="474"/>
      <c r="U32" s="260"/>
      <c r="V32" s="261"/>
      <c r="W32" s="262"/>
      <c r="X32" s="468"/>
      <c r="Y32" s="474"/>
      <c r="Z32" s="260"/>
      <c r="AA32" s="261"/>
      <c r="AB32" s="262"/>
      <c r="AC32" s="468"/>
      <c r="AD32" s="474"/>
      <c r="AE32" s="260"/>
    </row>
    <row r="33" spans="2:53" s="221" customFormat="1" ht="22.5" customHeight="1">
      <c r="B33" s="261"/>
      <c r="C33" s="262"/>
      <c r="D33" s="263"/>
      <c r="E33" s="264"/>
      <c r="F33" s="173"/>
      <c r="G33" s="387"/>
      <c r="H33" s="387"/>
      <c r="I33" s="387"/>
      <c r="J33" s="264"/>
      <c r="K33" s="173"/>
      <c r="L33" s="173"/>
      <c r="M33" s="173"/>
      <c r="N33" s="468"/>
      <c r="O33" s="474"/>
      <c r="P33" s="173"/>
      <c r="Q33" s="261"/>
      <c r="R33" s="262"/>
      <c r="S33" s="263"/>
      <c r="T33" s="264"/>
      <c r="U33" s="173"/>
      <c r="V33" s="261"/>
      <c r="W33" s="262"/>
      <c r="X33" s="263"/>
      <c r="Y33" s="264"/>
      <c r="Z33" s="173"/>
      <c r="AA33" s="261"/>
      <c r="AB33" s="262"/>
      <c r="AC33" s="263"/>
      <c r="AD33" s="264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</row>
    <row r="34" spans="2:53" s="267" customFormat="1" ht="15" customHeight="1">
      <c r="B34" s="125"/>
      <c r="C34" s="403"/>
      <c r="D34" s="173"/>
      <c r="E34" s="173"/>
      <c r="F34" s="265"/>
      <c r="G34" s="387"/>
      <c r="H34" s="387"/>
      <c r="I34" s="387"/>
      <c r="J34" s="173"/>
      <c r="K34" s="265"/>
      <c r="L34" s="173"/>
      <c r="M34" s="173"/>
      <c r="N34" s="468"/>
      <c r="O34" s="474"/>
      <c r="P34" s="265"/>
      <c r="Q34" s="173"/>
      <c r="R34" s="173"/>
      <c r="S34" s="173"/>
      <c r="T34" s="173"/>
      <c r="U34" s="265"/>
      <c r="V34" s="173"/>
      <c r="W34" s="173"/>
      <c r="X34" s="173"/>
      <c r="Y34" s="173"/>
      <c r="Z34" s="266"/>
      <c r="AA34" s="173"/>
      <c r="AB34" s="173"/>
      <c r="AC34" s="173"/>
      <c r="AD34" s="173"/>
      <c r="AE34" s="266"/>
      <c r="AF34" s="263"/>
      <c r="AG34" s="263"/>
      <c r="AH34" s="263"/>
      <c r="AI34" s="263"/>
      <c r="AJ34" s="263"/>
      <c r="AK34" s="263"/>
      <c r="AL34" s="263"/>
      <c r="AM34" s="263"/>
      <c r="AN34" s="263"/>
      <c r="AO34" s="263"/>
      <c r="AP34" s="263"/>
      <c r="AQ34" s="263"/>
      <c r="AR34" s="263"/>
      <c r="AS34" s="263"/>
      <c r="AT34" s="263"/>
      <c r="AU34" s="263"/>
      <c r="AV34" s="263"/>
      <c r="AW34" s="263"/>
      <c r="AX34" s="263"/>
      <c r="AY34" s="263"/>
      <c r="AZ34" s="263"/>
      <c r="BA34" s="263"/>
    </row>
    <row r="35" spans="2:53" ht="15" customHeight="1" thickBot="1">
      <c r="B35" s="404"/>
      <c r="C35" s="397"/>
      <c r="D35" s="157"/>
      <c r="E35" s="157"/>
      <c r="F35" s="173"/>
      <c r="G35" s="387"/>
      <c r="H35" s="387"/>
      <c r="I35" s="387"/>
      <c r="J35" s="157"/>
      <c r="K35" s="173"/>
      <c r="L35" s="173"/>
      <c r="M35" s="173"/>
      <c r="N35" s="468"/>
      <c r="O35" s="474"/>
      <c r="P35" s="173"/>
      <c r="Q35" s="157"/>
      <c r="R35" s="157"/>
      <c r="S35" s="157"/>
      <c r="T35" s="157"/>
      <c r="U35" s="173"/>
      <c r="V35" s="157"/>
      <c r="W35" s="157"/>
      <c r="X35" s="157"/>
      <c r="Y35" s="157"/>
      <c r="Z35" s="173"/>
      <c r="AA35" s="157"/>
      <c r="AB35" s="157"/>
      <c r="AC35" s="157"/>
      <c r="AD35" s="157"/>
      <c r="AE35" s="173"/>
    </row>
    <row r="36" spans="2:53" ht="15" customHeight="1" thickBot="1">
      <c r="F36" s="173"/>
      <c r="G36" s="387"/>
      <c r="H36" s="387"/>
      <c r="I36" s="387"/>
      <c r="K36" s="173"/>
      <c r="L36" s="1119" t="s">
        <v>320</v>
      </c>
      <c r="M36" s="1120"/>
      <c r="N36" s="1120"/>
      <c r="O36" s="1121"/>
      <c r="P36" s="173"/>
      <c r="U36" s="173"/>
      <c r="Z36" s="173"/>
      <c r="AE36" s="173"/>
    </row>
    <row r="37" spans="2:53" ht="15" customHeight="1">
      <c r="B37" s="387"/>
      <c r="C37" s="387"/>
      <c r="D37" s="387"/>
      <c r="E37"/>
      <c r="F37" s="157"/>
      <c r="G37" s="388"/>
      <c r="H37" s="387"/>
      <c r="I37" s="388"/>
      <c r="K37" s="173"/>
      <c r="L37" s="328" t="s">
        <v>82</v>
      </c>
      <c r="M37" s="329"/>
      <c r="N37" s="330"/>
      <c r="O37" s="331">
        <v>48.55167154008933</v>
      </c>
      <c r="P37" s="173"/>
      <c r="U37" s="173"/>
      <c r="Z37" s="173"/>
      <c r="AE37" s="173"/>
    </row>
    <row r="38" spans="2:53" ht="15" customHeight="1" thickBot="1">
      <c r="B38" s="388"/>
      <c r="C38" s="387"/>
      <c r="D38" s="388"/>
      <c r="E38"/>
      <c r="G38" s="387"/>
      <c r="H38" s="391"/>
      <c r="I38" s="387"/>
      <c r="L38" s="311"/>
      <c r="M38" s="316">
        <v>0.9</v>
      </c>
      <c r="N38" s="317"/>
      <c r="O38" s="318">
        <f>O37/90%</f>
        <v>53.946301711210367</v>
      </c>
    </row>
    <row r="39" spans="2:53" ht="15" customHeight="1" thickBot="1">
      <c r="B39" s="77"/>
      <c r="C39" s="412"/>
      <c r="D39" s="77"/>
      <c r="E39"/>
      <c r="G39" s="390"/>
      <c r="H39" s="391"/>
      <c r="I39" s="391"/>
      <c r="L39" s="312" t="s">
        <v>246</v>
      </c>
      <c r="M39" s="333">
        <f>M28</f>
        <v>2.3531493276716206E-2</v>
      </c>
      <c r="N39" s="332"/>
      <c r="O39" s="1063">
        <f>O38*(1+M39)</f>
        <v>55.215738747231413</v>
      </c>
    </row>
    <row r="40" spans="2:53" ht="15" customHeight="1">
      <c r="B40" s="78"/>
      <c r="C40" s="413"/>
      <c r="D40" s="78"/>
      <c r="E40"/>
      <c r="G40" s="388"/>
      <c r="H40" s="391"/>
      <c r="I40" s="391"/>
      <c r="N40" s="466"/>
      <c r="O40" s="475"/>
    </row>
    <row r="41" spans="2:53" ht="15" customHeight="1">
      <c r="B41"/>
      <c r="C41"/>
      <c r="D41"/>
      <c r="E41"/>
      <c r="G41" s="77"/>
      <c r="H41" s="389"/>
      <c r="I41" s="387"/>
      <c r="N41" s="468"/>
      <c r="O41" s="474"/>
    </row>
    <row r="42" spans="2:53" ht="15" customHeight="1">
      <c r="B42"/>
      <c r="C42"/>
      <c r="D42"/>
      <c r="E42"/>
      <c r="G42" s="78"/>
      <c r="H42" s="413"/>
      <c r="I42" s="78"/>
    </row>
    <row r="43" spans="2:53" ht="15" customHeight="1">
      <c r="B43" s="398"/>
      <c r="C43" s="399"/>
      <c r="D43" s="399"/>
      <c r="E43" s="157"/>
      <c r="G43" s="157"/>
      <c r="H43" s="157"/>
      <c r="I43" s="157"/>
    </row>
    <row r="44" spans="2:53" ht="15" customHeight="1">
      <c r="B44" s="195"/>
      <c r="C44" s="399"/>
      <c r="D44" s="399"/>
      <c r="E44" s="157"/>
      <c r="H44" s="97"/>
      <c r="Y44" s="97"/>
    </row>
    <row r="45" spans="2:53" ht="22.5" customHeight="1">
      <c r="B45" s="398"/>
      <c r="C45" s="399"/>
      <c r="D45" s="399"/>
      <c r="E45" s="157"/>
    </row>
    <row r="46" spans="2:53" ht="22.5" customHeight="1">
      <c r="B46" s="398"/>
      <c r="C46" s="399"/>
      <c r="D46" s="399"/>
      <c r="E46" s="157"/>
      <c r="L46" s="172"/>
    </row>
    <row r="47" spans="2:53" ht="22.5" customHeight="1">
      <c r="B47" s="398"/>
      <c r="C47" s="399"/>
      <c r="D47" s="399"/>
      <c r="E47" s="157"/>
      <c r="L47" s="172"/>
    </row>
    <row r="48" spans="2:53" ht="22.5" customHeight="1">
      <c r="B48" s="157"/>
      <c r="C48" s="157"/>
      <c r="G48" s="172"/>
      <c r="K48" s="170"/>
      <c r="L48" s="172"/>
      <c r="P48" s="170"/>
      <c r="Q48" s="172"/>
      <c r="U48" s="170"/>
      <c r="V48" s="172"/>
      <c r="Z48" s="170"/>
      <c r="AA48" s="172"/>
      <c r="AB48" s="173"/>
      <c r="AC48" s="173"/>
      <c r="AD48" s="173"/>
      <c r="AE48" s="173"/>
      <c r="AX48" s="157"/>
      <c r="AY48" s="157"/>
      <c r="AZ48" s="157"/>
      <c r="BA48" s="157"/>
    </row>
    <row r="49" spans="7:53" ht="22.5" customHeight="1">
      <c r="G49" s="172"/>
      <c r="K49" s="170"/>
      <c r="L49" s="172"/>
      <c r="P49" s="170"/>
      <c r="Q49" s="172"/>
      <c r="U49" s="170"/>
      <c r="V49" s="172"/>
      <c r="Z49" s="170"/>
      <c r="AA49" s="172"/>
      <c r="AB49" s="173"/>
      <c r="AC49" s="173"/>
      <c r="AD49" s="173"/>
      <c r="AE49" s="173"/>
      <c r="AX49" s="157"/>
      <c r="AY49" s="157"/>
      <c r="AZ49" s="157"/>
      <c r="BA49" s="157"/>
    </row>
    <row r="50" spans="7:53" ht="22.5" customHeight="1">
      <c r="G50" s="172"/>
      <c r="K50" s="170"/>
      <c r="L50" s="172"/>
      <c r="P50" s="170"/>
      <c r="Q50" s="172"/>
      <c r="U50" s="170"/>
      <c r="V50" s="172"/>
      <c r="Z50" s="170"/>
      <c r="AA50" s="172"/>
      <c r="AB50" s="173"/>
      <c r="AC50" s="173"/>
      <c r="AD50" s="173"/>
      <c r="AE50" s="173"/>
      <c r="AX50" s="157"/>
      <c r="AY50" s="157"/>
      <c r="AZ50" s="157"/>
      <c r="BA50" s="157"/>
    </row>
    <row r="51" spans="7:53" ht="22.5" customHeight="1">
      <c r="G51" s="172"/>
      <c r="K51" s="170"/>
      <c r="L51" s="172"/>
      <c r="P51" s="170"/>
      <c r="Q51" s="172"/>
      <c r="U51" s="170"/>
      <c r="V51" s="172"/>
      <c r="Z51" s="170"/>
      <c r="AA51" s="172"/>
      <c r="AB51" s="173"/>
      <c r="AC51" s="173"/>
      <c r="AD51" s="173"/>
      <c r="AE51" s="173"/>
      <c r="AX51" s="157"/>
      <c r="AY51" s="157"/>
      <c r="AZ51" s="157"/>
      <c r="BA51" s="157"/>
    </row>
    <row r="52" spans="7:53" ht="22.5" customHeight="1">
      <c r="G52" s="172"/>
      <c r="K52" s="170"/>
      <c r="L52" s="172"/>
      <c r="P52" s="170"/>
      <c r="Q52" s="172"/>
      <c r="U52" s="170"/>
      <c r="V52" s="172"/>
      <c r="Z52" s="170"/>
      <c r="AA52" s="172"/>
      <c r="AB52" s="173"/>
      <c r="AC52" s="173"/>
      <c r="AD52" s="173"/>
      <c r="AE52" s="173"/>
      <c r="AX52" s="157"/>
      <c r="AY52" s="157"/>
      <c r="AZ52" s="157"/>
      <c r="BA52" s="157"/>
    </row>
    <row r="53" spans="7:53" ht="22.5" customHeight="1">
      <c r="G53" s="172"/>
      <c r="K53" s="170"/>
      <c r="L53" s="172"/>
      <c r="P53" s="170"/>
      <c r="Q53" s="172"/>
      <c r="U53" s="170"/>
      <c r="V53" s="172"/>
      <c r="Z53" s="170"/>
      <c r="AA53" s="172"/>
      <c r="AB53" s="173"/>
      <c r="AC53" s="173"/>
      <c r="AD53" s="173"/>
      <c r="AE53" s="173"/>
      <c r="AX53" s="157"/>
      <c r="AY53" s="157"/>
      <c r="AZ53" s="157"/>
      <c r="BA53" s="157"/>
    </row>
    <row r="54" spans="7:53" ht="22.5" customHeight="1">
      <c r="G54" s="172"/>
      <c r="K54" s="170"/>
      <c r="L54" s="172"/>
      <c r="P54" s="170"/>
      <c r="Q54" s="172"/>
      <c r="U54" s="170"/>
      <c r="V54" s="172"/>
      <c r="Z54" s="170"/>
      <c r="AA54" s="172"/>
      <c r="AB54" s="173"/>
      <c r="AC54" s="173"/>
      <c r="AD54" s="173"/>
      <c r="AE54" s="173"/>
      <c r="AX54" s="157"/>
      <c r="AY54" s="157"/>
      <c r="AZ54" s="157"/>
      <c r="BA54" s="157"/>
    </row>
    <row r="55" spans="7:53" ht="22.5" customHeight="1">
      <c r="G55" s="172"/>
      <c r="K55" s="170"/>
      <c r="L55" s="172"/>
      <c r="P55" s="170"/>
      <c r="Q55" s="172"/>
      <c r="U55" s="170"/>
      <c r="V55" s="172"/>
      <c r="Z55" s="170"/>
      <c r="AA55" s="172"/>
      <c r="AB55" s="173"/>
      <c r="AC55" s="173"/>
      <c r="AD55" s="173"/>
      <c r="AE55" s="173"/>
      <c r="AX55" s="157"/>
      <c r="AY55" s="157"/>
      <c r="AZ55" s="157"/>
      <c r="BA55" s="157"/>
    </row>
    <row r="56" spans="7:53" ht="22.5" customHeight="1">
      <c r="G56" s="172"/>
      <c r="K56" s="170"/>
      <c r="L56" s="172"/>
      <c r="P56" s="170"/>
      <c r="Q56" s="172"/>
      <c r="U56" s="170"/>
      <c r="V56" s="172"/>
      <c r="Z56" s="170"/>
      <c r="AA56" s="172"/>
      <c r="AB56" s="173"/>
      <c r="AC56" s="173"/>
      <c r="AD56" s="173"/>
      <c r="AE56" s="173"/>
      <c r="AX56" s="157"/>
      <c r="AY56" s="157"/>
      <c r="AZ56" s="157"/>
      <c r="BA56" s="157"/>
    </row>
    <row r="57" spans="7:53" ht="22.5" customHeight="1">
      <c r="G57" s="172"/>
      <c r="K57" s="170"/>
      <c r="P57" s="170"/>
      <c r="Q57" s="172"/>
      <c r="U57" s="170"/>
      <c r="V57" s="172"/>
      <c r="Z57" s="170"/>
      <c r="AA57" s="172"/>
      <c r="AB57" s="173"/>
      <c r="AC57" s="173"/>
      <c r="AD57" s="173"/>
      <c r="AE57" s="173"/>
      <c r="AX57" s="157"/>
      <c r="AY57" s="157"/>
      <c r="AZ57" s="157"/>
      <c r="BA57" s="157"/>
    </row>
    <row r="58" spans="7:53" ht="22.5" customHeight="1">
      <c r="G58" s="172"/>
      <c r="K58" s="170"/>
      <c r="P58" s="170"/>
      <c r="Q58" s="172"/>
      <c r="U58" s="170"/>
      <c r="V58" s="172"/>
      <c r="Z58" s="170"/>
      <c r="AA58" s="172"/>
      <c r="AB58" s="173"/>
      <c r="AC58" s="173"/>
      <c r="AD58" s="173"/>
      <c r="AE58" s="173"/>
      <c r="AX58" s="157"/>
      <c r="AY58" s="157"/>
      <c r="AZ58" s="157"/>
      <c r="BA58" s="157"/>
    </row>
    <row r="59" spans="7:53" ht="22.5" customHeight="1">
      <c r="Q59" s="269"/>
      <c r="R59" s="270"/>
      <c r="S59" s="271"/>
    </row>
    <row r="60" spans="7:53" ht="22.5" customHeight="1">
      <c r="K60" s="173"/>
      <c r="Q60" s="272"/>
      <c r="R60" s="273"/>
      <c r="S60" s="274"/>
    </row>
    <row r="61" spans="7:53" ht="22.5" customHeight="1">
      <c r="Q61" s="272"/>
      <c r="R61" s="273"/>
      <c r="S61" s="274"/>
    </row>
    <row r="62" spans="7:53" ht="22.5" customHeight="1">
      <c r="Q62" s="272"/>
      <c r="R62" s="273"/>
      <c r="S62" s="275"/>
    </row>
    <row r="63" spans="7:53" ht="22.5" customHeight="1">
      <c r="L63" s="268"/>
      <c r="M63" s="268"/>
      <c r="Q63" s="272"/>
      <c r="R63" s="273"/>
      <c r="S63" s="274"/>
    </row>
    <row r="64" spans="7:53" ht="22.5" customHeight="1">
      <c r="Q64" s="272"/>
      <c r="R64" s="273"/>
      <c r="S64" s="275"/>
    </row>
    <row r="65" spans="17:22" ht="22.5" customHeight="1">
      <c r="Q65" s="272"/>
      <c r="R65" s="273"/>
      <c r="S65" s="274"/>
      <c r="V65" s="276"/>
    </row>
    <row r="66" spans="17:22" ht="22.5" customHeight="1">
      <c r="Q66" s="272"/>
      <c r="R66" s="273"/>
      <c r="S66" s="277"/>
    </row>
    <row r="67" spans="17:22" ht="22.5" customHeight="1">
      <c r="Q67" s="272"/>
      <c r="R67" s="278"/>
      <c r="S67" s="277"/>
    </row>
    <row r="68" spans="17:22" ht="22.5" customHeight="1">
      <c r="Q68" s="273"/>
      <c r="R68" s="273"/>
      <c r="S68" s="275"/>
    </row>
    <row r="69" spans="17:22" ht="22.5" customHeight="1">
      <c r="Q69" s="273"/>
      <c r="R69" s="278"/>
      <c r="S69" s="279"/>
    </row>
    <row r="70" spans="17:22" ht="22.5" customHeight="1">
      <c r="Q70" s="280"/>
      <c r="R70" s="281"/>
      <c r="S70" s="282"/>
    </row>
    <row r="71" spans="17:22" ht="22.5" customHeight="1">
      <c r="Q71" s="273"/>
      <c r="R71" s="278"/>
      <c r="S71" s="283"/>
    </row>
    <row r="72" spans="17:22" ht="22.5" customHeight="1">
      <c r="Q72" s="273"/>
      <c r="R72" s="278"/>
      <c r="S72" s="279"/>
    </row>
    <row r="73" spans="17:22" ht="22.5" customHeight="1">
      <c r="Q73" s="273"/>
      <c r="R73" s="278"/>
      <c r="S73" s="279"/>
    </row>
    <row r="74" spans="17:22" ht="22.5" customHeight="1">
      <c r="Q74" s="272"/>
      <c r="R74" s="284"/>
      <c r="S74" s="274"/>
    </row>
    <row r="75" spans="17:22" ht="22.5" customHeight="1">
      <c r="Q75" s="273"/>
      <c r="R75" s="278"/>
      <c r="S75" s="275"/>
    </row>
    <row r="76" spans="17:22" ht="22.5" customHeight="1">
      <c r="Q76" s="272"/>
      <c r="R76" s="278"/>
      <c r="S76" s="285"/>
    </row>
    <row r="77" spans="17:22" ht="22.5" customHeight="1">
      <c r="Q77" s="273"/>
      <c r="R77" s="273"/>
      <c r="S77" s="279"/>
    </row>
    <row r="78" spans="17:22" ht="22.5" customHeight="1">
      <c r="Q78" s="273"/>
      <c r="R78" s="273"/>
      <c r="S78" s="274"/>
    </row>
    <row r="79" spans="17:22" ht="22.5" customHeight="1">
      <c r="Q79" s="273"/>
      <c r="R79" s="273"/>
      <c r="S79" s="279"/>
    </row>
    <row r="80" spans="17:22" ht="22.5" customHeight="1">
      <c r="Q80" s="273"/>
      <c r="R80" s="273"/>
      <c r="S80" s="283"/>
    </row>
  </sheetData>
  <customSheetViews>
    <customSheetView guid="{B5837528-F556-4927-BE56-326C83C78B54}" scale="90" printArea="1" hiddenColumns="1" topLeftCell="AD13">
      <selection activeCell="AK30" sqref="AK30"/>
      <colBreaks count="1" manualBreakCount="1">
        <brk id="45" max="41" man="1"/>
      </colBreaks>
      <pageMargins left="0.25" right="0.25" top="0.75" bottom="0.75" header="0.3" footer="0.3"/>
      <pageSetup scale="55" orientation="landscape" r:id="rId1"/>
      <headerFooter>
        <oddFooter>&amp;RPage 2</oddFooter>
      </headerFooter>
    </customSheetView>
    <customSheetView guid="{0E99B8F5-2809-4D97-8227-3422E522E04C}" scale="90" showPageBreaks="1" printArea="1" hiddenColumns="1" topLeftCell="AQ4">
      <selection activeCell="AM28" sqref="AM28"/>
      <colBreaks count="1" manualBreakCount="1">
        <brk id="45" max="41" man="1"/>
      </colBreaks>
      <pageMargins left="0.25" right="0.25" top="0.75" bottom="0.75" header="0.3" footer="0.3"/>
      <pageSetup scale="55" orientation="landscape" r:id="rId2"/>
      <headerFooter>
        <oddFooter>&amp;RPage 2</oddFooter>
      </headerFooter>
    </customSheetView>
  </customSheetViews>
  <mergeCells count="14">
    <mergeCell ref="L1:M1"/>
    <mergeCell ref="B3:C3"/>
    <mergeCell ref="G3:H3"/>
    <mergeCell ref="L3:M3"/>
    <mergeCell ref="Q3:R3"/>
    <mergeCell ref="L36:O36"/>
    <mergeCell ref="AA3:AB3"/>
    <mergeCell ref="B4:C4"/>
    <mergeCell ref="G4:H4"/>
    <mergeCell ref="L4:M4"/>
    <mergeCell ref="Q4:R4"/>
    <mergeCell ref="V4:W4"/>
    <mergeCell ref="AA4:AB4"/>
    <mergeCell ref="V3:W3"/>
  </mergeCells>
  <pageMargins left="0.25" right="0.25" top="0.75" bottom="0.75" header="0.3" footer="0.3"/>
  <pageSetup scale="55" orientation="landscape" r:id="rId3"/>
  <headerFooter>
    <oddHeader>&amp;CFAMILY RESI</oddHeader>
  </headerFooter>
  <colBreaks count="1" manualBreakCount="1">
    <brk id="16" max="4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8"/>
  <sheetViews>
    <sheetView topLeftCell="AZ1" workbookViewId="0">
      <selection activeCell="BR31" sqref="BR31"/>
    </sheetView>
  </sheetViews>
  <sheetFormatPr defaultRowHeight="12.75"/>
  <cols>
    <col min="1" max="1" width="38.42578125" style="483" customWidth="1"/>
    <col min="2" max="2" width="12.85546875" style="488" customWidth="1"/>
    <col min="3" max="58" width="7.7109375" style="483" customWidth="1"/>
    <col min="59" max="59" width="13" style="483" customWidth="1"/>
    <col min="60" max="60" width="8.42578125" style="483" customWidth="1"/>
    <col min="61" max="61" width="8.140625" style="483" customWidth="1"/>
    <col min="62" max="67" width="8.140625" style="483" bestFit="1" customWidth="1"/>
    <col min="68" max="68" width="7.42578125" style="483" bestFit="1" customWidth="1"/>
    <col min="69" max="69" width="9" style="483" bestFit="1" customWidth="1"/>
    <col min="70" max="82" width="7.7109375" style="483" customWidth="1"/>
    <col min="83" max="256" width="8.85546875" style="483"/>
    <col min="257" max="257" width="38.42578125" style="483" customWidth="1"/>
    <col min="258" max="258" width="12.85546875" style="483" customWidth="1"/>
    <col min="259" max="314" width="7.7109375" style="483" customWidth="1"/>
    <col min="315" max="315" width="13" style="483" customWidth="1"/>
    <col min="316" max="316" width="8.42578125" style="483" customWidth="1"/>
    <col min="317" max="317" width="8.140625" style="483" customWidth="1"/>
    <col min="318" max="323" width="8.140625" style="483" bestFit="1" customWidth="1"/>
    <col min="324" max="324" width="7.42578125" style="483" bestFit="1" customWidth="1"/>
    <col min="325" max="325" width="9" style="483" bestFit="1" customWidth="1"/>
    <col min="326" max="338" width="7.7109375" style="483" customWidth="1"/>
    <col min="339" max="512" width="8.85546875" style="483"/>
    <col min="513" max="513" width="38.42578125" style="483" customWidth="1"/>
    <col min="514" max="514" width="12.85546875" style="483" customWidth="1"/>
    <col min="515" max="570" width="7.7109375" style="483" customWidth="1"/>
    <col min="571" max="571" width="13" style="483" customWidth="1"/>
    <col min="572" max="572" width="8.42578125" style="483" customWidth="1"/>
    <col min="573" max="573" width="8.140625" style="483" customWidth="1"/>
    <col min="574" max="579" width="8.140625" style="483" bestFit="1" customWidth="1"/>
    <col min="580" max="580" width="7.42578125" style="483" bestFit="1" customWidth="1"/>
    <col min="581" max="581" width="9" style="483" bestFit="1" customWidth="1"/>
    <col min="582" max="594" width="7.7109375" style="483" customWidth="1"/>
    <col min="595" max="768" width="8.85546875" style="483"/>
    <col min="769" max="769" width="38.42578125" style="483" customWidth="1"/>
    <col min="770" max="770" width="12.85546875" style="483" customWidth="1"/>
    <col min="771" max="826" width="7.7109375" style="483" customWidth="1"/>
    <col min="827" max="827" width="13" style="483" customWidth="1"/>
    <col min="828" max="828" width="8.42578125" style="483" customWidth="1"/>
    <col min="829" max="829" width="8.140625" style="483" customWidth="1"/>
    <col min="830" max="835" width="8.140625" style="483" bestFit="1" customWidth="1"/>
    <col min="836" max="836" width="7.42578125" style="483" bestFit="1" customWidth="1"/>
    <col min="837" max="837" width="9" style="483" bestFit="1" customWidth="1"/>
    <col min="838" max="850" width="7.7109375" style="483" customWidth="1"/>
    <col min="851" max="1024" width="8.85546875" style="483"/>
    <col min="1025" max="1025" width="38.42578125" style="483" customWidth="1"/>
    <col min="1026" max="1026" width="12.85546875" style="483" customWidth="1"/>
    <col min="1027" max="1082" width="7.7109375" style="483" customWidth="1"/>
    <col min="1083" max="1083" width="13" style="483" customWidth="1"/>
    <col min="1084" max="1084" width="8.42578125" style="483" customWidth="1"/>
    <col min="1085" max="1085" width="8.140625" style="483" customWidth="1"/>
    <col min="1086" max="1091" width="8.140625" style="483" bestFit="1" customWidth="1"/>
    <col min="1092" max="1092" width="7.42578125" style="483" bestFit="1" customWidth="1"/>
    <col min="1093" max="1093" width="9" style="483" bestFit="1" customWidth="1"/>
    <col min="1094" max="1106" width="7.7109375" style="483" customWidth="1"/>
    <col min="1107" max="1280" width="8.85546875" style="483"/>
    <col min="1281" max="1281" width="38.42578125" style="483" customWidth="1"/>
    <col min="1282" max="1282" width="12.85546875" style="483" customWidth="1"/>
    <col min="1283" max="1338" width="7.7109375" style="483" customWidth="1"/>
    <col min="1339" max="1339" width="13" style="483" customWidth="1"/>
    <col min="1340" max="1340" width="8.42578125" style="483" customWidth="1"/>
    <col min="1341" max="1341" width="8.140625" style="483" customWidth="1"/>
    <col min="1342" max="1347" width="8.140625" style="483" bestFit="1" customWidth="1"/>
    <col min="1348" max="1348" width="7.42578125" style="483" bestFit="1" customWidth="1"/>
    <col min="1349" max="1349" width="9" style="483" bestFit="1" customWidth="1"/>
    <col min="1350" max="1362" width="7.7109375" style="483" customWidth="1"/>
    <col min="1363" max="1536" width="8.85546875" style="483"/>
    <col min="1537" max="1537" width="38.42578125" style="483" customWidth="1"/>
    <col min="1538" max="1538" width="12.85546875" style="483" customWidth="1"/>
    <col min="1539" max="1594" width="7.7109375" style="483" customWidth="1"/>
    <col min="1595" max="1595" width="13" style="483" customWidth="1"/>
    <col min="1596" max="1596" width="8.42578125" style="483" customWidth="1"/>
    <col min="1597" max="1597" width="8.140625" style="483" customWidth="1"/>
    <col min="1598" max="1603" width="8.140625" style="483" bestFit="1" customWidth="1"/>
    <col min="1604" max="1604" width="7.42578125" style="483" bestFit="1" customWidth="1"/>
    <col min="1605" max="1605" width="9" style="483" bestFit="1" customWidth="1"/>
    <col min="1606" max="1618" width="7.7109375" style="483" customWidth="1"/>
    <col min="1619" max="1792" width="8.85546875" style="483"/>
    <col min="1793" max="1793" width="38.42578125" style="483" customWidth="1"/>
    <col min="1794" max="1794" width="12.85546875" style="483" customWidth="1"/>
    <col min="1795" max="1850" width="7.7109375" style="483" customWidth="1"/>
    <col min="1851" max="1851" width="13" style="483" customWidth="1"/>
    <col min="1852" max="1852" width="8.42578125" style="483" customWidth="1"/>
    <col min="1853" max="1853" width="8.140625" style="483" customWidth="1"/>
    <col min="1854" max="1859" width="8.140625" style="483" bestFit="1" customWidth="1"/>
    <col min="1860" max="1860" width="7.42578125" style="483" bestFit="1" customWidth="1"/>
    <col min="1861" max="1861" width="9" style="483" bestFit="1" customWidth="1"/>
    <col min="1862" max="1874" width="7.7109375" style="483" customWidth="1"/>
    <col min="1875" max="2048" width="8.85546875" style="483"/>
    <col min="2049" max="2049" width="38.42578125" style="483" customWidth="1"/>
    <col min="2050" max="2050" width="12.85546875" style="483" customWidth="1"/>
    <col min="2051" max="2106" width="7.7109375" style="483" customWidth="1"/>
    <col min="2107" max="2107" width="13" style="483" customWidth="1"/>
    <col min="2108" max="2108" width="8.42578125" style="483" customWidth="1"/>
    <col min="2109" max="2109" width="8.140625" style="483" customWidth="1"/>
    <col min="2110" max="2115" width="8.140625" style="483" bestFit="1" customWidth="1"/>
    <col min="2116" max="2116" width="7.42578125" style="483" bestFit="1" customWidth="1"/>
    <col min="2117" max="2117" width="9" style="483" bestFit="1" customWidth="1"/>
    <col min="2118" max="2130" width="7.7109375" style="483" customWidth="1"/>
    <col min="2131" max="2304" width="8.85546875" style="483"/>
    <col min="2305" max="2305" width="38.42578125" style="483" customWidth="1"/>
    <col min="2306" max="2306" width="12.85546875" style="483" customWidth="1"/>
    <col min="2307" max="2362" width="7.7109375" style="483" customWidth="1"/>
    <col min="2363" max="2363" width="13" style="483" customWidth="1"/>
    <col min="2364" max="2364" width="8.42578125" style="483" customWidth="1"/>
    <col min="2365" max="2365" width="8.140625" style="483" customWidth="1"/>
    <col min="2366" max="2371" width="8.140625" style="483" bestFit="1" customWidth="1"/>
    <col min="2372" max="2372" width="7.42578125" style="483" bestFit="1" customWidth="1"/>
    <col min="2373" max="2373" width="9" style="483" bestFit="1" customWidth="1"/>
    <col min="2374" max="2386" width="7.7109375" style="483" customWidth="1"/>
    <col min="2387" max="2560" width="8.85546875" style="483"/>
    <col min="2561" max="2561" width="38.42578125" style="483" customWidth="1"/>
    <col min="2562" max="2562" width="12.85546875" style="483" customWidth="1"/>
    <col min="2563" max="2618" width="7.7109375" style="483" customWidth="1"/>
    <col min="2619" max="2619" width="13" style="483" customWidth="1"/>
    <col min="2620" max="2620" width="8.42578125" style="483" customWidth="1"/>
    <col min="2621" max="2621" width="8.140625" style="483" customWidth="1"/>
    <col min="2622" max="2627" width="8.140625" style="483" bestFit="1" customWidth="1"/>
    <col min="2628" max="2628" width="7.42578125" style="483" bestFit="1" customWidth="1"/>
    <col min="2629" max="2629" width="9" style="483" bestFit="1" customWidth="1"/>
    <col min="2630" max="2642" width="7.7109375" style="483" customWidth="1"/>
    <col min="2643" max="2816" width="8.85546875" style="483"/>
    <col min="2817" max="2817" width="38.42578125" style="483" customWidth="1"/>
    <col min="2818" max="2818" width="12.85546875" style="483" customWidth="1"/>
    <col min="2819" max="2874" width="7.7109375" style="483" customWidth="1"/>
    <col min="2875" max="2875" width="13" style="483" customWidth="1"/>
    <col min="2876" max="2876" width="8.42578125" style="483" customWidth="1"/>
    <col min="2877" max="2877" width="8.140625" style="483" customWidth="1"/>
    <col min="2878" max="2883" width="8.140625" style="483" bestFit="1" customWidth="1"/>
    <col min="2884" max="2884" width="7.42578125" style="483" bestFit="1" customWidth="1"/>
    <col min="2885" max="2885" width="9" style="483" bestFit="1" customWidth="1"/>
    <col min="2886" max="2898" width="7.7109375" style="483" customWidth="1"/>
    <col min="2899" max="3072" width="8.85546875" style="483"/>
    <col min="3073" max="3073" width="38.42578125" style="483" customWidth="1"/>
    <col min="3074" max="3074" width="12.85546875" style="483" customWidth="1"/>
    <col min="3075" max="3130" width="7.7109375" style="483" customWidth="1"/>
    <col min="3131" max="3131" width="13" style="483" customWidth="1"/>
    <col min="3132" max="3132" width="8.42578125" style="483" customWidth="1"/>
    <col min="3133" max="3133" width="8.140625" style="483" customWidth="1"/>
    <col min="3134" max="3139" width="8.140625" style="483" bestFit="1" customWidth="1"/>
    <col min="3140" max="3140" width="7.42578125" style="483" bestFit="1" customWidth="1"/>
    <col min="3141" max="3141" width="9" style="483" bestFit="1" customWidth="1"/>
    <col min="3142" max="3154" width="7.7109375" style="483" customWidth="1"/>
    <col min="3155" max="3328" width="8.85546875" style="483"/>
    <col min="3329" max="3329" width="38.42578125" style="483" customWidth="1"/>
    <col min="3330" max="3330" width="12.85546875" style="483" customWidth="1"/>
    <col min="3331" max="3386" width="7.7109375" style="483" customWidth="1"/>
    <col min="3387" max="3387" width="13" style="483" customWidth="1"/>
    <col min="3388" max="3388" width="8.42578125" style="483" customWidth="1"/>
    <col min="3389" max="3389" width="8.140625" style="483" customWidth="1"/>
    <col min="3390" max="3395" width="8.140625" style="483" bestFit="1" customWidth="1"/>
    <col min="3396" max="3396" width="7.42578125" style="483" bestFit="1" customWidth="1"/>
    <col min="3397" max="3397" width="9" style="483" bestFit="1" customWidth="1"/>
    <col min="3398" max="3410" width="7.7109375" style="483" customWidth="1"/>
    <col min="3411" max="3584" width="8.85546875" style="483"/>
    <col min="3585" max="3585" width="38.42578125" style="483" customWidth="1"/>
    <col min="3586" max="3586" width="12.85546875" style="483" customWidth="1"/>
    <col min="3587" max="3642" width="7.7109375" style="483" customWidth="1"/>
    <col min="3643" max="3643" width="13" style="483" customWidth="1"/>
    <col min="3644" max="3644" width="8.42578125" style="483" customWidth="1"/>
    <col min="3645" max="3645" width="8.140625" style="483" customWidth="1"/>
    <col min="3646" max="3651" width="8.140625" style="483" bestFit="1" customWidth="1"/>
    <col min="3652" max="3652" width="7.42578125" style="483" bestFit="1" customWidth="1"/>
    <col min="3653" max="3653" width="9" style="483" bestFit="1" customWidth="1"/>
    <col min="3654" max="3666" width="7.7109375" style="483" customWidth="1"/>
    <col min="3667" max="3840" width="8.85546875" style="483"/>
    <col min="3841" max="3841" width="38.42578125" style="483" customWidth="1"/>
    <col min="3842" max="3842" width="12.85546875" style="483" customWidth="1"/>
    <col min="3843" max="3898" width="7.7109375" style="483" customWidth="1"/>
    <col min="3899" max="3899" width="13" style="483" customWidth="1"/>
    <col min="3900" max="3900" width="8.42578125" style="483" customWidth="1"/>
    <col min="3901" max="3901" width="8.140625" style="483" customWidth="1"/>
    <col min="3902" max="3907" width="8.140625" style="483" bestFit="1" customWidth="1"/>
    <col min="3908" max="3908" width="7.42578125" style="483" bestFit="1" customWidth="1"/>
    <col min="3909" max="3909" width="9" style="483" bestFit="1" customWidth="1"/>
    <col min="3910" max="3922" width="7.7109375" style="483" customWidth="1"/>
    <col min="3923" max="4096" width="8.85546875" style="483"/>
    <col min="4097" max="4097" width="38.42578125" style="483" customWidth="1"/>
    <col min="4098" max="4098" width="12.85546875" style="483" customWidth="1"/>
    <col min="4099" max="4154" width="7.7109375" style="483" customWidth="1"/>
    <col min="4155" max="4155" width="13" style="483" customWidth="1"/>
    <col min="4156" max="4156" width="8.42578125" style="483" customWidth="1"/>
    <col min="4157" max="4157" width="8.140625" style="483" customWidth="1"/>
    <col min="4158" max="4163" width="8.140625" style="483" bestFit="1" customWidth="1"/>
    <col min="4164" max="4164" width="7.42578125" style="483" bestFit="1" customWidth="1"/>
    <col min="4165" max="4165" width="9" style="483" bestFit="1" customWidth="1"/>
    <col min="4166" max="4178" width="7.7109375" style="483" customWidth="1"/>
    <col min="4179" max="4352" width="8.85546875" style="483"/>
    <col min="4353" max="4353" width="38.42578125" style="483" customWidth="1"/>
    <col min="4354" max="4354" width="12.85546875" style="483" customWidth="1"/>
    <col min="4355" max="4410" width="7.7109375" style="483" customWidth="1"/>
    <col min="4411" max="4411" width="13" style="483" customWidth="1"/>
    <col min="4412" max="4412" width="8.42578125" style="483" customWidth="1"/>
    <col min="4413" max="4413" width="8.140625" style="483" customWidth="1"/>
    <col min="4414" max="4419" width="8.140625" style="483" bestFit="1" customWidth="1"/>
    <col min="4420" max="4420" width="7.42578125" style="483" bestFit="1" customWidth="1"/>
    <col min="4421" max="4421" width="9" style="483" bestFit="1" customWidth="1"/>
    <col min="4422" max="4434" width="7.7109375" style="483" customWidth="1"/>
    <col min="4435" max="4608" width="8.85546875" style="483"/>
    <col min="4609" max="4609" width="38.42578125" style="483" customWidth="1"/>
    <col min="4610" max="4610" width="12.85546875" style="483" customWidth="1"/>
    <col min="4611" max="4666" width="7.7109375" style="483" customWidth="1"/>
    <col min="4667" max="4667" width="13" style="483" customWidth="1"/>
    <col min="4668" max="4668" width="8.42578125" style="483" customWidth="1"/>
    <col min="4669" max="4669" width="8.140625" style="483" customWidth="1"/>
    <col min="4670" max="4675" width="8.140625" style="483" bestFit="1" customWidth="1"/>
    <col min="4676" max="4676" width="7.42578125" style="483" bestFit="1" customWidth="1"/>
    <col min="4677" max="4677" width="9" style="483" bestFit="1" customWidth="1"/>
    <col min="4678" max="4690" width="7.7109375" style="483" customWidth="1"/>
    <col min="4691" max="4864" width="8.85546875" style="483"/>
    <col min="4865" max="4865" width="38.42578125" style="483" customWidth="1"/>
    <col min="4866" max="4866" width="12.85546875" style="483" customWidth="1"/>
    <col min="4867" max="4922" width="7.7109375" style="483" customWidth="1"/>
    <col min="4923" max="4923" width="13" style="483" customWidth="1"/>
    <col min="4924" max="4924" width="8.42578125" style="483" customWidth="1"/>
    <col min="4925" max="4925" width="8.140625" style="483" customWidth="1"/>
    <col min="4926" max="4931" width="8.140625" style="483" bestFit="1" customWidth="1"/>
    <col min="4932" max="4932" width="7.42578125" style="483" bestFit="1" customWidth="1"/>
    <col min="4933" max="4933" width="9" style="483" bestFit="1" customWidth="1"/>
    <col min="4934" max="4946" width="7.7109375" style="483" customWidth="1"/>
    <col min="4947" max="5120" width="8.85546875" style="483"/>
    <col min="5121" max="5121" width="38.42578125" style="483" customWidth="1"/>
    <col min="5122" max="5122" width="12.85546875" style="483" customWidth="1"/>
    <col min="5123" max="5178" width="7.7109375" style="483" customWidth="1"/>
    <col min="5179" max="5179" width="13" style="483" customWidth="1"/>
    <col min="5180" max="5180" width="8.42578125" style="483" customWidth="1"/>
    <col min="5181" max="5181" width="8.140625" style="483" customWidth="1"/>
    <col min="5182" max="5187" width="8.140625" style="483" bestFit="1" customWidth="1"/>
    <col min="5188" max="5188" width="7.42578125" style="483" bestFit="1" customWidth="1"/>
    <col min="5189" max="5189" width="9" style="483" bestFit="1" customWidth="1"/>
    <col min="5190" max="5202" width="7.7109375" style="483" customWidth="1"/>
    <col min="5203" max="5376" width="8.85546875" style="483"/>
    <col min="5377" max="5377" width="38.42578125" style="483" customWidth="1"/>
    <col min="5378" max="5378" width="12.85546875" style="483" customWidth="1"/>
    <col min="5379" max="5434" width="7.7109375" style="483" customWidth="1"/>
    <col min="5435" max="5435" width="13" style="483" customWidth="1"/>
    <col min="5436" max="5436" width="8.42578125" style="483" customWidth="1"/>
    <col min="5437" max="5437" width="8.140625" style="483" customWidth="1"/>
    <col min="5438" max="5443" width="8.140625" style="483" bestFit="1" customWidth="1"/>
    <col min="5444" max="5444" width="7.42578125" style="483" bestFit="1" customWidth="1"/>
    <col min="5445" max="5445" width="9" style="483" bestFit="1" customWidth="1"/>
    <col min="5446" max="5458" width="7.7109375" style="483" customWidth="1"/>
    <col min="5459" max="5632" width="8.85546875" style="483"/>
    <col min="5633" max="5633" width="38.42578125" style="483" customWidth="1"/>
    <col min="5634" max="5634" width="12.85546875" style="483" customWidth="1"/>
    <col min="5635" max="5690" width="7.7109375" style="483" customWidth="1"/>
    <col min="5691" max="5691" width="13" style="483" customWidth="1"/>
    <col min="5692" max="5692" width="8.42578125" style="483" customWidth="1"/>
    <col min="5693" max="5693" width="8.140625" style="483" customWidth="1"/>
    <col min="5694" max="5699" width="8.140625" style="483" bestFit="1" customWidth="1"/>
    <col min="5700" max="5700" width="7.42578125" style="483" bestFit="1" customWidth="1"/>
    <col min="5701" max="5701" width="9" style="483" bestFit="1" customWidth="1"/>
    <col min="5702" max="5714" width="7.7109375" style="483" customWidth="1"/>
    <col min="5715" max="5888" width="8.85546875" style="483"/>
    <col min="5889" max="5889" width="38.42578125" style="483" customWidth="1"/>
    <col min="5890" max="5890" width="12.85546875" style="483" customWidth="1"/>
    <col min="5891" max="5946" width="7.7109375" style="483" customWidth="1"/>
    <col min="5947" max="5947" width="13" style="483" customWidth="1"/>
    <col min="5948" max="5948" width="8.42578125" style="483" customWidth="1"/>
    <col min="5949" max="5949" width="8.140625" style="483" customWidth="1"/>
    <col min="5950" max="5955" width="8.140625" style="483" bestFit="1" customWidth="1"/>
    <col min="5956" max="5956" width="7.42578125" style="483" bestFit="1" customWidth="1"/>
    <col min="5957" max="5957" width="9" style="483" bestFit="1" customWidth="1"/>
    <col min="5958" max="5970" width="7.7109375" style="483" customWidth="1"/>
    <col min="5971" max="6144" width="8.85546875" style="483"/>
    <col min="6145" max="6145" width="38.42578125" style="483" customWidth="1"/>
    <col min="6146" max="6146" width="12.85546875" style="483" customWidth="1"/>
    <col min="6147" max="6202" width="7.7109375" style="483" customWidth="1"/>
    <col min="6203" max="6203" width="13" style="483" customWidth="1"/>
    <col min="6204" max="6204" width="8.42578125" style="483" customWidth="1"/>
    <col min="6205" max="6205" width="8.140625" style="483" customWidth="1"/>
    <col min="6206" max="6211" width="8.140625" style="483" bestFit="1" customWidth="1"/>
    <col min="6212" max="6212" width="7.42578125" style="483" bestFit="1" customWidth="1"/>
    <col min="6213" max="6213" width="9" style="483" bestFit="1" customWidth="1"/>
    <col min="6214" max="6226" width="7.7109375" style="483" customWidth="1"/>
    <col min="6227" max="6400" width="8.85546875" style="483"/>
    <col min="6401" max="6401" width="38.42578125" style="483" customWidth="1"/>
    <col min="6402" max="6402" width="12.85546875" style="483" customWidth="1"/>
    <col min="6403" max="6458" width="7.7109375" style="483" customWidth="1"/>
    <col min="6459" max="6459" width="13" style="483" customWidth="1"/>
    <col min="6460" max="6460" width="8.42578125" style="483" customWidth="1"/>
    <col min="6461" max="6461" width="8.140625" style="483" customWidth="1"/>
    <col min="6462" max="6467" width="8.140625" style="483" bestFit="1" customWidth="1"/>
    <col min="6468" max="6468" width="7.42578125" style="483" bestFit="1" customWidth="1"/>
    <col min="6469" max="6469" width="9" style="483" bestFit="1" customWidth="1"/>
    <col min="6470" max="6482" width="7.7109375" style="483" customWidth="1"/>
    <col min="6483" max="6656" width="8.85546875" style="483"/>
    <col min="6657" max="6657" width="38.42578125" style="483" customWidth="1"/>
    <col min="6658" max="6658" width="12.85546875" style="483" customWidth="1"/>
    <col min="6659" max="6714" width="7.7109375" style="483" customWidth="1"/>
    <col min="6715" max="6715" width="13" style="483" customWidth="1"/>
    <col min="6716" max="6716" width="8.42578125" style="483" customWidth="1"/>
    <col min="6717" max="6717" width="8.140625" style="483" customWidth="1"/>
    <col min="6718" max="6723" width="8.140625" style="483" bestFit="1" customWidth="1"/>
    <col min="6724" max="6724" width="7.42578125" style="483" bestFit="1" customWidth="1"/>
    <col min="6725" max="6725" width="9" style="483" bestFit="1" customWidth="1"/>
    <col min="6726" max="6738" width="7.7109375" style="483" customWidth="1"/>
    <col min="6739" max="6912" width="8.85546875" style="483"/>
    <col min="6913" max="6913" width="38.42578125" style="483" customWidth="1"/>
    <col min="6914" max="6914" width="12.85546875" style="483" customWidth="1"/>
    <col min="6915" max="6970" width="7.7109375" style="483" customWidth="1"/>
    <col min="6971" max="6971" width="13" style="483" customWidth="1"/>
    <col min="6972" max="6972" width="8.42578125" style="483" customWidth="1"/>
    <col min="6973" max="6973" width="8.140625" style="483" customWidth="1"/>
    <col min="6974" max="6979" width="8.140625" style="483" bestFit="1" customWidth="1"/>
    <col min="6980" max="6980" width="7.42578125" style="483" bestFit="1" customWidth="1"/>
    <col min="6981" max="6981" width="9" style="483" bestFit="1" customWidth="1"/>
    <col min="6982" max="6994" width="7.7109375" style="483" customWidth="1"/>
    <col min="6995" max="7168" width="8.85546875" style="483"/>
    <col min="7169" max="7169" width="38.42578125" style="483" customWidth="1"/>
    <col min="7170" max="7170" width="12.85546875" style="483" customWidth="1"/>
    <col min="7171" max="7226" width="7.7109375" style="483" customWidth="1"/>
    <col min="7227" max="7227" width="13" style="483" customWidth="1"/>
    <col min="7228" max="7228" width="8.42578125" style="483" customWidth="1"/>
    <col min="7229" max="7229" width="8.140625" style="483" customWidth="1"/>
    <col min="7230" max="7235" width="8.140625" style="483" bestFit="1" customWidth="1"/>
    <col min="7236" max="7236" width="7.42578125" style="483" bestFit="1" customWidth="1"/>
    <col min="7237" max="7237" width="9" style="483" bestFit="1" customWidth="1"/>
    <col min="7238" max="7250" width="7.7109375" style="483" customWidth="1"/>
    <col min="7251" max="7424" width="8.85546875" style="483"/>
    <col min="7425" max="7425" width="38.42578125" style="483" customWidth="1"/>
    <col min="7426" max="7426" width="12.85546875" style="483" customWidth="1"/>
    <col min="7427" max="7482" width="7.7109375" style="483" customWidth="1"/>
    <col min="7483" max="7483" width="13" style="483" customWidth="1"/>
    <col min="7484" max="7484" width="8.42578125" style="483" customWidth="1"/>
    <col min="7485" max="7485" width="8.140625" style="483" customWidth="1"/>
    <col min="7486" max="7491" width="8.140625" style="483" bestFit="1" customWidth="1"/>
    <col min="7492" max="7492" width="7.42578125" style="483" bestFit="1" customWidth="1"/>
    <col min="7493" max="7493" width="9" style="483" bestFit="1" customWidth="1"/>
    <col min="7494" max="7506" width="7.7109375" style="483" customWidth="1"/>
    <col min="7507" max="7680" width="8.85546875" style="483"/>
    <col min="7681" max="7681" width="38.42578125" style="483" customWidth="1"/>
    <col min="7682" max="7682" width="12.85546875" style="483" customWidth="1"/>
    <col min="7683" max="7738" width="7.7109375" style="483" customWidth="1"/>
    <col min="7739" max="7739" width="13" style="483" customWidth="1"/>
    <col min="7740" max="7740" width="8.42578125" style="483" customWidth="1"/>
    <col min="7741" max="7741" width="8.140625" style="483" customWidth="1"/>
    <col min="7742" max="7747" width="8.140625" style="483" bestFit="1" customWidth="1"/>
    <col min="7748" max="7748" width="7.42578125" style="483" bestFit="1" customWidth="1"/>
    <col min="7749" max="7749" width="9" style="483" bestFit="1" customWidth="1"/>
    <col min="7750" max="7762" width="7.7109375" style="483" customWidth="1"/>
    <col min="7763" max="7936" width="8.85546875" style="483"/>
    <col min="7937" max="7937" width="38.42578125" style="483" customWidth="1"/>
    <col min="7938" max="7938" width="12.85546875" style="483" customWidth="1"/>
    <col min="7939" max="7994" width="7.7109375" style="483" customWidth="1"/>
    <col min="7995" max="7995" width="13" style="483" customWidth="1"/>
    <col min="7996" max="7996" width="8.42578125" style="483" customWidth="1"/>
    <col min="7997" max="7997" width="8.140625" style="483" customWidth="1"/>
    <col min="7998" max="8003" width="8.140625" style="483" bestFit="1" customWidth="1"/>
    <col min="8004" max="8004" width="7.42578125" style="483" bestFit="1" customWidth="1"/>
    <col min="8005" max="8005" width="9" style="483" bestFit="1" customWidth="1"/>
    <col min="8006" max="8018" width="7.7109375" style="483" customWidth="1"/>
    <col min="8019" max="8192" width="8.85546875" style="483"/>
    <col min="8193" max="8193" width="38.42578125" style="483" customWidth="1"/>
    <col min="8194" max="8194" width="12.85546875" style="483" customWidth="1"/>
    <col min="8195" max="8250" width="7.7109375" style="483" customWidth="1"/>
    <col min="8251" max="8251" width="13" style="483" customWidth="1"/>
    <col min="8252" max="8252" width="8.42578125" style="483" customWidth="1"/>
    <col min="8253" max="8253" width="8.140625" style="483" customWidth="1"/>
    <col min="8254" max="8259" width="8.140625" style="483" bestFit="1" customWidth="1"/>
    <col min="8260" max="8260" width="7.42578125" style="483" bestFit="1" customWidth="1"/>
    <col min="8261" max="8261" width="9" style="483" bestFit="1" customWidth="1"/>
    <col min="8262" max="8274" width="7.7109375" style="483" customWidth="1"/>
    <col min="8275" max="8448" width="8.85546875" style="483"/>
    <col min="8449" max="8449" width="38.42578125" style="483" customWidth="1"/>
    <col min="8450" max="8450" width="12.85546875" style="483" customWidth="1"/>
    <col min="8451" max="8506" width="7.7109375" style="483" customWidth="1"/>
    <col min="8507" max="8507" width="13" style="483" customWidth="1"/>
    <col min="8508" max="8508" width="8.42578125" style="483" customWidth="1"/>
    <col min="8509" max="8509" width="8.140625" style="483" customWidth="1"/>
    <col min="8510" max="8515" width="8.140625" style="483" bestFit="1" customWidth="1"/>
    <col min="8516" max="8516" width="7.42578125" style="483" bestFit="1" customWidth="1"/>
    <col min="8517" max="8517" width="9" style="483" bestFit="1" customWidth="1"/>
    <col min="8518" max="8530" width="7.7109375" style="483" customWidth="1"/>
    <col min="8531" max="8704" width="8.85546875" style="483"/>
    <col min="8705" max="8705" width="38.42578125" style="483" customWidth="1"/>
    <col min="8706" max="8706" width="12.85546875" style="483" customWidth="1"/>
    <col min="8707" max="8762" width="7.7109375" style="483" customWidth="1"/>
    <col min="8763" max="8763" width="13" style="483" customWidth="1"/>
    <col min="8764" max="8764" width="8.42578125" style="483" customWidth="1"/>
    <col min="8765" max="8765" width="8.140625" style="483" customWidth="1"/>
    <col min="8766" max="8771" width="8.140625" style="483" bestFit="1" customWidth="1"/>
    <col min="8772" max="8772" width="7.42578125" style="483" bestFit="1" customWidth="1"/>
    <col min="8773" max="8773" width="9" style="483" bestFit="1" customWidth="1"/>
    <col min="8774" max="8786" width="7.7109375" style="483" customWidth="1"/>
    <col min="8787" max="8960" width="8.85546875" style="483"/>
    <col min="8961" max="8961" width="38.42578125" style="483" customWidth="1"/>
    <col min="8962" max="8962" width="12.85546875" style="483" customWidth="1"/>
    <col min="8963" max="9018" width="7.7109375" style="483" customWidth="1"/>
    <col min="9019" max="9019" width="13" style="483" customWidth="1"/>
    <col min="9020" max="9020" width="8.42578125" style="483" customWidth="1"/>
    <col min="9021" max="9021" width="8.140625" style="483" customWidth="1"/>
    <col min="9022" max="9027" width="8.140625" style="483" bestFit="1" customWidth="1"/>
    <col min="9028" max="9028" width="7.42578125" style="483" bestFit="1" customWidth="1"/>
    <col min="9029" max="9029" width="9" style="483" bestFit="1" customWidth="1"/>
    <col min="9030" max="9042" width="7.7109375" style="483" customWidth="1"/>
    <col min="9043" max="9216" width="8.85546875" style="483"/>
    <col min="9217" max="9217" width="38.42578125" style="483" customWidth="1"/>
    <col min="9218" max="9218" width="12.85546875" style="483" customWidth="1"/>
    <col min="9219" max="9274" width="7.7109375" style="483" customWidth="1"/>
    <col min="9275" max="9275" width="13" style="483" customWidth="1"/>
    <col min="9276" max="9276" width="8.42578125" style="483" customWidth="1"/>
    <col min="9277" max="9277" width="8.140625" style="483" customWidth="1"/>
    <col min="9278" max="9283" width="8.140625" style="483" bestFit="1" customWidth="1"/>
    <col min="9284" max="9284" width="7.42578125" style="483" bestFit="1" customWidth="1"/>
    <col min="9285" max="9285" width="9" style="483" bestFit="1" customWidth="1"/>
    <col min="9286" max="9298" width="7.7109375" style="483" customWidth="1"/>
    <col min="9299" max="9472" width="8.85546875" style="483"/>
    <col min="9473" max="9473" width="38.42578125" style="483" customWidth="1"/>
    <col min="9474" max="9474" width="12.85546875" style="483" customWidth="1"/>
    <col min="9475" max="9530" width="7.7109375" style="483" customWidth="1"/>
    <col min="9531" max="9531" width="13" style="483" customWidth="1"/>
    <col min="9532" max="9532" width="8.42578125" style="483" customWidth="1"/>
    <col min="9533" max="9533" width="8.140625" style="483" customWidth="1"/>
    <col min="9534" max="9539" width="8.140625" style="483" bestFit="1" customWidth="1"/>
    <col min="9540" max="9540" width="7.42578125" style="483" bestFit="1" customWidth="1"/>
    <col min="9541" max="9541" width="9" style="483" bestFit="1" customWidth="1"/>
    <col min="9542" max="9554" width="7.7109375" style="483" customWidth="1"/>
    <col min="9555" max="9728" width="8.85546875" style="483"/>
    <col min="9729" max="9729" width="38.42578125" style="483" customWidth="1"/>
    <col min="9730" max="9730" width="12.85546875" style="483" customWidth="1"/>
    <col min="9731" max="9786" width="7.7109375" style="483" customWidth="1"/>
    <col min="9787" max="9787" width="13" style="483" customWidth="1"/>
    <col min="9788" max="9788" width="8.42578125" style="483" customWidth="1"/>
    <col min="9789" max="9789" width="8.140625" style="483" customWidth="1"/>
    <col min="9790" max="9795" width="8.140625" style="483" bestFit="1" customWidth="1"/>
    <col min="9796" max="9796" width="7.42578125" style="483" bestFit="1" customWidth="1"/>
    <col min="9797" max="9797" width="9" style="483" bestFit="1" customWidth="1"/>
    <col min="9798" max="9810" width="7.7109375" style="483" customWidth="1"/>
    <col min="9811" max="9984" width="8.85546875" style="483"/>
    <col min="9985" max="9985" width="38.42578125" style="483" customWidth="1"/>
    <col min="9986" max="9986" width="12.85546875" style="483" customWidth="1"/>
    <col min="9987" max="10042" width="7.7109375" style="483" customWidth="1"/>
    <col min="10043" max="10043" width="13" style="483" customWidth="1"/>
    <col min="10044" max="10044" width="8.42578125" style="483" customWidth="1"/>
    <col min="10045" max="10045" width="8.140625" style="483" customWidth="1"/>
    <col min="10046" max="10051" width="8.140625" style="483" bestFit="1" customWidth="1"/>
    <col min="10052" max="10052" width="7.42578125" style="483" bestFit="1" customWidth="1"/>
    <col min="10053" max="10053" width="9" style="483" bestFit="1" customWidth="1"/>
    <col min="10054" max="10066" width="7.7109375" style="483" customWidth="1"/>
    <col min="10067" max="10240" width="8.85546875" style="483"/>
    <col min="10241" max="10241" width="38.42578125" style="483" customWidth="1"/>
    <col min="10242" max="10242" width="12.85546875" style="483" customWidth="1"/>
    <col min="10243" max="10298" width="7.7109375" style="483" customWidth="1"/>
    <col min="10299" max="10299" width="13" style="483" customWidth="1"/>
    <col min="10300" max="10300" width="8.42578125" style="483" customWidth="1"/>
    <col min="10301" max="10301" width="8.140625" style="483" customWidth="1"/>
    <col min="10302" max="10307" width="8.140625" style="483" bestFit="1" customWidth="1"/>
    <col min="10308" max="10308" width="7.42578125" style="483" bestFit="1" customWidth="1"/>
    <col min="10309" max="10309" width="9" style="483" bestFit="1" customWidth="1"/>
    <col min="10310" max="10322" width="7.7109375" style="483" customWidth="1"/>
    <col min="10323" max="10496" width="8.85546875" style="483"/>
    <col min="10497" max="10497" width="38.42578125" style="483" customWidth="1"/>
    <col min="10498" max="10498" width="12.85546875" style="483" customWidth="1"/>
    <col min="10499" max="10554" width="7.7109375" style="483" customWidth="1"/>
    <col min="10555" max="10555" width="13" style="483" customWidth="1"/>
    <col min="10556" max="10556" width="8.42578125" style="483" customWidth="1"/>
    <col min="10557" max="10557" width="8.140625" style="483" customWidth="1"/>
    <col min="10558" max="10563" width="8.140625" style="483" bestFit="1" customWidth="1"/>
    <col min="10564" max="10564" width="7.42578125" style="483" bestFit="1" customWidth="1"/>
    <col min="10565" max="10565" width="9" style="483" bestFit="1" customWidth="1"/>
    <col min="10566" max="10578" width="7.7109375" style="483" customWidth="1"/>
    <col min="10579" max="10752" width="8.85546875" style="483"/>
    <col min="10753" max="10753" width="38.42578125" style="483" customWidth="1"/>
    <col min="10754" max="10754" width="12.85546875" style="483" customWidth="1"/>
    <col min="10755" max="10810" width="7.7109375" style="483" customWidth="1"/>
    <col min="10811" max="10811" width="13" style="483" customWidth="1"/>
    <col min="10812" max="10812" width="8.42578125" style="483" customWidth="1"/>
    <col min="10813" max="10813" width="8.140625" style="483" customWidth="1"/>
    <col min="10814" max="10819" width="8.140625" style="483" bestFit="1" customWidth="1"/>
    <col min="10820" max="10820" width="7.42578125" style="483" bestFit="1" customWidth="1"/>
    <col min="10821" max="10821" width="9" style="483" bestFit="1" customWidth="1"/>
    <col min="10822" max="10834" width="7.7109375" style="483" customWidth="1"/>
    <col min="10835" max="11008" width="8.85546875" style="483"/>
    <col min="11009" max="11009" width="38.42578125" style="483" customWidth="1"/>
    <col min="11010" max="11010" width="12.85546875" style="483" customWidth="1"/>
    <col min="11011" max="11066" width="7.7109375" style="483" customWidth="1"/>
    <col min="11067" max="11067" width="13" style="483" customWidth="1"/>
    <col min="11068" max="11068" width="8.42578125" style="483" customWidth="1"/>
    <col min="11069" max="11069" width="8.140625" style="483" customWidth="1"/>
    <col min="11070" max="11075" width="8.140625" style="483" bestFit="1" customWidth="1"/>
    <col min="11076" max="11076" width="7.42578125" style="483" bestFit="1" customWidth="1"/>
    <col min="11077" max="11077" width="9" style="483" bestFit="1" customWidth="1"/>
    <col min="11078" max="11090" width="7.7109375" style="483" customWidth="1"/>
    <col min="11091" max="11264" width="8.85546875" style="483"/>
    <col min="11265" max="11265" width="38.42578125" style="483" customWidth="1"/>
    <col min="11266" max="11266" width="12.85546875" style="483" customWidth="1"/>
    <col min="11267" max="11322" width="7.7109375" style="483" customWidth="1"/>
    <col min="11323" max="11323" width="13" style="483" customWidth="1"/>
    <col min="11324" max="11324" width="8.42578125" style="483" customWidth="1"/>
    <col min="11325" max="11325" width="8.140625" style="483" customWidth="1"/>
    <col min="11326" max="11331" width="8.140625" style="483" bestFit="1" customWidth="1"/>
    <col min="11332" max="11332" width="7.42578125" style="483" bestFit="1" customWidth="1"/>
    <col min="11333" max="11333" width="9" style="483" bestFit="1" customWidth="1"/>
    <col min="11334" max="11346" width="7.7109375" style="483" customWidth="1"/>
    <col min="11347" max="11520" width="8.85546875" style="483"/>
    <col min="11521" max="11521" width="38.42578125" style="483" customWidth="1"/>
    <col min="11522" max="11522" width="12.85546875" style="483" customWidth="1"/>
    <col min="11523" max="11578" width="7.7109375" style="483" customWidth="1"/>
    <col min="11579" max="11579" width="13" style="483" customWidth="1"/>
    <col min="11580" max="11580" width="8.42578125" style="483" customWidth="1"/>
    <col min="11581" max="11581" width="8.140625" style="483" customWidth="1"/>
    <col min="11582" max="11587" width="8.140625" style="483" bestFit="1" customWidth="1"/>
    <col min="11588" max="11588" width="7.42578125" style="483" bestFit="1" customWidth="1"/>
    <col min="11589" max="11589" width="9" style="483" bestFit="1" customWidth="1"/>
    <col min="11590" max="11602" width="7.7109375" style="483" customWidth="1"/>
    <col min="11603" max="11776" width="8.85546875" style="483"/>
    <col min="11777" max="11777" width="38.42578125" style="483" customWidth="1"/>
    <col min="11778" max="11778" width="12.85546875" style="483" customWidth="1"/>
    <col min="11779" max="11834" width="7.7109375" style="483" customWidth="1"/>
    <col min="11835" max="11835" width="13" style="483" customWidth="1"/>
    <col min="11836" max="11836" width="8.42578125" style="483" customWidth="1"/>
    <col min="11837" max="11837" width="8.140625" style="483" customWidth="1"/>
    <col min="11838" max="11843" width="8.140625" style="483" bestFit="1" customWidth="1"/>
    <col min="11844" max="11844" width="7.42578125" style="483" bestFit="1" customWidth="1"/>
    <col min="11845" max="11845" width="9" style="483" bestFit="1" customWidth="1"/>
    <col min="11846" max="11858" width="7.7109375" style="483" customWidth="1"/>
    <col min="11859" max="12032" width="8.85546875" style="483"/>
    <col min="12033" max="12033" width="38.42578125" style="483" customWidth="1"/>
    <col min="12034" max="12034" width="12.85546875" style="483" customWidth="1"/>
    <col min="12035" max="12090" width="7.7109375" style="483" customWidth="1"/>
    <col min="12091" max="12091" width="13" style="483" customWidth="1"/>
    <col min="12092" max="12092" width="8.42578125" style="483" customWidth="1"/>
    <col min="12093" max="12093" width="8.140625" style="483" customWidth="1"/>
    <col min="12094" max="12099" width="8.140625" style="483" bestFit="1" customWidth="1"/>
    <col min="12100" max="12100" width="7.42578125" style="483" bestFit="1" customWidth="1"/>
    <col min="12101" max="12101" width="9" style="483" bestFit="1" customWidth="1"/>
    <col min="12102" max="12114" width="7.7109375" style="483" customWidth="1"/>
    <col min="12115" max="12288" width="8.85546875" style="483"/>
    <col min="12289" max="12289" width="38.42578125" style="483" customWidth="1"/>
    <col min="12290" max="12290" width="12.85546875" style="483" customWidth="1"/>
    <col min="12291" max="12346" width="7.7109375" style="483" customWidth="1"/>
    <col min="12347" max="12347" width="13" style="483" customWidth="1"/>
    <col min="12348" max="12348" width="8.42578125" style="483" customWidth="1"/>
    <col min="12349" max="12349" width="8.140625" style="483" customWidth="1"/>
    <col min="12350" max="12355" width="8.140625" style="483" bestFit="1" customWidth="1"/>
    <col min="12356" max="12356" width="7.42578125" style="483" bestFit="1" customWidth="1"/>
    <col min="12357" max="12357" width="9" style="483" bestFit="1" customWidth="1"/>
    <col min="12358" max="12370" width="7.7109375" style="483" customWidth="1"/>
    <col min="12371" max="12544" width="8.85546875" style="483"/>
    <col min="12545" max="12545" width="38.42578125" style="483" customWidth="1"/>
    <col min="12546" max="12546" width="12.85546875" style="483" customWidth="1"/>
    <col min="12547" max="12602" width="7.7109375" style="483" customWidth="1"/>
    <col min="12603" max="12603" width="13" style="483" customWidth="1"/>
    <col min="12604" max="12604" width="8.42578125" style="483" customWidth="1"/>
    <col min="12605" max="12605" width="8.140625" style="483" customWidth="1"/>
    <col min="12606" max="12611" width="8.140625" style="483" bestFit="1" customWidth="1"/>
    <col min="12612" max="12612" width="7.42578125" style="483" bestFit="1" customWidth="1"/>
    <col min="12613" max="12613" width="9" style="483" bestFit="1" customWidth="1"/>
    <col min="12614" max="12626" width="7.7109375" style="483" customWidth="1"/>
    <col min="12627" max="12800" width="8.85546875" style="483"/>
    <col min="12801" max="12801" width="38.42578125" style="483" customWidth="1"/>
    <col min="12802" max="12802" width="12.85546875" style="483" customWidth="1"/>
    <col min="12803" max="12858" width="7.7109375" style="483" customWidth="1"/>
    <col min="12859" max="12859" width="13" style="483" customWidth="1"/>
    <col min="12860" max="12860" width="8.42578125" style="483" customWidth="1"/>
    <col min="12861" max="12861" width="8.140625" style="483" customWidth="1"/>
    <col min="12862" max="12867" width="8.140625" style="483" bestFit="1" customWidth="1"/>
    <col min="12868" max="12868" width="7.42578125" style="483" bestFit="1" customWidth="1"/>
    <col min="12869" max="12869" width="9" style="483" bestFit="1" customWidth="1"/>
    <col min="12870" max="12882" width="7.7109375" style="483" customWidth="1"/>
    <col min="12883" max="13056" width="8.85546875" style="483"/>
    <col min="13057" max="13057" width="38.42578125" style="483" customWidth="1"/>
    <col min="13058" max="13058" width="12.85546875" style="483" customWidth="1"/>
    <col min="13059" max="13114" width="7.7109375" style="483" customWidth="1"/>
    <col min="13115" max="13115" width="13" style="483" customWidth="1"/>
    <col min="13116" max="13116" width="8.42578125" style="483" customWidth="1"/>
    <col min="13117" max="13117" width="8.140625" style="483" customWidth="1"/>
    <col min="13118" max="13123" width="8.140625" style="483" bestFit="1" customWidth="1"/>
    <col min="13124" max="13124" width="7.42578125" style="483" bestFit="1" customWidth="1"/>
    <col min="13125" max="13125" width="9" style="483" bestFit="1" customWidth="1"/>
    <col min="13126" max="13138" width="7.7109375" style="483" customWidth="1"/>
    <col min="13139" max="13312" width="8.85546875" style="483"/>
    <col min="13313" max="13313" width="38.42578125" style="483" customWidth="1"/>
    <col min="13314" max="13314" width="12.85546875" style="483" customWidth="1"/>
    <col min="13315" max="13370" width="7.7109375" style="483" customWidth="1"/>
    <col min="13371" max="13371" width="13" style="483" customWidth="1"/>
    <col min="13372" max="13372" width="8.42578125" style="483" customWidth="1"/>
    <col min="13373" max="13373" width="8.140625" style="483" customWidth="1"/>
    <col min="13374" max="13379" width="8.140625" style="483" bestFit="1" customWidth="1"/>
    <col min="13380" max="13380" width="7.42578125" style="483" bestFit="1" customWidth="1"/>
    <col min="13381" max="13381" width="9" style="483" bestFit="1" customWidth="1"/>
    <col min="13382" max="13394" width="7.7109375" style="483" customWidth="1"/>
    <col min="13395" max="13568" width="8.85546875" style="483"/>
    <col min="13569" max="13569" width="38.42578125" style="483" customWidth="1"/>
    <col min="13570" max="13570" width="12.85546875" style="483" customWidth="1"/>
    <col min="13571" max="13626" width="7.7109375" style="483" customWidth="1"/>
    <col min="13627" max="13627" width="13" style="483" customWidth="1"/>
    <col min="13628" max="13628" width="8.42578125" style="483" customWidth="1"/>
    <col min="13629" max="13629" width="8.140625" style="483" customWidth="1"/>
    <col min="13630" max="13635" width="8.140625" style="483" bestFit="1" customWidth="1"/>
    <col min="13636" max="13636" width="7.42578125" style="483" bestFit="1" customWidth="1"/>
    <col min="13637" max="13637" width="9" style="483" bestFit="1" customWidth="1"/>
    <col min="13638" max="13650" width="7.7109375" style="483" customWidth="1"/>
    <col min="13651" max="13824" width="8.85546875" style="483"/>
    <col min="13825" max="13825" width="38.42578125" style="483" customWidth="1"/>
    <col min="13826" max="13826" width="12.85546875" style="483" customWidth="1"/>
    <col min="13827" max="13882" width="7.7109375" style="483" customWidth="1"/>
    <col min="13883" max="13883" width="13" style="483" customWidth="1"/>
    <col min="13884" max="13884" width="8.42578125" style="483" customWidth="1"/>
    <col min="13885" max="13885" width="8.140625" style="483" customWidth="1"/>
    <col min="13886" max="13891" width="8.140625" style="483" bestFit="1" customWidth="1"/>
    <col min="13892" max="13892" width="7.42578125" style="483" bestFit="1" customWidth="1"/>
    <col min="13893" max="13893" width="9" style="483" bestFit="1" customWidth="1"/>
    <col min="13894" max="13906" width="7.7109375" style="483" customWidth="1"/>
    <col min="13907" max="14080" width="8.85546875" style="483"/>
    <col min="14081" max="14081" width="38.42578125" style="483" customWidth="1"/>
    <col min="14082" max="14082" width="12.85546875" style="483" customWidth="1"/>
    <col min="14083" max="14138" width="7.7109375" style="483" customWidth="1"/>
    <col min="14139" max="14139" width="13" style="483" customWidth="1"/>
    <col min="14140" max="14140" width="8.42578125" style="483" customWidth="1"/>
    <col min="14141" max="14141" width="8.140625" style="483" customWidth="1"/>
    <col min="14142" max="14147" width="8.140625" style="483" bestFit="1" customWidth="1"/>
    <col min="14148" max="14148" width="7.42578125" style="483" bestFit="1" customWidth="1"/>
    <col min="14149" max="14149" width="9" style="483" bestFit="1" customWidth="1"/>
    <col min="14150" max="14162" width="7.7109375" style="483" customWidth="1"/>
    <col min="14163" max="14336" width="8.85546875" style="483"/>
    <col min="14337" max="14337" width="38.42578125" style="483" customWidth="1"/>
    <col min="14338" max="14338" width="12.85546875" style="483" customWidth="1"/>
    <col min="14339" max="14394" width="7.7109375" style="483" customWidth="1"/>
    <col min="14395" max="14395" width="13" style="483" customWidth="1"/>
    <col min="14396" max="14396" width="8.42578125" style="483" customWidth="1"/>
    <col min="14397" max="14397" width="8.140625" style="483" customWidth="1"/>
    <col min="14398" max="14403" width="8.140625" style="483" bestFit="1" customWidth="1"/>
    <col min="14404" max="14404" width="7.42578125" style="483" bestFit="1" customWidth="1"/>
    <col min="14405" max="14405" width="9" style="483" bestFit="1" customWidth="1"/>
    <col min="14406" max="14418" width="7.7109375" style="483" customWidth="1"/>
    <col min="14419" max="14592" width="8.85546875" style="483"/>
    <col min="14593" max="14593" width="38.42578125" style="483" customWidth="1"/>
    <col min="14594" max="14594" width="12.85546875" style="483" customWidth="1"/>
    <col min="14595" max="14650" width="7.7109375" style="483" customWidth="1"/>
    <col min="14651" max="14651" width="13" style="483" customWidth="1"/>
    <col min="14652" max="14652" width="8.42578125" style="483" customWidth="1"/>
    <col min="14653" max="14653" width="8.140625" style="483" customWidth="1"/>
    <col min="14654" max="14659" width="8.140625" style="483" bestFit="1" customWidth="1"/>
    <col min="14660" max="14660" width="7.42578125" style="483" bestFit="1" customWidth="1"/>
    <col min="14661" max="14661" width="9" style="483" bestFit="1" customWidth="1"/>
    <col min="14662" max="14674" width="7.7109375" style="483" customWidth="1"/>
    <col min="14675" max="14848" width="8.85546875" style="483"/>
    <col min="14849" max="14849" width="38.42578125" style="483" customWidth="1"/>
    <col min="14850" max="14850" width="12.85546875" style="483" customWidth="1"/>
    <col min="14851" max="14906" width="7.7109375" style="483" customWidth="1"/>
    <col min="14907" max="14907" width="13" style="483" customWidth="1"/>
    <col min="14908" max="14908" width="8.42578125" style="483" customWidth="1"/>
    <col min="14909" max="14909" width="8.140625" style="483" customWidth="1"/>
    <col min="14910" max="14915" width="8.140625" style="483" bestFit="1" customWidth="1"/>
    <col min="14916" max="14916" width="7.42578125" style="483" bestFit="1" customWidth="1"/>
    <col min="14917" max="14917" width="9" style="483" bestFit="1" customWidth="1"/>
    <col min="14918" max="14930" width="7.7109375" style="483" customWidth="1"/>
    <col min="14931" max="15104" width="8.85546875" style="483"/>
    <col min="15105" max="15105" width="38.42578125" style="483" customWidth="1"/>
    <col min="15106" max="15106" width="12.85546875" style="483" customWidth="1"/>
    <col min="15107" max="15162" width="7.7109375" style="483" customWidth="1"/>
    <col min="15163" max="15163" width="13" style="483" customWidth="1"/>
    <col min="15164" max="15164" width="8.42578125" style="483" customWidth="1"/>
    <col min="15165" max="15165" width="8.140625" style="483" customWidth="1"/>
    <col min="15166" max="15171" width="8.140625" style="483" bestFit="1" customWidth="1"/>
    <col min="15172" max="15172" width="7.42578125" style="483" bestFit="1" customWidth="1"/>
    <col min="15173" max="15173" width="9" style="483" bestFit="1" customWidth="1"/>
    <col min="15174" max="15186" width="7.7109375" style="483" customWidth="1"/>
    <col min="15187" max="15360" width="8.85546875" style="483"/>
    <col min="15361" max="15361" width="38.42578125" style="483" customWidth="1"/>
    <col min="15362" max="15362" width="12.85546875" style="483" customWidth="1"/>
    <col min="15363" max="15418" width="7.7109375" style="483" customWidth="1"/>
    <col min="15419" max="15419" width="13" style="483" customWidth="1"/>
    <col min="15420" max="15420" width="8.42578125" style="483" customWidth="1"/>
    <col min="15421" max="15421" width="8.140625" style="483" customWidth="1"/>
    <col min="15422" max="15427" width="8.140625" style="483" bestFit="1" customWidth="1"/>
    <col min="15428" max="15428" width="7.42578125" style="483" bestFit="1" customWidth="1"/>
    <col min="15429" max="15429" width="9" style="483" bestFit="1" customWidth="1"/>
    <col min="15430" max="15442" width="7.7109375" style="483" customWidth="1"/>
    <col min="15443" max="15616" width="8.85546875" style="483"/>
    <col min="15617" max="15617" width="38.42578125" style="483" customWidth="1"/>
    <col min="15618" max="15618" width="12.85546875" style="483" customWidth="1"/>
    <col min="15619" max="15674" width="7.7109375" style="483" customWidth="1"/>
    <col min="15675" max="15675" width="13" style="483" customWidth="1"/>
    <col min="15676" max="15676" width="8.42578125" style="483" customWidth="1"/>
    <col min="15677" max="15677" width="8.140625" style="483" customWidth="1"/>
    <col min="15678" max="15683" width="8.140625" style="483" bestFit="1" customWidth="1"/>
    <col min="15684" max="15684" width="7.42578125" style="483" bestFit="1" customWidth="1"/>
    <col min="15685" max="15685" width="9" style="483" bestFit="1" customWidth="1"/>
    <col min="15686" max="15698" width="7.7109375" style="483" customWidth="1"/>
    <col min="15699" max="15872" width="8.85546875" style="483"/>
    <col min="15873" max="15873" width="38.42578125" style="483" customWidth="1"/>
    <col min="15874" max="15874" width="12.85546875" style="483" customWidth="1"/>
    <col min="15875" max="15930" width="7.7109375" style="483" customWidth="1"/>
    <col min="15931" max="15931" width="13" style="483" customWidth="1"/>
    <col min="15932" max="15932" width="8.42578125" style="483" customWidth="1"/>
    <col min="15933" max="15933" width="8.140625" style="483" customWidth="1"/>
    <col min="15934" max="15939" width="8.140625" style="483" bestFit="1" customWidth="1"/>
    <col min="15940" max="15940" width="7.42578125" style="483" bestFit="1" customWidth="1"/>
    <col min="15941" max="15941" width="9" style="483" bestFit="1" customWidth="1"/>
    <col min="15942" max="15954" width="7.7109375" style="483" customWidth="1"/>
    <col min="15955" max="16128" width="8.85546875" style="483"/>
    <col min="16129" max="16129" width="38.42578125" style="483" customWidth="1"/>
    <col min="16130" max="16130" width="12.85546875" style="483" customWidth="1"/>
    <col min="16131" max="16186" width="7.7109375" style="483" customWidth="1"/>
    <col min="16187" max="16187" width="13" style="483" customWidth="1"/>
    <col min="16188" max="16188" width="8.42578125" style="483" customWidth="1"/>
    <col min="16189" max="16189" width="8.140625" style="483" customWidth="1"/>
    <col min="16190" max="16195" width="8.140625" style="483" bestFit="1" customWidth="1"/>
    <col min="16196" max="16196" width="7.42578125" style="483" bestFit="1" customWidth="1"/>
    <col min="16197" max="16197" width="9" style="483" bestFit="1" customWidth="1"/>
    <col min="16198" max="16210" width="7.7109375" style="483" customWidth="1"/>
    <col min="16211" max="16384" width="8.85546875" style="483"/>
  </cols>
  <sheetData>
    <row r="1" spans="1:83" ht="18">
      <c r="A1" s="481" t="s">
        <v>143</v>
      </c>
      <c r="B1" s="482"/>
    </row>
    <row r="2" spans="1:83" ht="15.75">
      <c r="A2" s="484" t="s">
        <v>291</v>
      </c>
      <c r="B2" s="485"/>
    </row>
    <row r="3" spans="1:83" ht="15.75" thickBot="1">
      <c r="A3" s="486" t="s">
        <v>144</v>
      </c>
      <c r="B3" s="487"/>
    </row>
    <row r="6" spans="1:83">
      <c r="BI6" s="289" t="s">
        <v>145</v>
      </c>
      <c r="BJ6" s="289" t="s">
        <v>145</v>
      </c>
      <c r="BK6" s="289" t="s">
        <v>145</v>
      </c>
      <c r="BL6" s="289" t="s">
        <v>145</v>
      </c>
      <c r="BM6" s="345" t="s">
        <v>230</v>
      </c>
      <c r="BN6" s="345" t="s">
        <v>230</v>
      </c>
      <c r="BO6" s="345" t="s">
        <v>230</v>
      </c>
      <c r="BP6" s="345" t="s">
        <v>230</v>
      </c>
      <c r="BQ6" s="346" t="s">
        <v>231</v>
      </c>
      <c r="BR6" s="346" t="s">
        <v>231</v>
      </c>
      <c r="BS6" s="346" t="s">
        <v>231</v>
      </c>
      <c r="BT6" s="346" t="s">
        <v>231</v>
      </c>
      <c r="BU6" s="489" t="s">
        <v>292</v>
      </c>
      <c r="BV6" s="489" t="s">
        <v>292</v>
      </c>
      <c r="BW6" s="489" t="s">
        <v>292</v>
      </c>
      <c r="BX6" s="489" t="s">
        <v>292</v>
      </c>
      <c r="BY6" s="490" t="s">
        <v>293</v>
      </c>
      <c r="BZ6" s="490" t="s">
        <v>293</v>
      </c>
      <c r="CA6" s="490" t="s">
        <v>293</v>
      </c>
      <c r="CB6" s="490" t="s">
        <v>293</v>
      </c>
    </row>
    <row r="7" spans="1:83" s="488" customFormat="1">
      <c r="B7" s="488" t="s">
        <v>146</v>
      </c>
      <c r="C7" s="491" t="s">
        <v>147</v>
      </c>
      <c r="D7" s="491" t="s">
        <v>148</v>
      </c>
      <c r="E7" s="491" t="s">
        <v>149</v>
      </c>
      <c r="F7" s="491" t="s">
        <v>150</v>
      </c>
      <c r="G7" s="491" t="s">
        <v>151</v>
      </c>
      <c r="H7" s="491" t="s">
        <v>152</v>
      </c>
      <c r="I7" s="491" t="s">
        <v>153</v>
      </c>
      <c r="J7" s="491" t="s">
        <v>154</v>
      </c>
      <c r="K7" s="491" t="s">
        <v>155</v>
      </c>
      <c r="L7" s="491" t="s">
        <v>156</v>
      </c>
      <c r="M7" s="491" t="s">
        <v>157</v>
      </c>
      <c r="N7" s="491" t="s">
        <v>158</v>
      </c>
      <c r="O7" s="491" t="s">
        <v>159</v>
      </c>
      <c r="P7" s="491" t="s">
        <v>160</v>
      </c>
      <c r="Q7" s="491" t="s">
        <v>161</v>
      </c>
      <c r="R7" s="491" t="s">
        <v>162</v>
      </c>
      <c r="S7" s="491" t="s">
        <v>163</v>
      </c>
      <c r="T7" s="491" t="s">
        <v>164</v>
      </c>
      <c r="U7" s="491" t="s">
        <v>165</v>
      </c>
      <c r="V7" s="491" t="s">
        <v>166</v>
      </c>
      <c r="W7" s="491" t="s">
        <v>167</v>
      </c>
      <c r="X7" s="491" t="s">
        <v>168</v>
      </c>
      <c r="Y7" s="491" t="s">
        <v>169</v>
      </c>
      <c r="Z7" s="491" t="s">
        <v>170</v>
      </c>
      <c r="AA7" s="491" t="s">
        <v>171</v>
      </c>
      <c r="AB7" s="491" t="s">
        <v>172</v>
      </c>
      <c r="AC7" s="491" t="s">
        <v>173</v>
      </c>
      <c r="AD7" s="491" t="s">
        <v>174</v>
      </c>
      <c r="AE7" s="491" t="s">
        <v>175</v>
      </c>
      <c r="AF7" s="491" t="s">
        <v>176</v>
      </c>
      <c r="AG7" s="491" t="s">
        <v>177</v>
      </c>
      <c r="AH7" s="491" t="s">
        <v>178</v>
      </c>
      <c r="AI7" s="491" t="s">
        <v>179</v>
      </c>
      <c r="AJ7" s="491" t="s">
        <v>180</v>
      </c>
      <c r="AK7" s="491" t="s">
        <v>181</v>
      </c>
      <c r="AL7" s="491" t="s">
        <v>182</v>
      </c>
      <c r="AM7" s="491" t="s">
        <v>183</v>
      </c>
      <c r="AN7" s="491" t="s">
        <v>184</v>
      </c>
      <c r="AO7" s="491" t="s">
        <v>185</v>
      </c>
      <c r="AP7" s="491" t="s">
        <v>186</v>
      </c>
      <c r="AQ7" s="491" t="s">
        <v>187</v>
      </c>
      <c r="AR7" s="491" t="s">
        <v>188</v>
      </c>
      <c r="AS7" s="491" t="s">
        <v>189</v>
      </c>
      <c r="AT7" s="491" t="s">
        <v>190</v>
      </c>
      <c r="AU7" s="488" t="s">
        <v>191</v>
      </c>
      <c r="AV7" s="488" t="s">
        <v>192</v>
      </c>
      <c r="AW7" s="488" t="s">
        <v>193</v>
      </c>
      <c r="AX7" s="488" t="s">
        <v>194</v>
      </c>
      <c r="AY7" s="488" t="s">
        <v>195</v>
      </c>
      <c r="AZ7" s="488" t="s">
        <v>196</v>
      </c>
      <c r="BA7" s="488" t="s">
        <v>197</v>
      </c>
      <c r="BB7" s="488" t="s">
        <v>198</v>
      </c>
      <c r="BC7" s="488" t="s">
        <v>199</v>
      </c>
      <c r="BD7" s="488" t="s">
        <v>200</v>
      </c>
      <c r="BE7" s="488" t="s">
        <v>201</v>
      </c>
      <c r="BF7" s="488" t="s">
        <v>202</v>
      </c>
      <c r="BG7" s="488" t="s">
        <v>203</v>
      </c>
      <c r="BH7" s="488" t="s">
        <v>204</v>
      </c>
      <c r="BI7" s="488" t="s">
        <v>205</v>
      </c>
      <c r="BJ7" s="488" t="s">
        <v>206</v>
      </c>
      <c r="BK7" s="488" t="s">
        <v>207</v>
      </c>
      <c r="BL7" s="488" t="s">
        <v>208</v>
      </c>
      <c r="BM7" s="488" t="s">
        <v>209</v>
      </c>
      <c r="BN7" s="488" t="s">
        <v>210</v>
      </c>
      <c r="BO7" s="488" t="s">
        <v>211</v>
      </c>
      <c r="BP7" s="488" t="s">
        <v>212</v>
      </c>
      <c r="BQ7" s="488" t="s">
        <v>213</v>
      </c>
      <c r="BR7" s="488" t="s">
        <v>214</v>
      </c>
      <c r="BS7" s="488" t="s">
        <v>215</v>
      </c>
      <c r="BT7" s="488" t="s">
        <v>216</v>
      </c>
      <c r="BU7" s="488" t="s">
        <v>217</v>
      </c>
      <c r="BV7" s="488" t="s">
        <v>218</v>
      </c>
      <c r="BW7" s="488" t="s">
        <v>294</v>
      </c>
      <c r="BX7" s="488" t="s">
        <v>295</v>
      </c>
      <c r="BY7" s="488" t="s">
        <v>296</v>
      </c>
      <c r="BZ7" s="488" t="s">
        <v>297</v>
      </c>
      <c r="CA7" s="488" t="s">
        <v>298</v>
      </c>
      <c r="CB7" s="488" t="s">
        <v>299</v>
      </c>
      <c r="CC7" s="488" t="s">
        <v>300</v>
      </c>
      <c r="CD7" s="488" t="s">
        <v>301</v>
      </c>
      <c r="CE7" s="488" t="s">
        <v>219</v>
      </c>
    </row>
    <row r="8" spans="1:83">
      <c r="A8" s="488" t="s">
        <v>220</v>
      </c>
      <c r="B8" s="488" t="s">
        <v>221</v>
      </c>
      <c r="C8" s="492">
        <v>2.0339999999999998</v>
      </c>
      <c r="D8" s="492">
        <v>2.0590000000000002</v>
      </c>
      <c r="E8" s="492">
        <v>2.0640000000000001</v>
      </c>
      <c r="F8" s="492">
        <v>2.0870000000000002</v>
      </c>
      <c r="G8" s="492">
        <v>2.1040000000000001</v>
      </c>
      <c r="H8" s="492">
        <v>2.1150000000000002</v>
      </c>
      <c r="I8" s="492">
        <v>2.15</v>
      </c>
      <c r="J8" s="492">
        <v>2.169</v>
      </c>
      <c r="K8" s="492">
        <v>2.1880000000000002</v>
      </c>
      <c r="L8" s="492">
        <v>2.2130000000000001</v>
      </c>
      <c r="M8" s="492">
        <v>2.234</v>
      </c>
      <c r="N8" s="492">
        <v>2.2200000000000002</v>
      </c>
      <c r="O8" s="492">
        <v>2.234</v>
      </c>
      <c r="P8" s="492">
        <v>2.2589999999999999</v>
      </c>
      <c r="Q8" s="492">
        <v>2.2749999999999999</v>
      </c>
      <c r="R8" s="492">
        <v>2.3010000000000002</v>
      </c>
      <c r="S8" s="492">
        <v>2.3220000000000001</v>
      </c>
      <c r="T8" s="492">
        <v>2.363</v>
      </c>
      <c r="U8" s="492">
        <v>2.4039999999999999</v>
      </c>
      <c r="V8" s="492">
        <v>2.35</v>
      </c>
      <c r="W8" s="492">
        <v>2.3420000000000001</v>
      </c>
      <c r="X8" s="492">
        <v>2.347</v>
      </c>
      <c r="Y8" s="492">
        <v>2.367</v>
      </c>
      <c r="Z8" s="492">
        <v>2.38</v>
      </c>
      <c r="AA8" s="492">
        <v>2.3809999999999998</v>
      </c>
      <c r="AB8" s="492">
        <v>2.3839999999999999</v>
      </c>
      <c r="AC8" s="492">
        <v>2.3980000000000001</v>
      </c>
      <c r="AD8" s="492">
        <v>2.42</v>
      </c>
      <c r="AE8" s="492">
        <v>2.4340000000000002</v>
      </c>
      <c r="AF8" s="492">
        <v>2.4769999999999999</v>
      </c>
      <c r="AG8" s="492">
        <v>2.488</v>
      </c>
      <c r="AH8" s="492">
        <v>2.4950000000000001</v>
      </c>
      <c r="AI8" s="492">
        <v>2.5150000000000001</v>
      </c>
      <c r="AJ8" s="492">
        <v>2.5190000000000001</v>
      </c>
      <c r="AK8" s="492">
        <v>2.5289999999999999</v>
      </c>
      <c r="AL8" s="492">
        <v>2.5470000000000002</v>
      </c>
      <c r="AM8" s="492">
        <v>2.5569999999999999</v>
      </c>
      <c r="AN8" s="492">
        <v>2.5539999999999998</v>
      </c>
      <c r="AO8" s="492">
        <v>2.573</v>
      </c>
      <c r="AP8" s="492">
        <v>2.5870000000000002</v>
      </c>
      <c r="AQ8" s="492">
        <v>2.5979999999999999</v>
      </c>
      <c r="AR8" s="492">
        <v>2.6080000000000001</v>
      </c>
      <c r="AS8" s="492">
        <v>2.6139999999999999</v>
      </c>
      <c r="AT8" s="492">
        <v>2.6139999999999999</v>
      </c>
      <c r="AU8" s="483">
        <v>2.613</v>
      </c>
      <c r="AV8" s="483">
        <v>2.6230000000000002</v>
      </c>
      <c r="AW8" s="483">
        <v>2.6190000000000002</v>
      </c>
      <c r="AX8" s="483">
        <v>2.6240000000000001</v>
      </c>
      <c r="AY8" s="483">
        <v>2.6240000000000001</v>
      </c>
      <c r="AZ8" s="483">
        <v>2.6429999999999998</v>
      </c>
      <c r="BA8" s="483">
        <v>2.6640000000000001</v>
      </c>
      <c r="BB8" s="483">
        <v>2.6739999999999999</v>
      </c>
      <c r="BC8" s="483">
        <v>2.6949999999999998</v>
      </c>
      <c r="BD8" s="483">
        <v>2.694</v>
      </c>
      <c r="BE8" s="483">
        <v>2.706</v>
      </c>
      <c r="BF8" s="483">
        <v>2.714</v>
      </c>
      <c r="BG8" s="483">
        <v>2.746</v>
      </c>
      <c r="BH8" s="483">
        <v>2.7650000000000001</v>
      </c>
      <c r="BI8" s="483">
        <v>2.78</v>
      </c>
      <c r="BJ8" s="483">
        <v>2.8050000000000002</v>
      </c>
      <c r="BK8" s="483">
        <v>2.8250000000000002</v>
      </c>
      <c r="BL8" s="483">
        <v>2.8380000000000001</v>
      </c>
      <c r="BM8" s="483">
        <v>2.8479999999999999</v>
      </c>
      <c r="BN8" s="483">
        <v>2.8690000000000002</v>
      </c>
      <c r="BO8" s="483">
        <v>2.895</v>
      </c>
      <c r="BP8" s="483">
        <v>2.91</v>
      </c>
      <c r="BQ8" s="483">
        <v>2.9239999999999999</v>
      </c>
      <c r="BR8" s="483">
        <v>2.94</v>
      </c>
      <c r="BS8" s="483">
        <v>2.96</v>
      </c>
      <c r="BT8" s="483">
        <v>2.9790000000000001</v>
      </c>
      <c r="BU8" s="483">
        <v>2.9990000000000001</v>
      </c>
      <c r="BV8" s="483">
        <v>3.0169999999999999</v>
      </c>
      <c r="BW8" s="483">
        <v>3.0339999999999998</v>
      </c>
      <c r="BX8" s="483">
        <v>3.0510000000000002</v>
      </c>
      <c r="BY8" s="483">
        <v>3.07</v>
      </c>
      <c r="BZ8" s="483">
        <v>3.0880000000000001</v>
      </c>
      <c r="CA8" s="483">
        <v>3.1059999999999999</v>
      </c>
      <c r="CB8" s="483">
        <v>3.1219999999999999</v>
      </c>
      <c r="CC8" s="483">
        <v>3.14</v>
      </c>
      <c r="CD8" s="483">
        <v>3.1579999999999999</v>
      </c>
    </row>
    <row r="9" spans="1:83">
      <c r="A9" s="488" t="s">
        <v>222</v>
      </c>
      <c r="B9" s="488" t="s">
        <v>223</v>
      </c>
      <c r="C9" s="492">
        <v>2.0339999999999998</v>
      </c>
      <c r="D9" s="492">
        <v>2.0590000000000002</v>
      </c>
      <c r="E9" s="492">
        <v>2.0640000000000001</v>
      </c>
      <c r="F9" s="492">
        <v>2.0870000000000002</v>
      </c>
      <c r="G9" s="492">
        <v>2.1040000000000001</v>
      </c>
      <c r="H9" s="492">
        <v>2.1150000000000002</v>
      </c>
      <c r="I9" s="492">
        <v>2.15</v>
      </c>
      <c r="J9" s="492">
        <v>2.169</v>
      </c>
      <c r="K9" s="492">
        <v>2.1880000000000002</v>
      </c>
      <c r="L9" s="492">
        <v>2.2130000000000001</v>
      </c>
      <c r="M9" s="492">
        <v>2.234</v>
      </c>
      <c r="N9" s="492">
        <v>2.2200000000000002</v>
      </c>
      <c r="O9" s="492">
        <v>2.234</v>
      </c>
      <c r="P9" s="492">
        <v>2.2589999999999999</v>
      </c>
      <c r="Q9" s="492">
        <v>2.2749999999999999</v>
      </c>
      <c r="R9" s="492">
        <v>2.3010000000000002</v>
      </c>
      <c r="S9" s="492">
        <v>2.3220000000000001</v>
      </c>
      <c r="T9" s="492">
        <v>2.363</v>
      </c>
      <c r="U9" s="492">
        <v>2.4039999999999999</v>
      </c>
      <c r="V9" s="492">
        <v>2.35</v>
      </c>
      <c r="W9" s="492">
        <v>2.3420000000000001</v>
      </c>
      <c r="X9" s="492">
        <v>2.347</v>
      </c>
      <c r="Y9" s="492">
        <v>2.367</v>
      </c>
      <c r="Z9" s="492">
        <v>2.38</v>
      </c>
      <c r="AA9" s="492">
        <v>2.3809999999999998</v>
      </c>
      <c r="AB9" s="492">
        <v>2.3839999999999999</v>
      </c>
      <c r="AC9" s="492">
        <v>2.3980000000000001</v>
      </c>
      <c r="AD9" s="492">
        <v>2.42</v>
      </c>
      <c r="AE9" s="492">
        <v>2.4340000000000002</v>
      </c>
      <c r="AF9" s="492">
        <v>2.4769999999999999</v>
      </c>
      <c r="AG9" s="492">
        <v>2.488</v>
      </c>
      <c r="AH9" s="492">
        <v>2.4950000000000001</v>
      </c>
      <c r="AI9" s="492">
        <v>2.5150000000000001</v>
      </c>
      <c r="AJ9" s="492">
        <v>2.5190000000000001</v>
      </c>
      <c r="AK9" s="492">
        <v>2.5289999999999999</v>
      </c>
      <c r="AL9" s="492">
        <v>2.5470000000000002</v>
      </c>
      <c r="AM9" s="492">
        <v>2.5569999999999999</v>
      </c>
      <c r="AN9" s="492">
        <v>2.5539999999999998</v>
      </c>
      <c r="AO9" s="492">
        <v>2.573</v>
      </c>
      <c r="AP9" s="492">
        <v>2.5870000000000002</v>
      </c>
      <c r="AQ9" s="492">
        <v>2.5979999999999999</v>
      </c>
      <c r="AR9" s="492">
        <v>2.6080000000000001</v>
      </c>
      <c r="AS9" s="492">
        <v>2.6139999999999999</v>
      </c>
      <c r="AT9" s="492">
        <v>2.6139999999999999</v>
      </c>
      <c r="AU9" s="483">
        <v>2.613</v>
      </c>
      <c r="AV9" s="483">
        <v>2.6230000000000002</v>
      </c>
      <c r="AW9" s="483">
        <v>2.6190000000000002</v>
      </c>
      <c r="AX9" s="483">
        <v>2.6240000000000001</v>
      </c>
      <c r="AY9" s="483">
        <v>2.6240000000000001</v>
      </c>
      <c r="AZ9" s="483">
        <v>2.6429999999999998</v>
      </c>
      <c r="BA9" s="483">
        <v>2.6640000000000001</v>
      </c>
      <c r="BB9" s="483">
        <v>2.6739999999999999</v>
      </c>
      <c r="BC9" s="483">
        <v>2.6949999999999998</v>
      </c>
      <c r="BD9" s="483">
        <v>2.694</v>
      </c>
      <c r="BE9" s="483">
        <v>2.706</v>
      </c>
      <c r="BF9" s="483">
        <v>2.714</v>
      </c>
      <c r="BG9" s="483">
        <v>2.746</v>
      </c>
      <c r="BH9" s="483">
        <v>2.7650000000000001</v>
      </c>
      <c r="BI9" s="483">
        <v>2.78</v>
      </c>
      <c r="BJ9" s="483">
        <v>2.8010000000000002</v>
      </c>
      <c r="BK9" s="483">
        <v>2.8170000000000002</v>
      </c>
      <c r="BL9" s="483">
        <v>2.8260000000000001</v>
      </c>
      <c r="BM9" s="483">
        <v>2.8330000000000002</v>
      </c>
      <c r="BN9" s="483">
        <v>2.8519999999999999</v>
      </c>
      <c r="BO9" s="483">
        <v>2.8759999999999999</v>
      </c>
      <c r="BP9" s="483">
        <v>2.8879999999999999</v>
      </c>
      <c r="BQ9" s="483">
        <v>2.9</v>
      </c>
      <c r="BR9" s="483">
        <v>2.9129999999999998</v>
      </c>
      <c r="BS9" s="483">
        <v>2.931</v>
      </c>
      <c r="BT9" s="483">
        <v>2.9470000000000001</v>
      </c>
      <c r="BU9" s="483">
        <v>2.9630000000000001</v>
      </c>
      <c r="BV9" s="483">
        <v>2.9769999999999999</v>
      </c>
      <c r="BW9" s="483">
        <v>2.99</v>
      </c>
      <c r="BX9" s="483">
        <v>3.004</v>
      </c>
      <c r="BY9" s="483">
        <v>3.0190000000000001</v>
      </c>
      <c r="BZ9" s="483">
        <v>3.0339999999999998</v>
      </c>
      <c r="CA9" s="483">
        <v>3.0489999999999999</v>
      </c>
      <c r="CB9" s="483">
        <v>3.0619999999999998</v>
      </c>
      <c r="CC9" s="483">
        <v>3.0790000000000002</v>
      </c>
      <c r="CD9" s="483">
        <v>3.0950000000000002</v>
      </c>
    </row>
    <row r="10" spans="1:83">
      <c r="A10" s="488" t="s">
        <v>224</v>
      </c>
      <c r="B10" s="488" t="s">
        <v>225</v>
      </c>
      <c r="C10" s="492">
        <v>2.0339999999999998</v>
      </c>
      <c r="D10" s="492">
        <v>2.0590000000000002</v>
      </c>
      <c r="E10" s="492">
        <v>2.0640000000000001</v>
      </c>
      <c r="F10" s="492">
        <v>2.0870000000000002</v>
      </c>
      <c r="G10" s="492">
        <v>2.1040000000000001</v>
      </c>
      <c r="H10" s="492">
        <v>2.1150000000000002</v>
      </c>
      <c r="I10" s="492">
        <v>2.15</v>
      </c>
      <c r="J10" s="492">
        <v>2.169</v>
      </c>
      <c r="K10" s="492">
        <v>2.1880000000000002</v>
      </c>
      <c r="L10" s="492">
        <v>2.2130000000000001</v>
      </c>
      <c r="M10" s="492">
        <v>2.234</v>
      </c>
      <c r="N10" s="492">
        <v>2.2200000000000002</v>
      </c>
      <c r="O10" s="492">
        <v>2.234</v>
      </c>
      <c r="P10" s="492">
        <v>2.2589999999999999</v>
      </c>
      <c r="Q10" s="492">
        <v>2.2749999999999999</v>
      </c>
      <c r="R10" s="492">
        <v>2.3010000000000002</v>
      </c>
      <c r="S10" s="492">
        <v>2.3220000000000001</v>
      </c>
      <c r="T10" s="492">
        <v>2.363</v>
      </c>
      <c r="U10" s="492">
        <v>2.4039999999999999</v>
      </c>
      <c r="V10" s="492">
        <v>2.35</v>
      </c>
      <c r="W10" s="492">
        <v>2.3420000000000001</v>
      </c>
      <c r="X10" s="492">
        <v>2.347</v>
      </c>
      <c r="Y10" s="492">
        <v>2.367</v>
      </c>
      <c r="Z10" s="492">
        <v>2.38</v>
      </c>
      <c r="AA10" s="492">
        <v>2.3809999999999998</v>
      </c>
      <c r="AB10" s="492">
        <v>2.3839999999999999</v>
      </c>
      <c r="AC10" s="492">
        <v>2.3980000000000001</v>
      </c>
      <c r="AD10" s="492">
        <v>2.42</v>
      </c>
      <c r="AE10" s="492">
        <v>2.4340000000000002</v>
      </c>
      <c r="AF10" s="492">
        <v>2.4769999999999999</v>
      </c>
      <c r="AG10" s="492">
        <v>2.488</v>
      </c>
      <c r="AH10" s="492">
        <v>2.4950000000000001</v>
      </c>
      <c r="AI10" s="492">
        <v>2.5150000000000001</v>
      </c>
      <c r="AJ10" s="492">
        <v>2.5190000000000001</v>
      </c>
      <c r="AK10" s="492">
        <v>2.5289999999999999</v>
      </c>
      <c r="AL10" s="492">
        <v>2.5470000000000002</v>
      </c>
      <c r="AM10" s="492">
        <v>2.5569999999999999</v>
      </c>
      <c r="AN10" s="492">
        <v>2.5539999999999998</v>
      </c>
      <c r="AO10" s="492">
        <v>2.573</v>
      </c>
      <c r="AP10" s="492">
        <v>2.5870000000000002</v>
      </c>
      <c r="AQ10" s="492">
        <v>2.5979999999999999</v>
      </c>
      <c r="AR10" s="492">
        <v>2.6080000000000001</v>
      </c>
      <c r="AS10" s="492">
        <v>2.6139999999999999</v>
      </c>
      <c r="AT10" s="492">
        <v>2.6139999999999999</v>
      </c>
      <c r="AU10" s="483">
        <v>2.613</v>
      </c>
      <c r="AV10" s="483">
        <v>2.6230000000000002</v>
      </c>
      <c r="AW10" s="483">
        <v>2.6190000000000002</v>
      </c>
      <c r="AX10" s="483">
        <v>2.6240000000000001</v>
      </c>
      <c r="AY10" s="483">
        <v>2.6240000000000001</v>
      </c>
      <c r="AZ10" s="483">
        <v>2.6429999999999998</v>
      </c>
      <c r="BA10" s="483">
        <v>2.6640000000000001</v>
      </c>
      <c r="BB10" s="483">
        <v>2.6739999999999999</v>
      </c>
      <c r="BC10" s="483">
        <v>2.6949999999999998</v>
      </c>
      <c r="BD10" s="483">
        <v>2.694</v>
      </c>
      <c r="BE10" s="483">
        <v>2.706</v>
      </c>
      <c r="BF10" s="483">
        <v>2.714</v>
      </c>
      <c r="BG10" s="483">
        <v>2.746</v>
      </c>
      <c r="BH10" s="483">
        <v>2.7650000000000001</v>
      </c>
      <c r="BI10" s="483">
        <v>2.78</v>
      </c>
      <c r="BJ10" s="483">
        <v>2.806</v>
      </c>
      <c r="BK10" s="483">
        <v>2.827</v>
      </c>
      <c r="BL10" s="483">
        <v>2.8420000000000001</v>
      </c>
      <c r="BM10" s="483">
        <v>2.855</v>
      </c>
      <c r="BN10" s="483">
        <v>2.88</v>
      </c>
      <c r="BO10" s="483">
        <v>2.911</v>
      </c>
      <c r="BP10" s="483">
        <v>2.931</v>
      </c>
      <c r="BQ10" s="483">
        <v>2.95</v>
      </c>
      <c r="BR10" s="483">
        <v>2.972</v>
      </c>
      <c r="BS10" s="483">
        <v>2.9980000000000002</v>
      </c>
      <c r="BT10" s="483">
        <v>3.0230000000000001</v>
      </c>
      <c r="BU10" s="483">
        <v>3.0489999999999999</v>
      </c>
      <c r="BV10" s="483">
        <v>3.073</v>
      </c>
      <c r="BW10" s="483">
        <v>3.0979999999999999</v>
      </c>
      <c r="BX10" s="483">
        <v>3.1219999999999999</v>
      </c>
      <c r="BY10" s="483">
        <v>3.149</v>
      </c>
      <c r="BZ10" s="483">
        <v>3.1749999999999998</v>
      </c>
      <c r="CA10" s="483">
        <v>3.2010000000000001</v>
      </c>
      <c r="CB10" s="483">
        <v>3.2250000000000001</v>
      </c>
      <c r="CC10" s="483">
        <v>3.2519999999999998</v>
      </c>
      <c r="CD10" s="483">
        <v>3.278</v>
      </c>
    </row>
    <row r="13" spans="1:83">
      <c r="BF13" s="347" t="s">
        <v>232</v>
      </c>
      <c r="BG13" s="290"/>
      <c r="BH13" s="290"/>
      <c r="BI13" s="291" t="s">
        <v>233</v>
      </c>
      <c r="BJ13" s="292"/>
      <c r="BK13" s="292"/>
      <c r="BL13" s="292"/>
      <c r="BM13" s="292"/>
      <c r="BN13" s="292"/>
      <c r="BO13" s="290"/>
      <c r="BP13" s="290"/>
      <c r="BQ13" s="290"/>
    </row>
    <row r="14" spans="1:83">
      <c r="BF14" s="293"/>
      <c r="BG14" s="294"/>
      <c r="BH14" s="294"/>
      <c r="BI14" s="294"/>
      <c r="BJ14" s="294"/>
      <c r="BK14" s="294"/>
      <c r="BL14" s="294"/>
      <c r="BM14" s="294"/>
      <c r="BN14" s="294"/>
      <c r="BO14" s="294"/>
      <c r="BP14" s="294"/>
      <c r="BQ14" s="295"/>
    </row>
    <row r="15" spans="1:83">
      <c r="BF15" s="296"/>
      <c r="BG15" s="297" t="s">
        <v>226</v>
      </c>
      <c r="BH15" s="298" t="s">
        <v>302</v>
      </c>
      <c r="BI15" s="298"/>
      <c r="BJ15" s="298"/>
      <c r="BK15" s="298"/>
      <c r="BL15" s="298"/>
      <c r="BM15" s="298"/>
      <c r="BN15" s="298"/>
      <c r="BO15" s="298"/>
      <c r="BP15" s="298"/>
      <c r="BQ15" s="299"/>
    </row>
    <row r="16" spans="1:83">
      <c r="BF16" s="296"/>
      <c r="BG16" s="298"/>
      <c r="BH16" s="488" t="s">
        <v>208</v>
      </c>
      <c r="BI16" s="298"/>
      <c r="BJ16" s="298"/>
      <c r="BK16" s="298"/>
      <c r="BL16" s="298"/>
      <c r="BM16" s="298"/>
      <c r="BN16" s="298"/>
      <c r="BO16" s="298"/>
      <c r="BP16" s="298"/>
      <c r="BQ16" s="300" t="s">
        <v>227</v>
      </c>
    </row>
    <row r="17" spans="58:69">
      <c r="BF17" s="296"/>
      <c r="BG17" s="298"/>
      <c r="BH17" s="493">
        <f>BL9</f>
        <v>2.8260000000000001</v>
      </c>
      <c r="BI17" s="298"/>
      <c r="BJ17" s="298"/>
      <c r="BK17" s="298"/>
      <c r="BL17" s="298"/>
      <c r="BM17" s="298"/>
      <c r="BN17" s="298"/>
      <c r="BO17" s="298"/>
      <c r="BP17" s="298"/>
      <c r="BQ17" s="302">
        <f>BH17</f>
        <v>2.8260000000000001</v>
      </c>
    </row>
    <row r="18" spans="58:69">
      <c r="BF18" s="296"/>
      <c r="BG18" s="298"/>
      <c r="BH18" s="298"/>
      <c r="BI18" s="298"/>
      <c r="BJ18" s="298"/>
      <c r="BK18" s="298"/>
      <c r="BL18" s="298"/>
      <c r="BM18" s="298"/>
      <c r="BN18" s="298"/>
      <c r="BO18" s="298"/>
      <c r="BP18" s="298"/>
      <c r="BQ18" s="301"/>
    </row>
    <row r="19" spans="58:69">
      <c r="BF19" s="296"/>
      <c r="BG19" s="297" t="s">
        <v>228</v>
      </c>
      <c r="BH19" s="298" t="s">
        <v>303</v>
      </c>
      <c r="BI19" s="298"/>
      <c r="BJ19" s="298"/>
      <c r="BK19" s="298"/>
      <c r="BL19" s="298"/>
      <c r="BM19" s="298"/>
      <c r="BN19" s="298"/>
      <c r="BO19" s="298"/>
      <c r="BP19" s="298"/>
      <c r="BQ19" s="301"/>
    </row>
    <row r="20" spans="58:69">
      <c r="BF20" s="296"/>
      <c r="BG20" s="298"/>
      <c r="BH20" s="494" t="str">
        <f>BM7</f>
        <v>2019Q3</v>
      </c>
      <c r="BI20" s="491" t="str">
        <f t="shared" ref="BI20:BO20" si="0">BN7</f>
        <v>2019Q4</v>
      </c>
      <c r="BJ20" s="491" t="str">
        <f t="shared" si="0"/>
        <v>2020Q1</v>
      </c>
      <c r="BK20" s="491" t="str">
        <f t="shared" si="0"/>
        <v>2020Q2</v>
      </c>
      <c r="BL20" s="491" t="str">
        <f t="shared" si="0"/>
        <v>2020Q3</v>
      </c>
      <c r="BM20" s="491" t="str">
        <f t="shared" si="0"/>
        <v>2020Q4</v>
      </c>
      <c r="BN20" s="491" t="str">
        <f t="shared" si="0"/>
        <v>2021Q1</v>
      </c>
      <c r="BO20" s="491" t="str">
        <f t="shared" si="0"/>
        <v>2021Q2</v>
      </c>
      <c r="BP20" s="298"/>
      <c r="BQ20" s="301"/>
    </row>
    <row r="21" spans="58:69">
      <c r="BF21" s="296"/>
      <c r="BG21" s="298"/>
      <c r="BH21" s="492">
        <f>BM9</f>
        <v>2.8330000000000002</v>
      </c>
      <c r="BI21" s="492">
        <f t="shared" ref="BI21:BO21" si="1">BN9</f>
        <v>2.8519999999999999</v>
      </c>
      <c r="BJ21" s="492">
        <f t="shared" si="1"/>
        <v>2.8759999999999999</v>
      </c>
      <c r="BK21" s="492">
        <f t="shared" si="1"/>
        <v>2.8879999999999999</v>
      </c>
      <c r="BL21" s="492">
        <f t="shared" si="1"/>
        <v>2.9</v>
      </c>
      <c r="BM21" s="492">
        <f t="shared" si="1"/>
        <v>2.9129999999999998</v>
      </c>
      <c r="BN21" s="492">
        <f t="shared" si="1"/>
        <v>2.931</v>
      </c>
      <c r="BO21" s="492">
        <f t="shared" si="1"/>
        <v>2.9470000000000001</v>
      </c>
      <c r="BP21" s="298"/>
      <c r="BQ21" s="302">
        <f>AVERAGE(BH21:BO21)</f>
        <v>2.8925000000000001</v>
      </c>
    </row>
    <row r="22" spans="58:69">
      <c r="BF22" s="296"/>
      <c r="BG22" s="298"/>
      <c r="BH22" s="298"/>
      <c r="BI22" s="298"/>
      <c r="BJ22" s="298"/>
      <c r="BK22" s="298"/>
      <c r="BL22" s="298"/>
      <c r="BM22" s="298"/>
      <c r="BN22" s="298"/>
      <c r="BO22" s="298"/>
      <c r="BP22" s="298"/>
      <c r="BQ22" s="301"/>
    </row>
    <row r="23" spans="58:69">
      <c r="BF23" s="296"/>
      <c r="BG23" s="298"/>
      <c r="BH23" s="298"/>
      <c r="BI23" s="298"/>
      <c r="BJ23" s="298"/>
      <c r="BK23" s="298"/>
      <c r="BL23" s="298"/>
      <c r="BM23" s="298"/>
      <c r="BN23" s="298"/>
      <c r="BO23" s="298"/>
      <c r="BP23" s="303" t="s">
        <v>229</v>
      </c>
      <c r="BQ23" s="304">
        <f>(BQ21-BQ17)/BQ17</f>
        <v>2.3531493276716206E-2</v>
      </c>
    </row>
    <row r="24" spans="58:69">
      <c r="BF24" s="305"/>
      <c r="BG24" s="306"/>
      <c r="BH24" s="306"/>
      <c r="BI24" s="306"/>
      <c r="BJ24" s="306"/>
      <c r="BK24" s="306"/>
      <c r="BL24" s="306"/>
      <c r="BM24" s="306"/>
      <c r="BN24" s="306"/>
      <c r="BO24" s="306"/>
      <c r="BP24" s="306"/>
      <c r="BQ24" s="307"/>
    </row>
    <row r="28" spans="58:69">
      <c r="BF28" s="488"/>
    </row>
  </sheetData>
  <pageMargins left="0.25" right="0.2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Master Lookup</vt:lpstr>
      <vt:lpstr>1. 2nd OFFENDER- 3401 </vt:lpstr>
      <vt:lpstr>2.  RESI REHAB 3386 Clinical</vt:lpstr>
      <vt:lpstr>2. Per DiemAdd on</vt:lpstr>
      <vt:lpstr>2a.  P&amp;P Enhancements 3386 </vt:lpstr>
      <vt:lpstr>3. JAIL DIVERSION - 4958 </vt:lpstr>
      <vt:lpstr>4. FAMILY SOBER LIVING - 4919</vt:lpstr>
      <vt:lpstr>5. FAMILY RESI - 3380 </vt:lpstr>
      <vt:lpstr>CAF Fall 2018</vt:lpstr>
      <vt:lpstr>'1. 2nd OFFENDER- 3401 '!Print_Area</vt:lpstr>
      <vt:lpstr>'4. FAMILY SOBER LIVING - 4919'!Print_Area</vt:lpstr>
      <vt:lpstr>'5. FAMILY RESI - 3380 '!Print_Area</vt:lpstr>
      <vt:lpstr>'CAF Fall 2018'!Print_Titles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EHS</dc:creator>
  <cp:lastModifiedBy> </cp:lastModifiedBy>
  <cp:lastPrinted>2019-06-17T15:38:45Z</cp:lastPrinted>
  <dcterms:created xsi:type="dcterms:W3CDTF">2016-08-16T17:16:21Z</dcterms:created>
  <dcterms:modified xsi:type="dcterms:W3CDTF">2019-06-17T16:29:32Z</dcterms:modified>
</cp:coreProperties>
</file>