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17850" windowHeight="13485"/>
  </bookViews>
  <sheets>
    <sheet name="CAF Fall 2018" sheetId="33" r:id="rId1"/>
    <sheet name="Master Lookup" sheetId="27" r:id="rId2"/>
    <sheet name="Rate Review FY20 TEA Models" sheetId="29" r:id="rId3"/>
    <sheet name="Source Data" sheetId="10" state="hidden" r:id="rId4"/>
    <sheet name="CAF Fall 2016" sheetId="12" state="hidden" r:id="rId5"/>
    <sheet name="Engagemnt staffing" sheetId="31" r:id="rId6"/>
  </sheets>
  <definedNames>
    <definedName name="_xlnm.Print_Area" localSheetId="0">'CAF Fall 2018'!$BF$12:$BQ$25</definedName>
    <definedName name="_xlnm.Print_Area" localSheetId="5">'Engagemnt staffing'!$A$1:$N$35</definedName>
    <definedName name="_xlnm.Print_Area" localSheetId="1">'Master Lookup'!$B$2:$J$25</definedName>
    <definedName name="_xlnm.Print_Area" localSheetId="2">'Rate Review FY20 TEA Models'!$A$1:$L$55</definedName>
    <definedName name="_xlnm.Print_Area" localSheetId="3">'Source Data'!$A$1:$T$40</definedName>
    <definedName name="_xlnm.Print_Titles" localSheetId="4">'CAF Fall 2016'!$A:$A</definedName>
    <definedName name="_xlnm.Print_Titles" localSheetId="0">'CAF Fall 2018'!$A:$A</definedName>
  </definedNames>
  <calcPr calcId="145621"/>
  <customWorkbookViews>
    <customWorkbookView name="kara - Personal View" guid="{80E77B8A-F366-43E0-A0C0-826479F9E29D}" mergeInterval="0" personalView="1" maximized="1" windowWidth="1916" windowHeight="759" activeSheetId="3"/>
    <customWorkbookView name="EHS - Personal View" guid="{556572F1-2C31-4184-A55B-813A23084B82}" mergeInterval="0" personalView="1" maximized="1" windowWidth="1538" windowHeight="714" activeSheetId="3" showComments="commIndAndComment"/>
    <customWorkbookView name="revans - Personal View" guid="{AF194B35-FB13-4E52-BB25-5A5CD97A11E9}" mergeInterval="0" personalView="1" maximized="1" xWindow="-9" yWindow="-9" windowWidth="1298" windowHeight="770" activeSheetId="3"/>
  </customWorkbookViews>
</workbook>
</file>

<file path=xl/calcChain.xml><?xml version="1.0" encoding="utf-8"?>
<calcChain xmlns="http://schemas.openxmlformats.org/spreadsheetml/2006/main">
  <c r="K13" i="29" l="1"/>
  <c r="L7" i="29"/>
  <c r="N13" i="29"/>
  <c r="I22" i="31" l="1"/>
  <c r="I18" i="31"/>
  <c r="I14" i="31"/>
  <c r="I10" i="31"/>
  <c r="I6" i="31"/>
  <c r="C18" i="31" l="1"/>
  <c r="C22" i="31"/>
  <c r="F20" i="31" l="1"/>
  <c r="F16" i="31"/>
  <c r="F12" i="31"/>
  <c r="F8" i="31"/>
  <c r="F4" i="31"/>
  <c r="G6" i="31" s="1"/>
  <c r="C17" i="27"/>
  <c r="BO21" i="33"/>
  <c r="BN21" i="33"/>
  <c r="BM21" i="33"/>
  <c r="BL21" i="33"/>
  <c r="BK21" i="33"/>
  <c r="BJ21" i="33"/>
  <c r="BI21" i="33"/>
  <c r="BH21" i="33"/>
  <c r="BO20" i="33"/>
  <c r="BN20" i="33"/>
  <c r="BM20" i="33"/>
  <c r="BL20" i="33"/>
  <c r="BK20" i="33"/>
  <c r="BJ20" i="33"/>
  <c r="BI20" i="33"/>
  <c r="BH20" i="33"/>
  <c r="BH17" i="33"/>
  <c r="BQ17" i="33" s="1"/>
  <c r="BQ21" i="33" l="1"/>
  <c r="BQ23" i="33" s="1"/>
  <c r="J24" i="29" l="1"/>
  <c r="J52" i="29" l="1"/>
  <c r="I24" i="29"/>
  <c r="I52" i="29" s="1"/>
  <c r="G9" i="31"/>
  <c r="G13" i="31" s="1"/>
  <c r="G8" i="31"/>
  <c r="G12" i="31" l="1"/>
  <c r="G10" i="31"/>
  <c r="G21" i="31"/>
  <c r="G17" i="31"/>
  <c r="K18" i="29"/>
  <c r="K17" i="29"/>
  <c r="K45" i="29" s="1"/>
  <c r="K16" i="29"/>
  <c r="J12" i="29"/>
  <c r="J40" i="29" s="1"/>
  <c r="J11" i="29"/>
  <c r="J39" i="29" s="1"/>
  <c r="J10" i="29"/>
  <c r="J38" i="29" s="1"/>
  <c r="J9" i="29"/>
  <c r="J37" i="29" s="1"/>
  <c r="J8" i="29"/>
  <c r="J36" i="29" s="1"/>
  <c r="J7" i="29"/>
  <c r="J6" i="29"/>
  <c r="J5" i="29"/>
  <c r="C23" i="27"/>
  <c r="C22" i="27"/>
  <c r="C21" i="27"/>
  <c r="C6" i="27"/>
  <c r="C4" i="27"/>
  <c r="L6" i="29" l="1"/>
  <c r="J35" i="29"/>
  <c r="K44" i="29"/>
  <c r="K46" i="29"/>
  <c r="G20" i="31"/>
  <c r="G16" i="31"/>
  <c r="L35" i="29" l="1"/>
  <c r="G18" i="31"/>
  <c r="G22" i="31"/>
  <c r="D22" i="31" l="1"/>
  <c r="E22" i="31" s="1"/>
  <c r="D18" i="31"/>
  <c r="E18" i="31" s="1"/>
  <c r="C14" i="31"/>
  <c r="D10" i="31"/>
  <c r="E10" i="31" s="1"/>
  <c r="C6" i="31"/>
  <c r="D14" i="31" l="1"/>
  <c r="E14" i="31" s="1"/>
  <c r="F14" i="31" s="1"/>
  <c r="G14" i="31"/>
  <c r="F10" i="31"/>
  <c r="H10" i="31" s="1"/>
  <c r="F22" i="31"/>
  <c r="H22" i="31" s="1"/>
  <c r="F18" i="31"/>
  <c r="H18" i="31" s="1"/>
  <c r="D6" i="31"/>
  <c r="H14" i="31" l="1"/>
  <c r="E6" i="31"/>
  <c r="F6" i="31" s="1"/>
  <c r="H6" i="31" s="1"/>
  <c r="J49" i="29" l="1"/>
  <c r="J42" i="29"/>
  <c r="D41" i="29"/>
  <c r="D42" i="29" s="1"/>
  <c r="C41" i="29"/>
  <c r="C42" i="29" s="1"/>
  <c r="B41" i="29"/>
  <c r="B42" i="29" s="1"/>
  <c r="E39" i="29"/>
  <c r="G39" i="29" s="1"/>
  <c r="E38" i="29"/>
  <c r="G38" i="29" s="1"/>
  <c r="E37" i="29"/>
  <c r="G37" i="29" s="1"/>
  <c r="I35" i="29"/>
  <c r="E36" i="29"/>
  <c r="G36" i="29" s="1"/>
  <c r="E35" i="29"/>
  <c r="G35" i="29" s="1"/>
  <c r="E34" i="29"/>
  <c r="G34" i="29" s="1"/>
  <c r="E33" i="29"/>
  <c r="G33" i="29" s="1"/>
  <c r="J21" i="29"/>
  <c r="J14" i="29"/>
  <c r="L12" i="29"/>
  <c r="L40" i="29"/>
  <c r="D12" i="29"/>
  <c r="D13" i="29" s="1"/>
  <c r="C12" i="29"/>
  <c r="C13" i="29" s="1"/>
  <c r="B12" i="29"/>
  <c r="B13" i="29" s="1"/>
  <c r="L11" i="29"/>
  <c r="L39" i="29"/>
  <c r="L38" i="29"/>
  <c r="E10" i="29"/>
  <c r="E9" i="29"/>
  <c r="G9" i="29" s="1"/>
  <c r="L8" i="29"/>
  <c r="L36" i="29"/>
  <c r="E8" i="29"/>
  <c r="G8" i="29" s="1"/>
  <c r="E7" i="29"/>
  <c r="G7" i="29" s="1"/>
  <c r="J34" i="29"/>
  <c r="E6" i="29"/>
  <c r="F6" i="29" s="1"/>
  <c r="E5" i="29"/>
  <c r="F5" i="29" s="1"/>
  <c r="E4" i="29"/>
  <c r="G4" i="29" s="1"/>
  <c r="F7" i="29" l="1"/>
  <c r="F33" i="29"/>
  <c r="F4" i="29"/>
  <c r="F8" i="29" s="1"/>
  <c r="G40" i="29"/>
  <c r="K37" i="29" s="1"/>
  <c r="K41" i="29" s="1"/>
  <c r="L37" i="29"/>
  <c r="L34" i="29"/>
  <c r="G5" i="29"/>
  <c r="G6" i="29"/>
  <c r="G11" i="29" s="1"/>
  <c r="L10" i="29"/>
  <c r="F34" i="29"/>
  <c r="F35" i="29"/>
  <c r="F36" i="29"/>
  <c r="G12" i="29" l="1"/>
  <c r="G41" i="29"/>
  <c r="F37" i="29"/>
  <c r="J23" i="29" l="1"/>
  <c r="J51" i="29" l="1"/>
  <c r="C19" i="10" l="1"/>
  <c r="F19" i="10" s="1"/>
  <c r="N4" i="10" l="1"/>
  <c r="O4" i="10" s="1"/>
  <c r="N5" i="10"/>
  <c r="O5" i="10" s="1"/>
  <c r="N6" i="10"/>
  <c r="O6" i="10" s="1"/>
  <c r="N7" i="10"/>
  <c r="O7" i="10" s="1"/>
  <c r="K8" i="10"/>
  <c r="K9" i="10" s="1"/>
  <c r="L8" i="10"/>
  <c r="M8" i="10"/>
  <c r="M9" i="10" s="1"/>
  <c r="L9" i="10"/>
  <c r="N8" i="10" l="1"/>
  <c r="O8" i="10"/>
  <c r="BB50" i="12" l="1"/>
  <c r="BC50" i="12"/>
  <c r="BD50" i="12"/>
  <c r="BE50" i="12"/>
  <c r="BF50" i="12"/>
  <c r="BG50" i="12"/>
  <c r="BH50" i="12"/>
  <c r="BB51" i="12"/>
  <c r="BC51" i="12"/>
  <c r="BD51" i="12"/>
  <c r="BE51" i="12"/>
  <c r="BF51" i="12"/>
  <c r="BG51" i="12"/>
  <c r="BH51" i="12"/>
  <c r="BA51" i="12"/>
  <c r="BJ51" i="12" s="1"/>
  <c r="BA50" i="12"/>
  <c r="BB46" i="12"/>
  <c r="BC46" i="12"/>
  <c r="BD46" i="12"/>
  <c r="BB47" i="12"/>
  <c r="BC47" i="12"/>
  <c r="BD47" i="12"/>
  <c r="BA47" i="12"/>
  <c r="BA46" i="12"/>
  <c r="BJ47" i="12"/>
  <c r="BJ53" i="12" l="1"/>
  <c r="E6" i="10" l="1"/>
  <c r="E8" i="10"/>
  <c r="E5" i="10"/>
  <c r="E7" i="10"/>
  <c r="E3" i="10"/>
  <c r="L38" i="10" l="1"/>
  <c r="L39" i="10" s="1"/>
  <c r="K38" i="10"/>
  <c r="K39" i="10" s="1"/>
  <c r="N37" i="10"/>
  <c r="O37" i="10" s="1"/>
  <c r="M36" i="10"/>
  <c r="M38" i="10" s="1"/>
  <c r="M39" i="10" s="1"/>
  <c r="N35" i="10"/>
  <c r="O35" i="10" s="1"/>
  <c r="G35" i="10"/>
  <c r="N34" i="10"/>
  <c r="O34" i="10" s="1"/>
  <c r="C33" i="10"/>
  <c r="R31" i="10" s="1"/>
  <c r="T31" i="10" s="1"/>
  <c r="C32" i="10"/>
  <c r="G32" i="10" s="1"/>
  <c r="K29" i="10"/>
  <c r="K9" i="29" s="1"/>
  <c r="K28" i="10"/>
  <c r="K27" i="10"/>
  <c r="K25" i="10"/>
  <c r="K24" i="10"/>
  <c r="G24" i="10"/>
  <c r="C24" i="10"/>
  <c r="C21" i="10"/>
  <c r="D21" i="10" s="1"/>
  <c r="G19" i="10"/>
  <c r="K14" i="10"/>
  <c r="K26" i="10" s="1"/>
  <c r="K11" i="10"/>
  <c r="K23" i="10" s="1"/>
  <c r="C8" i="10"/>
  <c r="B8" i="10"/>
  <c r="C7" i="10"/>
  <c r="B7" i="10"/>
  <c r="C6" i="10"/>
  <c r="B6" i="10"/>
  <c r="C5" i="10"/>
  <c r="C26" i="10" s="1"/>
  <c r="B5" i="10"/>
  <c r="C4" i="10"/>
  <c r="B4" i="10"/>
  <c r="C3" i="10"/>
  <c r="B3" i="10"/>
  <c r="BH37" i="12"/>
  <c r="BG37" i="12"/>
  <c r="BF37" i="12"/>
  <c r="BE37" i="12"/>
  <c r="BD37" i="12"/>
  <c r="BC37" i="12"/>
  <c r="BB37" i="12"/>
  <c r="BA37" i="12"/>
  <c r="BJ37" i="12" s="1"/>
  <c r="BJ33" i="12"/>
  <c r="BH23" i="12"/>
  <c r="BG23" i="12"/>
  <c r="BF23" i="12"/>
  <c r="BE23" i="12"/>
  <c r="BD23" i="12"/>
  <c r="BC23" i="12"/>
  <c r="BB23" i="12"/>
  <c r="BA23" i="12"/>
  <c r="BJ19" i="12"/>
  <c r="L16" i="29" l="1"/>
  <c r="L9" i="29"/>
  <c r="L13" i="29" s="1"/>
  <c r="L14" i="29" s="1"/>
  <c r="BJ39" i="12"/>
  <c r="B11" i="10" s="1"/>
  <c r="S8" i="10" s="1"/>
  <c r="BJ23" i="12"/>
  <c r="BJ25" i="12" s="1"/>
  <c r="S5" i="10"/>
  <c r="S3" i="10"/>
  <c r="H8" i="10"/>
  <c r="D26" i="10"/>
  <c r="G39" i="10"/>
  <c r="D19" i="10"/>
  <c r="F33" i="10"/>
  <c r="C16" i="10" s="1"/>
  <c r="B9" i="10"/>
  <c r="F21" i="10" s="1"/>
  <c r="R30" i="10"/>
  <c r="S30" i="10" s="1"/>
  <c r="T30" i="10" s="1"/>
  <c r="R27" i="10"/>
  <c r="N36" i="10"/>
  <c r="O36" i="10" s="1"/>
  <c r="O38" i="10" s="1"/>
  <c r="L18" i="29" l="1"/>
  <c r="H3" i="10"/>
  <c r="S9" i="10"/>
  <c r="L44" i="29"/>
  <c r="J33" i="29"/>
  <c r="L5" i="29"/>
  <c r="L24" i="29" s="1"/>
  <c r="H6" i="10"/>
  <c r="H7" i="10"/>
  <c r="H19" i="10"/>
  <c r="S7" i="10"/>
  <c r="S6" i="10"/>
  <c r="S4" i="10"/>
  <c r="L17" i="29"/>
  <c r="L45" i="29"/>
  <c r="H21" i="10"/>
  <c r="H9" i="10"/>
  <c r="C15" i="10"/>
  <c r="N38" i="10"/>
  <c r="N39" i="10" s="1"/>
  <c r="L15" i="29" l="1"/>
  <c r="L46" i="29"/>
  <c r="L47" i="29" s="1"/>
  <c r="L33" i="29"/>
  <c r="L41" i="29" s="1"/>
  <c r="H15" i="10"/>
  <c r="L42" i="29" l="1"/>
  <c r="L43" i="29" s="1"/>
  <c r="L48" i="29" s="1"/>
  <c r="L49" i="29" s="1"/>
  <c r="L50" i="29" s="1"/>
  <c r="L51" i="29" s="1"/>
  <c r="L52" i="29"/>
  <c r="L19" i="29"/>
  <c r="L20" i="29" s="1"/>
  <c r="L21" i="29" s="1"/>
  <c r="L22" i="29" s="1"/>
  <c r="L53" i="29" l="1"/>
  <c r="L23" i="29"/>
  <c r="L54" i="29"/>
  <c r="L55" i="29" l="1"/>
  <c r="L25" i="29"/>
  <c r="L26" i="29" l="1"/>
  <c r="L27" i="29" s="1"/>
</calcChain>
</file>

<file path=xl/comments1.xml><?xml version="1.0" encoding="utf-8"?>
<comments xmlns="http://schemas.openxmlformats.org/spreadsheetml/2006/main">
  <authors>
    <author>EHS</author>
    <author xml:space="preserve"> </author>
  </authors>
  <commentList>
    <comment ref="N8" authorId="0">
      <text>
        <r>
          <rPr>
            <sz val="8"/>
            <color indexed="81"/>
            <rFont val="Tahoma"/>
            <family val="2"/>
          </rPr>
          <t>Less Support Staff</t>
        </r>
      </text>
    </comment>
    <comment ref="C19" authorId="1">
      <text>
        <r>
          <rPr>
            <b/>
            <sz val="9"/>
            <color indexed="81"/>
            <rFont val="Tahoma"/>
            <family val="2"/>
          </rPr>
          <t xml:space="preserve">Meals 187.3k, vehicles 13k, program supplies &amp; Mats 51k, training 400, travel 5k, client personal allow 240k,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1">
      <text>
        <r>
          <rPr>
            <b/>
            <sz val="9"/>
            <color indexed="81"/>
            <rFont val="Tahoma"/>
            <family val="2"/>
          </rPr>
          <t>Per contract data
Prod suppot &amp; Dir Admin 9.610k, 25.6k, 10k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8" authorId="0">
      <text>
        <r>
          <rPr>
            <sz val="8"/>
            <color indexed="81"/>
            <rFont val="Tahoma"/>
            <family val="2"/>
          </rPr>
          <t>Less Support Staff</t>
        </r>
      </text>
    </comment>
  </commentList>
</comments>
</file>

<file path=xl/sharedStrings.xml><?xml version="1.0" encoding="utf-8"?>
<sst xmlns="http://schemas.openxmlformats.org/spreadsheetml/2006/main" count="555" uniqueCount="239">
  <si>
    <t>Capacity</t>
  </si>
  <si>
    <t>Position</t>
  </si>
  <si>
    <t>FTE</t>
  </si>
  <si>
    <t>Expense</t>
  </si>
  <si>
    <t>Management</t>
  </si>
  <si>
    <t>Relief</t>
  </si>
  <si>
    <t>Total Program Staff</t>
  </si>
  <si>
    <t>Tax and Fringe</t>
  </si>
  <si>
    <t>Total Compensation</t>
  </si>
  <si>
    <t>Occupancy</t>
  </si>
  <si>
    <t>Total Expenses</t>
  </si>
  <si>
    <t>Total Reimb excl M&amp;G</t>
  </si>
  <si>
    <t>Admin. Allocation</t>
  </si>
  <si>
    <t>Total</t>
  </si>
  <si>
    <t>Months</t>
  </si>
  <si>
    <t>FTEs</t>
  </si>
  <si>
    <t>Average</t>
  </si>
  <si>
    <t>Salary</t>
  </si>
  <si>
    <t xml:space="preserve"> PROGRAM COST</t>
  </si>
  <si>
    <t>Occupancy per FTE</t>
  </si>
  <si>
    <t>Direct Care Staff</t>
  </si>
  <si>
    <t>DC Staff</t>
  </si>
  <si>
    <t>Clerical</t>
  </si>
  <si>
    <t>Wtg Avg</t>
  </si>
  <si>
    <t>Program Support</t>
  </si>
  <si>
    <t>Case Worker Manager</t>
  </si>
  <si>
    <t>Direct Care Staff (Blend)</t>
  </si>
  <si>
    <t>Food/ Laundry Staff</t>
  </si>
  <si>
    <t>Salary sum</t>
  </si>
  <si>
    <t>Case Worker / Housing Spec / Soc Worker / Counselor</t>
  </si>
  <si>
    <t>Clerical Staff &amp; Support</t>
  </si>
  <si>
    <t>15.8% of Staff</t>
  </si>
  <si>
    <t>T&amp; F</t>
  </si>
  <si>
    <t xml:space="preserve">Admin Allocation </t>
  </si>
  <si>
    <t>Per FTE</t>
  </si>
  <si>
    <t>CW Manager</t>
  </si>
  <si>
    <t>CW/ Counselor</t>
  </si>
  <si>
    <t>Shift</t>
  </si>
  <si>
    <t>FTE/ Shift (8 hrs /day; 7 days/ week)</t>
  </si>
  <si>
    <t>2 FTE for 2 shifts / day / week</t>
  </si>
  <si>
    <t>1 FTE for 1 shifts / day / week</t>
  </si>
  <si>
    <t>6 FTE for 3 shifts / day / week</t>
  </si>
  <si>
    <t>Large Model</t>
  </si>
  <si>
    <t>Small Model</t>
  </si>
  <si>
    <t>Support Staff (laundry)</t>
  </si>
  <si>
    <t>Support Staff (food)</t>
  </si>
  <si>
    <t>Monthly Unit Rate</t>
  </si>
  <si>
    <t>Monthly Accom. Rate</t>
  </si>
  <si>
    <t>-</t>
  </si>
  <si>
    <t>Case Manager</t>
  </si>
  <si>
    <t>Food Staff</t>
  </si>
  <si>
    <t>Laundry Staff</t>
  </si>
  <si>
    <t>Clerical (5 days/wk)</t>
  </si>
  <si>
    <t>Client to staff Ratio</t>
  </si>
  <si>
    <t>RELIEF - DC &amp; Sup</t>
  </si>
  <si>
    <t>Per client</t>
  </si>
  <si>
    <t>per client per day</t>
  </si>
  <si>
    <t>Program Expenses per client per day</t>
  </si>
  <si>
    <t>Program Support per FTE</t>
  </si>
  <si>
    <t>Program Expenses</t>
  </si>
  <si>
    <t>Massachusetts Economic Indicators</t>
  </si>
  <si>
    <r>
      <t xml:space="preserve">IHS Economics </t>
    </r>
    <r>
      <rPr>
        <b/>
        <sz val="12"/>
        <color indexed="10"/>
        <rFont val="Arial"/>
        <family val="2"/>
      </rPr>
      <t>Fall 2016</t>
    </r>
    <r>
      <rPr>
        <b/>
        <sz val="12"/>
        <rFont val="Arial"/>
        <family val="2"/>
      </rPr>
      <t xml:space="preserve"> Forecast</t>
    </r>
  </si>
  <si>
    <t>Prepared by Michael Lynch, 781-301-9129</t>
  </si>
  <si>
    <t>FY14</t>
  </si>
  <si>
    <t>FY15</t>
  </si>
  <si>
    <t>FY16</t>
  </si>
  <si>
    <t>FY17</t>
  </si>
  <si>
    <t>FY18</t>
  </si>
  <si>
    <t>FY19</t>
  </si>
  <si>
    <t>FY20</t>
  </si>
  <si>
    <t>FY21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</si>
  <si>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</si>
  <si>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</si>
  <si>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</si>
  <si>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</si>
  <si>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</si>
  <si>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</si>
  <si>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</si>
  <si>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</si>
  <si>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</si>
  <si>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</si>
  <si>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</si>
  <si>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</si>
  <si>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</si>
  <si>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</si>
  <si>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</si>
  <si>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</si>
  <si>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</si>
  <si>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</si>
  <si>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</si>
  <si>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</si>
  <si>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</si>
  <si>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</si>
  <si>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</si>
  <si>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</si>
  <si>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</si>
  <si>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</si>
  <si>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</si>
  <si>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</si>
  <si>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</si>
  <si>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</si>
  <si>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</si>
  <si>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</si>
  <si>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</si>
  <si>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</si>
  <si>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</si>
  <si>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</si>
  <si>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</si>
  <si>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</si>
  <si>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</si>
  <si>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</si>
  <si>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</si>
  <si>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</si>
  <si>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</si>
  <si>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</si>
  <si>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</si>
  <si>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</si>
  <si>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</si>
  <si>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</si>
  <si>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</si>
  <si>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</si>
  <si>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</si>
  <si>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</si>
  <si>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</si>
  <si>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</si>
  <si>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</si>
  <si>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</si>
  <si>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</si>
  <si>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</si>
  <si>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</si>
  <si>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</si>
  <si>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</si>
  <si>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</si>
  <si>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</si>
  <si>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</si>
  <si>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</si>
  <si>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</si>
  <si>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</si>
  <si>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</si>
  <si>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</si>
  <si>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</si>
  <si>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</si>
  <si>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</si>
  <si>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</si>
  <si>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</si>
  <si>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</si>
  <si>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</si>
  <si>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</si>
  <si>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</si>
  <si>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</si>
  <si>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</si>
  <si>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</si>
  <si>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January 1, 2018</t>
  </si>
  <si>
    <t xml:space="preserve">Base period: </t>
  </si>
  <si>
    <t>FY18Q2</t>
  </si>
  <si>
    <t xml:space="preserve">Prospective rate period: </t>
  </si>
  <si>
    <t>1/1/18 - 12/31/19</t>
  </si>
  <si>
    <t>CAF:</t>
  </si>
  <si>
    <t>CAF using base year of data</t>
  </si>
  <si>
    <t>TEMPLATE ONLY -- CHANGE ME WITH YOUR RATE-SPECIFIC DATA!</t>
  </si>
  <si>
    <t>07/01/2017 - 06/30/2019</t>
  </si>
  <si>
    <t>C.257 Benchmark to Resi Rehab - SRAD</t>
  </si>
  <si>
    <t>SRAD SCM Case Mgr</t>
  </si>
  <si>
    <t>Benchmark</t>
  </si>
  <si>
    <t>CAF</t>
  </si>
  <si>
    <t>CASPAR / BAYCOVE</t>
  </si>
  <si>
    <t>Daybreak</t>
  </si>
  <si>
    <t>PIP</t>
  </si>
  <si>
    <t>Lg Avg</t>
  </si>
  <si>
    <t>SM Avg</t>
  </si>
  <si>
    <t>FY16 UFR Data wtg Avg per FTE</t>
  </si>
  <si>
    <t>Direct Care Triage Specialist</t>
  </si>
  <si>
    <t>Base FY16 - Prospective 7/1/17-6/30/19</t>
  </si>
  <si>
    <t>PPH Adj.</t>
  </si>
  <si>
    <t>Used for Manager and DC Salaries only</t>
  </si>
  <si>
    <t>SRAD Resi Rehab Program Director (Original salary rebased with FY15-FY16 CAF)</t>
  </si>
  <si>
    <t>SRAD DC/Recovery Staff (Original Salary rebased with FY15-FY16 CAF)</t>
  </si>
  <si>
    <t>FY12</t>
  </si>
  <si>
    <t>FY14 and FY15</t>
  </si>
  <si>
    <t>Effective Salary with 5.43%  CAF</t>
  </si>
  <si>
    <t>Enhanced Staffing</t>
  </si>
  <si>
    <t xml:space="preserve"> </t>
  </si>
  <si>
    <t>CAF (Original)</t>
  </si>
  <si>
    <t>Program Expenses (per client per day)</t>
  </si>
  <si>
    <t>Program Support (Per FTE)</t>
  </si>
  <si>
    <t>FY16 UFR Data wtg Avg per FTE (rebased with original CAF)</t>
  </si>
  <si>
    <t>FY16 UFR Data (rebased with original CAF)</t>
  </si>
  <si>
    <t>101 CMR 346:  Substance Related &amp; Addictive Disorders</t>
  </si>
  <si>
    <t>101 CMR 346:  Substance Related &amp; Addictive Disorders (rebased with 5.43% CAF)</t>
  </si>
  <si>
    <t>Occupancy (per FTE)</t>
  </si>
  <si>
    <t>Direct Care Supervisor</t>
  </si>
  <si>
    <t>Direct Care Staff III (Senior Staff)</t>
  </si>
  <si>
    <t>Direct Care Staff II</t>
  </si>
  <si>
    <t>TOTAL PROGRAM COST</t>
  </si>
  <si>
    <t>Security</t>
  </si>
  <si>
    <t>TEA &amp; Night Center Master Data Lookup Table</t>
  </si>
  <si>
    <t>STAFF TITLE</t>
  </si>
  <si>
    <t xml:space="preserve">BENCHMARK </t>
  </si>
  <si>
    <t>T &amp; F</t>
  </si>
  <si>
    <t>Admin</t>
  </si>
  <si>
    <t>Hourly</t>
  </si>
  <si>
    <t>Peer Service Coordinator</t>
  </si>
  <si>
    <t>101 CMR 346.00:  SRAD: RRS/COE: Care Coordinator position</t>
  </si>
  <si>
    <t>101 CMR 426.00:  ACCS (CBFS) Peer and Family Specialist</t>
  </si>
  <si>
    <t>$15 per hour with rate review CAF</t>
  </si>
  <si>
    <t>Benchmarked to 101 CMR 412: Family Transitional Supports</t>
  </si>
  <si>
    <t>101 CMR 420: ALTR Specialized Staff</t>
  </si>
  <si>
    <t>Cost Adjustment Factor (Rate Review CAF)</t>
  </si>
  <si>
    <t>24/7 Individual Shelter / Substance Abuse Shelter for Individuals - FY20 Rate Review</t>
  </si>
  <si>
    <t xml:space="preserve">24/7 Individual Shelter / Substance Abuse Shelter for Individuals - FY20 Rate Review
</t>
  </si>
  <si>
    <t>Trust fund contribution for PFMLA</t>
  </si>
  <si>
    <t>Effective 7/1/19</t>
  </si>
  <si>
    <t>PFMLA</t>
  </si>
  <si>
    <t xml:space="preserve">TOTAL PROGRAM COST </t>
  </si>
  <si>
    <t>IHS Markit, Fall 2018 Forecast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</si>
  <si>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</si>
  <si>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</si>
  <si>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</si>
  <si>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</si>
  <si>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</si>
  <si>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</si>
  <si>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</si>
  <si>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</si>
  <si>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</si>
  <si>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</si>
  <si>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Assumption for Rate Reviews that are to be promulgated July 1, 2019</t>
  </si>
  <si>
    <t>FY19Q4</t>
  </si>
  <si>
    <t>FY20 &amp; FY21</t>
  </si>
  <si>
    <t xml:space="preserve">CAF Rate Review </t>
  </si>
  <si>
    <t>Prospective FY20 &amp; FY21</t>
  </si>
  <si>
    <t>Social Worker LCSW</t>
  </si>
  <si>
    <t>Care Coordinator</t>
  </si>
  <si>
    <t>Direct Care Staff Benchmarked to TEA Services</t>
  </si>
  <si>
    <t>Support Staff</t>
  </si>
  <si>
    <t>Support Staff Benchmarked to TEA Services</t>
  </si>
  <si>
    <t>Monthly</t>
  </si>
  <si>
    <t>1.0 FTE</t>
  </si>
  <si>
    <t>101 CMR 413.00:  YITs - LCSW</t>
  </si>
  <si>
    <t>Monthly Accommodation rate (per slot)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</si>
</sst>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0.0%"/>
    <numFmt numFmtId="168" formatCode="&quot;$&quot;#,##0.00"/>
    <numFmt numFmtId="169" formatCode="0.000"/>
    <numFmt numFmtId="170" formatCode="0.0"/>
    <numFmt numFmtId="171" formatCode="0.0000%"/>
    <numFmt numFmtId="172" formatCode="0.00000%"/>
    <numFmt numFmtId="173" formatCode="_(&quot;$&quot;* #,##0.0_);_(&quot;$&quot;* \(#,##0.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</font>
    <font>
      <b/>
      <sz val="9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8" fillId="0" borderId="0"/>
    <xf numFmtId="0" fontId="18" fillId="0" borderId="0"/>
    <xf numFmtId="0" fontId="42" fillId="0" borderId="0"/>
  </cellStyleXfs>
  <cellXfs count="375">
    <xf numFmtId="0" fontId="0" fillId="0" borderId="0" xfId="0"/>
    <xf numFmtId="2" fontId="0" fillId="0" borderId="0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0" fillId="0" borderId="19" xfId="0" applyFill="1" applyBorder="1"/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0" fillId="0" borderId="24" xfId="0" applyBorder="1"/>
    <xf numFmtId="0" fontId="0" fillId="0" borderId="25" xfId="0" applyBorder="1"/>
    <xf numFmtId="164" fontId="0" fillId="0" borderId="16" xfId="49" applyNumberFormat="1" applyFont="1" applyBorder="1"/>
    <xf numFmtId="164" fontId="0" fillId="0" borderId="17" xfId="49" applyNumberFormat="1" applyFont="1" applyBorder="1"/>
    <xf numFmtId="164" fontId="0" fillId="0" borderId="18" xfId="49" applyNumberFormat="1" applyFont="1" applyBorder="1"/>
    <xf numFmtId="164" fontId="0" fillId="0" borderId="26" xfId="49" applyNumberFormat="1" applyFont="1" applyBorder="1"/>
    <xf numFmtId="0" fontId="0" fillId="0" borderId="27" xfId="0" applyBorder="1" applyAlignment="1">
      <alignment horizontal="center"/>
    </xf>
    <xf numFmtId="0" fontId="0" fillId="0" borderId="28" xfId="0" applyBorder="1"/>
    <xf numFmtId="164" fontId="0" fillId="0" borderId="0" xfId="49" applyNumberFormat="1" applyFont="1" applyBorder="1" applyAlignment="1">
      <alignment horizontal="center"/>
    </xf>
    <xf numFmtId="10" fontId="0" fillId="0" borderId="25" xfId="1" applyNumberFormat="1" applyFont="1" applyBorder="1"/>
    <xf numFmtId="164" fontId="0" fillId="0" borderId="15" xfId="49" applyNumberFormat="1" applyFont="1" applyBorder="1"/>
    <xf numFmtId="164" fontId="0" fillId="0" borderId="10" xfId="49" applyNumberFormat="1" applyFont="1" applyBorder="1"/>
    <xf numFmtId="164" fontId="0" fillId="0" borderId="0" xfId="49" applyNumberFormat="1" applyFont="1"/>
    <xf numFmtId="164" fontId="0" fillId="0" borderId="21" xfId="49" applyNumberFormat="1" applyFont="1" applyBorder="1"/>
    <xf numFmtId="2" fontId="0" fillId="0" borderId="0" xfId="0" applyNumberFormat="1"/>
    <xf numFmtId="0" fontId="0" fillId="0" borderId="0" xfId="0" applyFill="1" applyBorder="1"/>
    <xf numFmtId="164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164" fontId="0" fillId="0" borderId="0" xfId="49" applyNumberFormat="1" applyFont="1" applyBorder="1"/>
    <xf numFmtId="44" fontId="0" fillId="0" borderId="0" xfId="0" applyNumberFormat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65" fontId="0" fillId="0" borderId="14" xfId="50" applyNumberFormat="1" applyFont="1" applyFill="1" applyBorder="1" applyAlignment="1">
      <alignment horizontal="center"/>
    </xf>
    <xf numFmtId="164" fontId="0" fillId="0" borderId="14" xfId="49" applyNumberFormat="1" applyFont="1" applyBorder="1"/>
    <xf numFmtId="165" fontId="0" fillId="0" borderId="0" xfId="5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4" fontId="0" fillId="0" borderId="0" xfId="49" applyNumberFormat="1" applyFont="1" applyFill="1" applyBorder="1"/>
    <xf numFmtId="44" fontId="0" fillId="0" borderId="0" xfId="49" applyNumberFormat="1" applyFont="1" applyFill="1" applyBorder="1"/>
    <xf numFmtId="10" fontId="0" fillId="0" borderId="0" xfId="1" applyNumberFormat="1" applyFont="1"/>
    <xf numFmtId="164" fontId="0" fillId="0" borderId="38" xfId="49" applyNumberFormat="1" applyFont="1" applyBorder="1"/>
    <xf numFmtId="10" fontId="0" fillId="0" borderId="15" xfId="1" applyNumberFormat="1" applyFont="1" applyBorder="1"/>
    <xf numFmtId="164" fontId="0" fillId="0" borderId="0" xfId="0" applyNumberFormat="1" applyBorder="1"/>
    <xf numFmtId="0" fontId="0" fillId="0" borderId="13" xfId="0" applyBorder="1" applyAlignment="1">
      <alignment horizontal="center"/>
    </xf>
    <xf numFmtId="2" fontId="0" fillId="0" borderId="0" xfId="0" applyNumberFormat="1" applyBorder="1"/>
    <xf numFmtId="0" fontId="0" fillId="0" borderId="0" xfId="0" applyAlignment="1">
      <alignment horizontal="center"/>
    </xf>
    <xf numFmtId="0" fontId="0" fillId="0" borderId="39" xfId="0" applyBorder="1"/>
    <xf numFmtId="2" fontId="0" fillId="0" borderId="38" xfId="0" applyNumberFormat="1" applyBorder="1" applyAlignment="1">
      <alignment horizontal="center"/>
    </xf>
    <xf numFmtId="164" fontId="0" fillId="0" borderId="40" xfId="49" applyNumberFormat="1" applyFont="1" applyBorder="1"/>
    <xf numFmtId="0" fontId="0" fillId="0" borderId="12" xfId="0" applyBorder="1"/>
    <xf numFmtId="0" fontId="0" fillId="0" borderId="13" xfId="0" applyBorder="1"/>
    <xf numFmtId="0" fontId="0" fillId="0" borderId="0" xfId="0" applyFill="1"/>
    <xf numFmtId="0" fontId="0" fillId="0" borderId="15" xfId="0" applyBorder="1" applyAlignment="1">
      <alignment horizontal="center"/>
    </xf>
    <xf numFmtId="0" fontId="0" fillId="0" borderId="16" xfId="0" applyBorder="1"/>
    <xf numFmtId="0" fontId="2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49" applyNumberFormat="1" applyFont="1" applyBorder="1" applyAlignment="1">
      <alignment horizontal="center"/>
    </xf>
    <xf numFmtId="164" fontId="0" fillId="0" borderId="11" xfId="49" applyNumberFormat="1" applyFont="1" applyBorder="1"/>
    <xf numFmtId="0" fontId="0" fillId="36" borderId="0" xfId="0" applyFill="1" applyBorder="1" applyAlignment="1">
      <alignment horizontal="center"/>
    </xf>
    <xf numFmtId="0" fontId="0" fillId="36" borderId="17" xfId="0" applyFill="1" applyBorder="1" applyAlignment="1">
      <alignment horizontal="center"/>
    </xf>
    <xf numFmtId="0" fontId="0" fillId="33" borderId="23" xfId="0" applyFill="1" applyBorder="1"/>
    <xf numFmtId="0" fontId="0" fillId="36" borderId="19" xfId="0" applyFill="1" applyBorder="1" applyAlignment="1">
      <alignment horizontal="center"/>
    </xf>
    <xf numFmtId="0" fontId="0" fillId="36" borderId="22" xfId="0" applyFill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33" borderId="41" xfId="0" applyFill="1" applyBorder="1"/>
    <xf numFmtId="0" fontId="0" fillId="36" borderId="36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37" borderId="12" xfId="0" applyFill="1" applyBorder="1"/>
    <xf numFmtId="0" fontId="0" fillId="37" borderId="28" xfId="0" applyFill="1" applyBorder="1" applyAlignment="1">
      <alignment horizontal="center"/>
    </xf>
    <xf numFmtId="0" fontId="0" fillId="37" borderId="13" xfId="0" applyFill="1" applyBorder="1" applyAlignment="1">
      <alignment horizontal="center"/>
    </xf>
    <xf numFmtId="0" fontId="0" fillId="37" borderId="12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0" fillId="0" borderId="11" xfId="0" applyBorder="1" applyAlignment="1"/>
    <xf numFmtId="0" fontId="0" fillId="0" borderId="18" xfId="0" applyBorder="1" applyAlignment="1"/>
    <xf numFmtId="167" fontId="0" fillId="0" borderId="11" xfId="1" applyNumberFormat="1" applyFont="1" applyBorder="1" applyAlignment="1">
      <alignment horizontal="center"/>
    </xf>
    <xf numFmtId="169" fontId="0" fillId="0" borderId="0" xfId="0" applyNumberFormat="1"/>
    <xf numFmtId="2" fontId="0" fillId="0" borderId="0" xfId="0" applyNumberFormat="1" applyFill="1"/>
    <xf numFmtId="0" fontId="0" fillId="0" borderId="0" xfId="0" applyFill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0" fontId="0" fillId="39" borderId="0" xfId="0" applyFill="1" applyBorder="1" applyAlignment="1">
      <alignment horizontal="center"/>
    </xf>
    <xf numFmtId="0" fontId="0" fillId="39" borderId="0" xfId="0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44" fontId="0" fillId="0" borderId="0" xfId="49" applyNumberFormat="1" applyFont="1" applyBorder="1"/>
    <xf numFmtId="44" fontId="0" fillId="0" borderId="0" xfId="0" applyNumberFormat="1" applyBorder="1"/>
    <xf numFmtId="44" fontId="0" fillId="0" borderId="0" xfId="0" applyNumberFormat="1" applyFill="1" applyBorder="1"/>
    <xf numFmtId="0" fontId="0" fillId="0" borderId="19" xfId="0" applyBorder="1" applyAlignment="1">
      <alignment wrapText="1"/>
    </xf>
    <xf numFmtId="0" fontId="0" fillId="0" borderId="51" xfId="0" applyFill="1" applyBorder="1"/>
    <xf numFmtId="9" fontId="0" fillId="0" borderId="47" xfId="0" applyNumberFormat="1" applyBorder="1"/>
    <xf numFmtId="164" fontId="0" fillId="0" borderId="52" xfId="49" applyNumberFormat="1" applyFont="1" applyBorder="1"/>
    <xf numFmtId="0" fontId="0" fillId="0" borderId="12" xfId="0" applyFill="1" applyBorder="1"/>
    <xf numFmtId="164" fontId="0" fillId="0" borderId="0" xfId="49" applyNumberFormat="1" applyFont="1" applyFill="1" applyBorder="1" applyAlignment="1">
      <alignment horizontal="right"/>
    </xf>
    <xf numFmtId="0" fontId="0" fillId="0" borderId="13" xfId="0" applyFill="1" applyBorder="1"/>
    <xf numFmtId="164" fontId="0" fillId="0" borderId="14" xfId="49" applyNumberFormat="1" applyFont="1" applyFill="1" applyBorder="1"/>
    <xf numFmtId="164" fontId="0" fillId="0" borderId="17" xfId="49" applyNumberFormat="1" applyFont="1" applyFill="1" applyBorder="1"/>
    <xf numFmtId="164" fontId="0" fillId="0" borderId="50" xfId="49" applyNumberFormat="1" applyFont="1" applyFill="1" applyBorder="1"/>
    <xf numFmtId="164" fontId="0" fillId="0" borderId="18" xfId="49" applyNumberFormat="1" applyFont="1" applyFill="1" applyBorder="1"/>
    <xf numFmtId="0" fontId="0" fillId="36" borderId="19" xfId="0" applyFill="1" applyBorder="1"/>
    <xf numFmtId="0" fontId="0" fillId="37" borderId="22" xfId="0" applyFill="1" applyBorder="1"/>
    <xf numFmtId="0" fontId="0" fillId="37" borderId="22" xfId="0" applyFill="1" applyBorder="1" applyAlignment="1">
      <alignment horizontal="center"/>
    </xf>
    <xf numFmtId="0" fontId="0" fillId="37" borderId="37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30" xfId="0" applyBorder="1"/>
    <xf numFmtId="0" fontId="0" fillId="0" borderId="31" xfId="0" applyFill="1" applyBorder="1" applyAlignment="1">
      <alignment horizontal="center"/>
    </xf>
    <xf numFmtId="0" fontId="0" fillId="0" borderId="30" xfId="0" applyFill="1" applyBorder="1"/>
    <xf numFmtId="10" fontId="0" fillId="0" borderId="17" xfId="0" applyNumberFormat="1" applyFill="1" applyBorder="1" applyAlignment="1">
      <alignment horizontal="center"/>
    </xf>
    <xf numFmtId="2" fontId="0" fillId="37" borderId="37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38" xfId="1" applyNumberFormat="1" applyFont="1" applyBorder="1"/>
    <xf numFmtId="164" fontId="0" fillId="0" borderId="10" xfId="1" applyNumberFormat="1" applyFont="1" applyBorder="1"/>
    <xf numFmtId="0" fontId="23" fillId="0" borderId="0" xfId="51"/>
    <xf numFmtId="0" fontId="28" fillId="0" borderId="0" xfId="51" applyFont="1"/>
    <xf numFmtId="0" fontId="18" fillId="44" borderId="0" xfId="44" applyFont="1" applyFill="1"/>
    <xf numFmtId="0" fontId="18" fillId="40" borderId="0" xfId="44" applyFont="1" applyFill="1"/>
    <xf numFmtId="0" fontId="29" fillId="40" borderId="0" xfId="44" applyFont="1" applyFill="1"/>
    <xf numFmtId="0" fontId="18" fillId="45" borderId="0" xfId="44" applyFont="1" applyFill="1"/>
    <xf numFmtId="0" fontId="30" fillId="45" borderId="0" xfId="44" applyFont="1" applyFill="1"/>
    <xf numFmtId="0" fontId="30" fillId="35" borderId="0" xfId="44" applyFont="1" applyFill="1"/>
    <xf numFmtId="0" fontId="30" fillId="41" borderId="0" xfId="44" applyFont="1" applyFill="1"/>
    <xf numFmtId="0" fontId="30" fillId="46" borderId="0" xfId="44" applyFont="1" applyFill="1"/>
    <xf numFmtId="0" fontId="30" fillId="47" borderId="0" xfId="44" applyFont="1" applyFill="1"/>
    <xf numFmtId="0" fontId="30" fillId="42" borderId="0" xfId="44" applyFont="1" applyFill="1"/>
    <xf numFmtId="14" fontId="28" fillId="0" borderId="0" xfId="51" applyNumberFormat="1" applyFont="1"/>
    <xf numFmtId="169" fontId="23" fillId="0" borderId="0" xfId="51" applyNumberFormat="1"/>
    <xf numFmtId="2" fontId="23" fillId="0" borderId="0" xfId="51" applyNumberFormat="1"/>
    <xf numFmtId="0" fontId="28" fillId="0" borderId="0" xfId="45" applyFont="1"/>
    <xf numFmtId="0" fontId="18" fillId="0" borderId="0" xfId="45"/>
    <xf numFmtId="0" fontId="31" fillId="0" borderId="0" xfId="45" applyFont="1"/>
    <xf numFmtId="0" fontId="32" fillId="0" borderId="0" xfId="45" applyFont="1"/>
    <xf numFmtId="0" fontId="18" fillId="0" borderId="53" xfId="45" applyBorder="1"/>
    <xf numFmtId="0" fontId="18" fillId="0" borderId="54" xfId="45" applyBorder="1"/>
    <xf numFmtId="0" fontId="18" fillId="0" borderId="55" xfId="45" applyBorder="1"/>
    <xf numFmtId="170" fontId="23" fillId="0" borderId="0" xfId="51" applyNumberFormat="1"/>
    <xf numFmtId="0" fontId="18" fillId="0" borderId="56" xfId="45" applyBorder="1"/>
    <xf numFmtId="0" fontId="18" fillId="0" borderId="0" xfId="45" applyBorder="1" applyAlignment="1">
      <alignment horizontal="right"/>
    </xf>
    <xf numFmtId="0" fontId="18" fillId="0" borderId="0" xfId="45" applyBorder="1"/>
    <xf numFmtId="0" fontId="18" fillId="0" borderId="57" xfId="45" applyBorder="1"/>
    <xf numFmtId="0" fontId="33" fillId="0" borderId="57" xfId="45" applyFont="1" applyBorder="1" applyAlignment="1">
      <alignment horizontal="center"/>
    </xf>
    <xf numFmtId="169" fontId="18" fillId="0" borderId="57" xfId="45" applyNumberFormat="1" applyBorder="1" applyAlignment="1">
      <alignment horizontal="center"/>
    </xf>
    <xf numFmtId="0" fontId="18" fillId="0" borderId="57" xfId="45" applyBorder="1" applyAlignment="1">
      <alignment horizontal="center"/>
    </xf>
    <xf numFmtId="0" fontId="28" fillId="34" borderId="0" xfId="45" applyFont="1" applyFill="1" applyBorder="1" applyAlignment="1">
      <alignment horizontal="right"/>
    </xf>
    <xf numFmtId="10" fontId="28" fillId="34" borderId="57" xfId="46" applyNumberFormat="1" applyFont="1" applyFill="1" applyBorder="1" applyAlignment="1">
      <alignment horizontal="center"/>
    </xf>
    <xf numFmtId="0" fontId="18" fillId="0" borderId="58" xfId="45" applyBorder="1"/>
    <xf numFmtId="0" fontId="18" fillId="0" borderId="10" xfId="45" applyBorder="1"/>
    <xf numFmtId="0" fontId="18" fillId="0" borderId="59" xfId="45" applyBorder="1"/>
    <xf numFmtId="0" fontId="28" fillId="0" borderId="0" xfId="43" applyFont="1"/>
    <xf numFmtId="169" fontId="18" fillId="0" borderId="0" xfId="45" applyNumberFormat="1" applyBorder="1"/>
    <xf numFmtId="10" fontId="0" fillId="0" borderId="0" xfId="1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47" xfId="0" applyNumberFormat="1" applyBorder="1"/>
    <xf numFmtId="0" fontId="0" fillId="0" borderId="0" xfId="0" applyAlignment="1">
      <alignment wrapText="1"/>
    </xf>
    <xf numFmtId="9" fontId="17" fillId="0" borderId="0" xfId="1" applyFont="1"/>
    <xf numFmtId="0" fontId="0" fillId="38" borderId="23" xfId="0" applyFill="1" applyBorder="1"/>
    <xf numFmtId="0" fontId="0" fillId="38" borderId="41" xfId="0" applyFill="1" applyBorder="1"/>
    <xf numFmtId="0" fontId="0" fillId="38" borderId="19" xfId="0" applyFill="1" applyBorder="1"/>
    <xf numFmtId="0" fontId="0" fillId="38" borderId="19" xfId="0" applyFill="1" applyBorder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17" xfId="0" applyFill="1" applyBorder="1" applyAlignment="1">
      <alignment horizontal="center"/>
    </xf>
    <xf numFmtId="0" fontId="0" fillId="38" borderId="36" xfId="0" applyFill="1" applyBorder="1" applyAlignment="1">
      <alignment horizontal="center"/>
    </xf>
    <xf numFmtId="9" fontId="0" fillId="0" borderId="0" xfId="0" applyNumberFormat="1"/>
    <xf numFmtId="0" fontId="0" fillId="0" borderId="48" xfId="0" applyFill="1" applyBorder="1"/>
    <xf numFmtId="9" fontId="0" fillId="0" borderId="49" xfId="0" applyNumberFormat="1" applyFill="1" applyBorder="1"/>
    <xf numFmtId="0" fontId="0" fillId="0" borderId="22" xfId="0" applyFill="1" applyBorder="1"/>
    <xf numFmtId="0" fontId="0" fillId="0" borderId="11" xfId="0" applyFill="1" applyBorder="1"/>
    <xf numFmtId="0" fontId="0" fillId="0" borderId="0" xfId="0" applyBorder="1" applyAlignment="1">
      <alignment horizontal="left"/>
    </xf>
    <xf numFmtId="164" fontId="0" fillId="0" borderId="0" xfId="49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164" fontId="22" fillId="34" borderId="0" xfId="0" applyNumberFormat="1" applyFont="1" applyFill="1" applyBorder="1" applyAlignment="1">
      <alignment horizontal="center"/>
    </xf>
    <xf numFmtId="14" fontId="28" fillId="0" borderId="0" xfId="43" applyNumberFormat="1" applyFont="1"/>
    <xf numFmtId="0" fontId="31" fillId="0" borderId="0" xfId="51" applyFont="1"/>
    <xf numFmtId="164" fontId="22" fillId="0" borderId="0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14" fontId="34" fillId="0" borderId="0" xfId="0" applyNumberFormat="1" applyFont="1" applyAlignment="1">
      <alignment horizontal="left"/>
    </xf>
    <xf numFmtId="0" fontId="16" fillId="34" borderId="28" xfId="0" applyFont="1" applyFill="1" applyBorder="1" applyAlignment="1">
      <alignment horizontal="center"/>
    </xf>
    <xf numFmtId="164" fontId="16" fillId="34" borderId="0" xfId="49" applyNumberFormat="1" applyFont="1" applyFill="1"/>
    <xf numFmtId="164" fontId="0" fillId="48" borderId="0" xfId="49" applyNumberFormat="1" applyFont="1" applyFill="1"/>
    <xf numFmtId="164" fontId="22" fillId="0" borderId="0" xfId="49" applyNumberFormat="1" applyFont="1" applyBorder="1" applyAlignment="1">
      <alignment horizontal="center"/>
    </xf>
    <xf numFmtId="164" fontId="22" fillId="0" borderId="15" xfId="49" applyNumberFormat="1" applyFont="1" applyBorder="1" applyAlignment="1">
      <alignment horizontal="center"/>
    </xf>
    <xf numFmtId="164" fontId="22" fillId="0" borderId="11" xfId="49" applyNumberFormat="1" applyFont="1" applyBorder="1" applyAlignment="1">
      <alignment horizontal="center"/>
    </xf>
    <xf numFmtId="172" fontId="0" fillId="0" borderId="0" xfId="0" applyNumberFormat="1" applyBorder="1" applyAlignment="1">
      <alignment horizontal="center"/>
    </xf>
    <xf numFmtId="2" fontId="0" fillId="0" borderId="11" xfId="0" applyNumberFormat="1" applyBorder="1"/>
    <xf numFmtId="0" fontId="0" fillId="0" borderId="60" xfId="0" applyFill="1" applyBorder="1"/>
    <xf numFmtId="164" fontId="0" fillId="0" borderId="61" xfId="49" applyNumberFormat="1" applyFont="1" applyBorder="1"/>
    <xf numFmtId="44" fontId="0" fillId="0" borderId="61" xfId="49" applyNumberFormat="1" applyFont="1" applyBorder="1"/>
    <xf numFmtId="0" fontId="0" fillId="0" borderId="61" xfId="0" applyBorder="1"/>
    <xf numFmtId="1" fontId="0" fillId="0" borderId="61" xfId="0" applyNumberFormat="1" applyBorder="1"/>
    <xf numFmtId="2" fontId="0" fillId="0" borderId="61" xfId="0" applyNumberFormat="1" applyBorder="1"/>
    <xf numFmtId="1" fontId="0" fillId="0" borderId="62" xfId="0" applyNumberFormat="1" applyBorder="1"/>
    <xf numFmtId="44" fontId="22" fillId="34" borderId="0" xfId="0" applyNumberFormat="1" applyFont="1" applyFill="1" applyBorder="1" applyAlignment="1">
      <alignment horizontal="center"/>
    </xf>
    <xf numFmtId="173" fontId="0" fillId="0" borderId="61" xfId="49" applyNumberFormat="1" applyFont="1" applyBorder="1"/>
    <xf numFmtId="171" fontId="0" fillId="0" borderId="0" xfId="0" applyNumberFormat="1"/>
    <xf numFmtId="164" fontId="22" fillId="0" borderId="38" xfId="49" applyNumberFormat="1" applyFont="1" applyBorder="1" applyAlignment="1">
      <alignment horizontal="center"/>
    </xf>
    <xf numFmtId="0" fontId="16" fillId="0" borderId="24" xfId="0" applyFont="1" applyBorder="1"/>
    <xf numFmtId="0" fontId="16" fillId="0" borderId="63" xfId="0" applyFont="1" applyBorder="1"/>
    <xf numFmtId="0" fontId="16" fillId="0" borderId="63" xfId="0" applyFont="1" applyBorder="1" applyAlignment="1">
      <alignment wrapText="1"/>
    </xf>
    <xf numFmtId="166" fontId="0" fillId="0" borderId="45" xfId="0" applyNumberFormat="1" applyBorder="1"/>
    <xf numFmtId="164" fontId="0" fillId="0" borderId="16" xfId="49" applyNumberFormat="1" applyFont="1" applyFill="1" applyBorder="1"/>
    <xf numFmtId="0" fontId="16" fillId="0" borderId="20" xfId="0" applyFont="1" applyBorder="1"/>
    <xf numFmtId="0" fontId="0" fillId="0" borderId="14" xfId="0" applyBorder="1"/>
    <xf numFmtId="0" fontId="16" fillId="0" borderId="28" xfId="0" applyFont="1" applyBorder="1"/>
    <xf numFmtId="10" fontId="0" fillId="0" borderId="63" xfId="1" applyNumberFormat="1" applyFont="1" applyBorder="1"/>
    <xf numFmtId="168" fontId="0" fillId="0" borderId="63" xfId="0" applyNumberFormat="1" applyBorder="1"/>
    <xf numFmtId="0" fontId="16" fillId="0" borderId="67" xfId="0" applyFont="1" applyBorder="1"/>
    <xf numFmtId="0" fontId="16" fillId="0" borderId="44" xfId="0" applyFont="1" applyBorder="1"/>
    <xf numFmtId="0" fontId="16" fillId="0" borderId="45" xfId="0" applyFont="1" applyFill="1" applyBorder="1" applyAlignment="1">
      <alignment wrapText="1"/>
    </xf>
    <xf numFmtId="0" fontId="16" fillId="0" borderId="45" xfId="0" applyFont="1" applyFill="1" applyBorder="1"/>
    <xf numFmtId="0" fontId="16" fillId="0" borderId="28" xfId="0" applyFont="1" applyBorder="1" applyAlignment="1">
      <alignment horizontal="center"/>
    </xf>
    <xf numFmtId="0" fontId="16" fillId="0" borderId="45" xfId="0" applyFont="1" applyBorder="1"/>
    <xf numFmtId="164" fontId="22" fillId="0" borderId="15" xfId="49" applyNumberFormat="1" applyFont="1" applyFill="1" applyBorder="1"/>
    <xf numFmtId="10" fontId="36" fillId="50" borderId="23" xfId="0" applyNumberFormat="1" applyFont="1" applyFill="1" applyBorder="1" applyAlignment="1">
      <alignment horizontal="center" vertical="center"/>
    </xf>
    <xf numFmtId="10" fontId="36" fillId="50" borderId="41" xfId="0" applyNumberFormat="1" applyFont="1" applyFill="1" applyBorder="1" applyAlignment="1">
      <alignment horizontal="center" vertical="center"/>
    </xf>
    <xf numFmtId="3" fontId="36" fillId="50" borderId="41" xfId="0" applyNumberFormat="1" applyFont="1" applyFill="1" applyBorder="1" applyAlignment="1">
      <alignment horizontal="center" vertical="center"/>
    </xf>
    <xf numFmtId="0" fontId="36" fillId="50" borderId="19" xfId="0" applyFont="1" applyFill="1" applyBorder="1" applyAlignment="1">
      <alignment horizontal="center" vertical="center"/>
    </xf>
    <xf numFmtId="0" fontId="36" fillId="50" borderId="37" xfId="0" applyFont="1" applyFill="1" applyBorder="1" applyAlignment="1">
      <alignment horizontal="center" vertical="center"/>
    </xf>
    <xf numFmtId="10" fontId="36" fillId="50" borderId="36" xfId="0" applyNumberFormat="1" applyFont="1" applyFill="1" applyBorder="1" applyAlignment="1">
      <alignment horizontal="center" vertical="center"/>
    </xf>
    <xf numFmtId="0" fontId="37" fillId="0" borderId="68" xfId="0" applyFont="1" applyFill="1" applyBorder="1" applyAlignment="1">
      <alignment vertical="center" wrapText="1"/>
    </xf>
    <xf numFmtId="166" fontId="36" fillId="0" borderId="69" xfId="0" applyNumberFormat="1" applyFont="1" applyFill="1" applyBorder="1" applyAlignment="1">
      <alignment vertical="center" wrapText="1"/>
    </xf>
    <xf numFmtId="0" fontId="38" fillId="0" borderId="12" xfId="0" applyFont="1" applyBorder="1" applyAlignment="1">
      <alignment vertical="center" readingOrder="1"/>
    </xf>
    <xf numFmtId="0" fontId="36" fillId="0" borderId="13" xfId="0" applyFont="1" applyBorder="1" applyAlignment="1">
      <alignment vertical="center"/>
    </xf>
    <xf numFmtId="0" fontId="36" fillId="0" borderId="13" xfId="0" applyFont="1" applyFill="1" applyBorder="1" applyAlignment="1">
      <alignment vertical="center"/>
    </xf>
    <xf numFmtId="0" fontId="36" fillId="0" borderId="14" xfId="0" applyFont="1" applyFill="1" applyBorder="1" applyAlignment="1">
      <alignment vertical="center"/>
    </xf>
    <xf numFmtId="0" fontId="37" fillId="0" borderId="65" xfId="0" applyFont="1" applyFill="1" applyBorder="1" applyAlignment="1">
      <alignment vertical="center" wrapText="1"/>
    </xf>
    <xf numFmtId="166" fontId="36" fillId="0" borderId="66" xfId="0" applyNumberFormat="1" applyFont="1" applyFill="1" applyBorder="1" applyAlignment="1">
      <alignment vertical="center" wrapText="1"/>
    </xf>
    <xf numFmtId="0" fontId="36" fillId="0" borderId="11" xfId="0" applyFont="1" applyFill="1" applyBorder="1" applyAlignment="1">
      <alignment vertical="center"/>
    </xf>
    <xf numFmtId="0" fontId="36" fillId="0" borderId="18" xfId="0" applyFont="1" applyFill="1" applyBorder="1" applyAlignment="1">
      <alignment vertical="center"/>
    </xf>
    <xf numFmtId="10" fontId="36" fillId="50" borderId="37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vertical="center" readingOrder="1"/>
    </xf>
    <xf numFmtId="0" fontId="16" fillId="0" borderId="67" xfId="0" applyFont="1" applyFill="1" applyBorder="1"/>
    <xf numFmtId="166" fontId="0" fillId="0" borderId="20" xfId="0" applyNumberFormat="1" applyBorder="1"/>
    <xf numFmtId="10" fontId="0" fillId="0" borderId="20" xfId="1" applyNumberFormat="1" applyFont="1" applyBorder="1"/>
    <xf numFmtId="10" fontId="0" fillId="0" borderId="67" xfId="1" applyNumberFormat="1" applyFont="1" applyBorder="1"/>
    <xf numFmtId="166" fontId="0" fillId="0" borderId="67" xfId="0" applyNumberFormat="1" applyBorder="1"/>
    <xf numFmtId="166" fontId="0" fillId="0" borderId="44" xfId="0" applyNumberFormat="1" applyBorder="1"/>
    <xf numFmtId="0" fontId="0" fillId="0" borderId="12" xfId="0" applyBorder="1" applyAlignment="1">
      <alignment horizontal="left"/>
    </xf>
    <xf numFmtId="164" fontId="0" fillId="0" borderId="12" xfId="49" applyNumberFormat="1" applyFont="1" applyBorder="1" applyAlignment="1">
      <alignment horizontal="left"/>
    </xf>
    <xf numFmtId="10" fontId="14" fillId="0" borderId="28" xfId="0" applyNumberFormat="1" applyFont="1" applyBorder="1"/>
    <xf numFmtId="164" fontId="0" fillId="0" borderId="23" xfId="49" applyNumberFormat="1" applyFont="1" applyBorder="1" applyAlignment="1">
      <alignment horizontal="left"/>
    </xf>
    <xf numFmtId="164" fontId="40" fillId="51" borderId="68" xfId="49" applyNumberFormat="1" applyFont="1" applyFill="1" applyBorder="1"/>
    <xf numFmtId="0" fontId="14" fillId="0" borderId="13" xfId="0" applyFont="1" applyBorder="1"/>
    <xf numFmtId="166" fontId="36" fillId="0" borderId="70" xfId="0" applyNumberFormat="1" applyFont="1" applyFill="1" applyBorder="1" applyAlignment="1">
      <alignment vertical="center" wrapText="1"/>
    </xf>
    <xf numFmtId="10" fontId="41" fillId="50" borderId="41" xfId="0" applyNumberFormat="1" applyFont="1" applyFill="1" applyBorder="1" applyAlignment="1">
      <alignment horizontal="center" vertical="center"/>
    </xf>
    <xf numFmtId="0" fontId="41" fillId="50" borderId="36" xfId="0" applyFont="1" applyFill="1" applyBorder="1" applyAlignment="1">
      <alignment horizontal="center" vertical="center"/>
    </xf>
    <xf numFmtId="10" fontId="41" fillId="50" borderId="23" xfId="0" applyNumberFormat="1" applyFont="1" applyFill="1" applyBorder="1" applyAlignment="1">
      <alignment horizontal="center" vertical="center"/>
    </xf>
    <xf numFmtId="0" fontId="41" fillId="50" borderId="19" xfId="0" applyFont="1" applyFill="1" applyBorder="1" applyAlignment="1">
      <alignment horizontal="center" vertical="center"/>
    </xf>
    <xf numFmtId="0" fontId="39" fillId="0" borderId="0" xfId="0" applyFont="1"/>
    <xf numFmtId="0" fontId="39" fillId="0" borderId="19" xfId="0" applyFont="1" applyFill="1" applyBorder="1"/>
    <xf numFmtId="10" fontId="39" fillId="0" borderId="0" xfId="0" applyNumberFormat="1" applyFont="1" applyBorder="1"/>
    <xf numFmtId="9" fontId="39" fillId="0" borderId="0" xfId="0" applyNumberFormat="1" applyFont="1" applyBorder="1"/>
    <xf numFmtId="164" fontId="39" fillId="0" borderId="17" xfId="49" applyNumberFormat="1" applyFont="1" applyBorder="1"/>
    <xf numFmtId="44" fontId="39" fillId="0" borderId="0" xfId="49" applyNumberFormat="1" applyFont="1" applyFill="1" applyBorder="1"/>
    <xf numFmtId="164" fontId="39" fillId="0" borderId="0" xfId="49" applyNumberFormat="1" applyFont="1" applyFill="1" applyBorder="1"/>
    <xf numFmtId="9" fontId="39" fillId="0" borderId="0" xfId="0" applyNumberFormat="1" applyFont="1"/>
    <xf numFmtId="166" fontId="39" fillId="0" borderId="0" xfId="0" applyNumberFormat="1" applyFont="1"/>
    <xf numFmtId="0" fontId="36" fillId="50" borderId="19" xfId="0" applyFont="1" applyFill="1" applyBorder="1" applyAlignment="1">
      <alignment horizontal="center" vertical="center"/>
    </xf>
    <xf numFmtId="0" fontId="24" fillId="43" borderId="15" xfId="54" applyFont="1" applyFill="1" applyBorder="1"/>
    <xf numFmtId="0" fontId="25" fillId="43" borderId="16" xfId="54" applyFont="1" applyFill="1" applyBorder="1"/>
    <xf numFmtId="0" fontId="42" fillId="0" borderId="0" xfId="54"/>
    <xf numFmtId="0" fontId="25" fillId="43" borderId="0" xfId="54" applyFont="1" applyFill="1" applyBorder="1"/>
    <xf numFmtId="0" fontId="28" fillId="43" borderId="17" xfId="54" applyFont="1" applyFill="1" applyBorder="1"/>
    <xf numFmtId="0" fontId="27" fillId="43" borderId="11" xfId="54" applyFont="1" applyFill="1" applyBorder="1"/>
    <xf numFmtId="0" fontId="28" fillId="43" borderId="18" xfId="54" applyFont="1" applyFill="1" applyBorder="1"/>
    <xf numFmtId="0" fontId="28" fillId="0" borderId="0" xfId="54" applyFont="1"/>
    <xf numFmtId="0" fontId="30" fillId="52" borderId="0" xfId="44" applyFont="1" applyFill="1"/>
    <xf numFmtId="0" fontId="30" fillId="53" borderId="0" xfId="44" applyFont="1" applyFill="1"/>
    <xf numFmtId="14" fontId="28" fillId="0" borderId="0" xfId="54" applyNumberFormat="1" applyFont="1"/>
    <xf numFmtId="169" fontId="42" fillId="0" borderId="0" xfId="54" applyNumberFormat="1"/>
    <xf numFmtId="169" fontId="42" fillId="0" borderId="0" xfId="54" applyNumberFormat="1" applyAlignment="1">
      <alignment horizontal="left"/>
    </xf>
    <xf numFmtId="14" fontId="28" fillId="0" borderId="0" xfId="54" applyNumberFormat="1" applyFont="1" applyAlignment="1">
      <alignment horizontal="right"/>
    </xf>
    <xf numFmtId="10" fontId="22" fillId="0" borderId="64" xfId="1" applyNumberFormat="1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0" fontId="36" fillId="50" borderId="37" xfId="0" applyFont="1" applyFill="1" applyBorder="1" applyAlignment="1">
      <alignment horizontal="center" vertical="center"/>
    </xf>
    <xf numFmtId="0" fontId="36" fillId="50" borderId="22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vertical="center" readingOrder="1"/>
    </xf>
    <xf numFmtId="166" fontId="37" fillId="0" borderId="69" xfId="0" applyNumberFormat="1" applyFont="1" applyFill="1" applyBorder="1" applyAlignment="1">
      <alignment vertical="center" wrapText="1"/>
    </xf>
    <xf numFmtId="0" fontId="43" fillId="0" borderId="13" xfId="0" applyFont="1" applyFill="1" applyBorder="1" applyAlignment="1">
      <alignment vertical="center" readingOrder="1"/>
    </xf>
    <xf numFmtId="0" fontId="37" fillId="0" borderId="13" xfId="0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3" fontId="36" fillId="50" borderId="23" xfId="0" applyNumberFormat="1" applyFont="1" applyFill="1" applyBorder="1" applyAlignment="1">
      <alignment horizontal="center" vertical="center"/>
    </xf>
    <xf numFmtId="10" fontId="36" fillId="50" borderId="19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 wrapText="1"/>
    </xf>
    <xf numFmtId="166" fontId="37" fillId="0" borderId="13" xfId="0" applyNumberFormat="1" applyFont="1" applyFill="1" applyBorder="1" applyAlignment="1">
      <alignment horizontal="center" vertical="center" wrapText="1"/>
    </xf>
    <xf numFmtId="166" fontId="36" fillId="0" borderId="13" xfId="0" applyNumberFormat="1" applyFont="1" applyFill="1" applyBorder="1" applyAlignment="1">
      <alignment horizontal="center" vertical="center" wrapText="1"/>
    </xf>
    <xf numFmtId="166" fontId="36" fillId="0" borderId="71" xfId="0" applyNumberFormat="1" applyFont="1" applyFill="1" applyBorder="1" applyAlignment="1">
      <alignment vertical="center" wrapText="1"/>
    </xf>
    <xf numFmtId="166" fontId="37" fillId="0" borderId="70" xfId="0" applyNumberFormat="1" applyFont="1" applyFill="1" applyBorder="1" applyAlignment="1">
      <alignment vertical="center" wrapText="1"/>
    </xf>
    <xf numFmtId="166" fontId="37" fillId="0" borderId="28" xfId="0" applyNumberFormat="1" applyFont="1" applyFill="1" applyBorder="1" applyAlignment="1">
      <alignment horizontal="center" vertical="center" wrapText="1"/>
    </xf>
    <xf numFmtId="168" fontId="36" fillId="34" borderId="13" xfId="0" applyNumberFormat="1" applyFont="1" applyFill="1" applyBorder="1" applyAlignment="1">
      <alignment horizontal="center" vertical="center" wrapText="1"/>
    </xf>
    <xf numFmtId="168" fontId="37" fillId="34" borderId="72" xfId="0" applyNumberFormat="1" applyFont="1" applyFill="1" applyBorder="1" applyAlignment="1">
      <alignment horizontal="center" vertical="center" wrapText="1"/>
    </xf>
    <xf numFmtId="168" fontId="36" fillId="34" borderId="72" xfId="0" applyNumberFormat="1" applyFont="1" applyFill="1" applyBorder="1" applyAlignment="1">
      <alignment horizontal="center" vertical="center" wrapText="1"/>
    </xf>
    <xf numFmtId="43" fontId="0" fillId="0" borderId="0" xfId="50" applyFont="1" applyFill="1" applyBorder="1"/>
    <xf numFmtId="43" fontId="0" fillId="0" borderId="0" xfId="50" applyFont="1" applyFill="1" applyBorder="1" applyAlignment="1">
      <alignment horizontal="right"/>
    </xf>
    <xf numFmtId="164" fontId="16" fillId="0" borderId="0" xfId="0" applyNumberFormat="1" applyFont="1" applyFill="1" applyBorder="1"/>
    <xf numFmtId="0" fontId="17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5" fontId="17" fillId="0" borderId="0" xfId="50" applyNumberFormat="1" applyFont="1" applyFill="1" applyBorder="1" applyAlignment="1">
      <alignment horizontal="center"/>
    </xf>
    <xf numFmtId="165" fontId="13" fillId="0" borderId="0" xfId="5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64" fontId="17" fillId="0" borderId="0" xfId="49" applyNumberFormat="1" applyFont="1" applyFill="1" applyBorder="1"/>
    <xf numFmtId="43" fontId="17" fillId="0" borderId="0" xfId="50" applyFont="1" applyFill="1" applyBorder="1"/>
    <xf numFmtId="43" fontId="17" fillId="0" borderId="0" xfId="50" applyFont="1" applyFill="1" applyBorder="1" applyAlignment="1">
      <alignment horizontal="right"/>
    </xf>
    <xf numFmtId="164" fontId="17" fillId="0" borderId="0" xfId="49" applyNumberFormat="1" applyFont="1" applyFill="1" applyBorder="1" applyAlignment="1">
      <alignment horizontal="right"/>
    </xf>
    <xf numFmtId="44" fontId="17" fillId="0" borderId="0" xfId="49" applyNumberFormat="1" applyFont="1" applyFill="1" applyBorder="1"/>
    <xf numFmtId="44" fontId="13" fillId="0" borderId="0" xfId="49" applyNumberFormat="1" applyFont="1" applyFill="1" applyBorder="1"/>
    <xf numFmtId="164" fontId="13" fillId="0" borderId="0" xfId="49" applyNumberFormat="1" applyFont="1" applyFill="1" applyBorder="1"/>
    <xf numFmtId="44" fontId="17" fillId="0" borderId="0" xfId="0" applyNumberFormat="1" applyFont="1" applyFill="1" applyBorder="1"/>
    <xf numFmtId="164" fontId="13" fillId="0" borderId="0" xfId="0" applyNumberFormat="1" applyFont="1" applyFill="1" applyBorder="1"/>
    <xf numFmtId="164" fontId="16" fillId="34" borderId="14" xfId="0" applyNumberFormat="1" applyFont="1" applyFill="1" applyBorder="1"/>
    <xf numFmtId="0" fontId="16" fillId="49" borderId="12" xfId="0" applyFont="1" applyFill="1" applyBorder="1" applyAlignment="1">
      <alignment horizontal="center"/>
    </xf>
    <xf numFmtId="0" fontId="16" fillId="49" borderId="13" xfId="0" applyFont="1" applyFill="1" applyBorder="1" applyAlignment="1">
      <alignment horizontal="center"/>
    </xf>
    <xf numFmtId="0" fontId="16" fillId="49" borderId="14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33" borderId="23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16" fillId="33" borderId="12" xfId="0" applyFont="1" applyFill="1" applyBorder="1" applyAlignment="1">
      <alignment horizontal="center" vertical="top" wrapText="1"/>
    </xf>
    <xf numFmtId="0" fontId="16" fillId="33" borderId="13" xfId="0" applyFont="1" applyFill="1" applyBorder="1" applyAlignment="1">
      <alignment horizontal="center" vertical="top"/>
    </xf>
    <xf numFmtId="0" fontId="16" fillId="33" borderId="14" xfId="0" applyFont="1" applyFill="1" applyBorder="1" applyAlignment="1">
      <alignment horizontal="center" vertical="top"/>
    </xf>
    <xf numFmtId="0" fontId="0" fillId="38" borderId="23" xfId="0" applyFill="1" applyBorder="1" applyAlignment="1">
      <alignment horizontal="center"/>
    </xf>
    <xf numFmtId="0" fontId="0" fillId="38" borderId="15" xfId="0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16" fillId="38" borderId="12" xfId="0" applyFont="1" applyFill="1" applyBorder="1" applyAlignment="1">
      <alignment horizontal="center" vertical="top" wrapText="1"/>
    </xf>
    <xf numFmtId="0" fontId="16" fillId="38" borderId="13" xfId="0" applyFont="1" applyFill="1" applyBorder="1" applyAlignment="1">
      <alignment horizontal="center" vertical="top"/>
    </xf>
    <xf numFmtId="0" fontId="16" fillId="38" borderId="14" xfId="0" applyFont="1" applyFill="1" applyBorder="1" applyAlignment="1">
      <alignment horizontal="center" vertical="top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4" fillId="43" borderId="15" xfId="51" applyFont="1" applyFill="1" applyBorder="1" applyAlignment="1">
      <alignment horizontal="left"/>
    </xf>
    <xf numFmtId="0" fontId="24" fillId="43" borderId="16" xfId="51" applyFont="1" applyFill="1" applyBorder="1" applyAlignment="1">
      <alignment horizontal="left"/>
    </xf>
    <xf numFmtId="0" fontId="25" fillId="43" borderId="0" xfId="51" applyFont="1" applyFill="1" applyBorder="1" applyAlignment="1">
      <alignment horizontal="left"/>
    </xf>
    <xf numFmtId="0" fontId="25" fillId="43" borderId="17" xfId="51" applyFont="1" applyFill="1" applyBorder="1" applyAlignment="1">
      <alignment horizontal="left"/>
    </xf>
    <xf numFmtId="0" fontId="27" fillId="43" borderId="11" xfId="51" applyFont="1" applyFill="1" applyBorder="1" applyAlignment="1">
      <alignment horizontal="left"/>
    </xf>
    <xf numFmtId="0" fontId="27" fillId="43" borderId="18" xfId="51" applyFont="1" applyFill="1" applyBorder="1" applyAlignment="1">
      <alignment horizontal="left"/>
    </xf>
    <xf numFmtId="0" fontId="36" fillId="50" borderId="41" xfId="0" applyFont="1" applyFill="1" applyBorder="1" applyAlignment="1">
      <alignment horizontal="center" vertical="center"/>
    </xf>
    <xf numFmtId="0" fontId="36" fillId="50" borderId="37" xfId="0" applyFont="1" applyFill="1" applyBorder="1" applyAlignment="1">
      <alignment horizontal="center" vertical="center"/>
    </xf>
    <xf numFmtId="0" fontId="36" fillId="50" borderId="36" xfId="0" applyFont="1" applyFill="1" applyBorder="1" applyAlignment="1">
      <alignment horizontal="center" vertical="center"/>
    </xf>
    <xf numFmtId="0" fontId="36" fillId="50" borderId="23" xfId="0" applyFont="1" applyFill="1" applyBorder="1" applyAlignment="1">
      <alignment horizontal="center" vertical="center"/>
    </xf>
    <xf numFmtId="0" fontId="36" fillId="50" borderId="15" xfId="0" applyFont="1" applyFill="1" applyBorder="1" applyAlignment="1">
      <alignment horizontal="center" vertical="center"/>
    </xf>
    <xf numFmtId="0" fontId="36" fillId="50" borderId="16" xfId="0" applyFont="1" applyFill="1" applyBorder="1" applyAlignment="1">
      <alignment horizontal="center" vertical="center"/>
    </xf>
    <xf numFmtId="0" fontId="36" fillId="50" borderId="22" xfId="0" applyFont="1" applyFill="1" applyBorder="1" applyAlignment="1">
      <alignment horizontal="center" vertical="center"/>
    </xf>
    <xf numFmtId="0" fontId="36" fillId="50" borderId="11" xfId="0" applyFont="1" applyFill="1" applyBorder="1" applyAlignment="1">
      <alignment horizontal="center" vertical="center"/>
    </xf>
    <xf numFmtId="0" fontId="36" fillId="50" borderId="18" xfId="0" applyFont="1" applyFill="1" applyBorder="1" applyAlignment="1">
      <alignment horizontal="center" vertical="center"/>
    </xf>
    <xf numFmtId="0" fontId="36" fillId="50" borderId="19" xfId="0" applyFont="1" applyFill="1" applyBorder="1" applyAlignment="1">
      <alignment horizontal="center" vertical="center"/>
    </xf>
    <xf numFmtId="0" fontId="36" fillId="50" borderId="0" xfId="0" applyFont="1" applyFill="1" applyBorder="1" applyAlignment="1">
      <alignment horizontal="center" vertical="center"/>
    </xf>
    <xf numFmtId="0" fontId="36" fillId="50" borderId="17" xfId="0" applyFont="1" applyFill="1" applyBorder="1" applyAlignment="1">
      <alignment horizontal="center" vertical="center"/>
    </xf>
  </cellXfs>
  <cellStyles count="5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50" builtinId="3"/>
    <cellStyle name="Currency" xfId="49" builtinId="4"/>
    <cellStyle name="Currency 10" xfId="47"/>
    <cellStyle name="Currency 4" xfId="48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2 2" xfId="53"/>
    <cellStyle name="Normal 3" xfId="51"/>
    <cellStyle name="Normal 4" xfId="45"/>
    <cellStyle name="Normal 4 2" xfId="52"/>
    <cellStyle name="Normal 5" xfId="54"/>
    <cellStyle name="Normal 6 2" xfId="44"/>
    <cellStyle name="Note" xfId="16" builtinId="10" customBuiltin="1"/>
    <cellStyle name="Output" xfId="11" builtinId="21" customBuiltin="1"/>
    <cellStyle name="Percent" xfId="1" builtinId="5"/>
    <cellStyle name="Percent 2" xfId="46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8"/>
  <sheetViews>
    <sheetView showGridLines="0" showRowColHeaders="0" tabSelected="1" topLeftCell="BE1" workbookViewId="0">
      <selection activeCell="BN31" sqref="BN31"/>
    </sheetView>
  </sheetViews>
  <sheetFormatPr defaultRowHeight="12.75" x14ac:dyDescent="0.2"/>
  <cols>
    <col min="1" max="1" width="38.42578125" style="279" customWidth="1"/>
    <col min="2" max="2" width="12.85546875" style="284" customWidth="1"/>
    <col min="3" max="58" width="7.7109375" style="279" customWidth="1"/>
    <col min="59" max="59" width="13" style="279" customWidth="1"/>
    <col min="60" max="60" width="8.42578125" style="279" customWidth="1"/>
    <col min="61" max="61" width="8.140625" style="279" customWidth="1"/>
    <col min="62" max="67" width="8.140625" style="279" bestFit="1" customWidth="1"/>
    <col min="68" max="68" width="7.42578125" style="279" bestFit="1" customWidth="1"/>
    <col min="69" max="69" width="9" style="279" bestFit="1" customWidth="1"/>
    <col min="70" max="82" width="7.7109375" style="279" customWidth="1"/>
    <col min="83" max="256" width="8.85546875" style="279"/>
    <col min="257" max="257" width="38.42578125" style="279" customWidth="1"/>
    <col min="258" max="258" width="12.85546875" style="279" customWidth="1"/>
    <col min="259" max="314" width="7.7109375" style="279" customWidth="1"/>
    <col min="315" max="315" width="13" style="279" customWidth="1"/>
    <col min="316" max="316" width="8.42578125" style="279" customWidth="1"/>
    <col min="317" max="317" width="8.140625" style="279" customWidth="1"/>
    <col min="318" max="323" width="8.140625" style="279" bestFit="1" customWidth="1"/>
    <col min="324" max="324" width="7.42578125" style="279" bestFit="1" customWidth="1"/>
    <col min="325" max="325" width="9" style="279" bestFit="1" customWidth="1"/>
    <col min="326" max="338" width="7.7109375" style="279" customWidth="1"/>
    <col min="339" max="512" width="8.85546875" style="279"/>
    <col min="513" max="513" width="38.42578125" style="279" customWidth="1"/>
    <col min="514" max="514" width="12.85546875" style="279" customWidth="1"/>
    <col min="515" max="570" width="7.7109375" style="279" customWidth="1"/>
    <col min="571" max="571" width="13" style="279" customWidth="1"/>
    <col min="572" max="572" width="8.42578125" style="279" customWidth="1"/>
    <col min="573" max="573" width="8.140625" style="279" customWidth="1"/>
    <col min="574" max="579" width="8.140625" style="279" bestFit="1" customWidth="1"/>
    <col min="580" max="580" width="7.42578125" style="279" bestFit="1" customWidth="1"/>
    <col min="581" max="581" width="9" style="279" bestFit="1" customWidth="1"/>
    <col min="582" max="594" width="7.7109375" style="279" customWidth="1"/>
    <col min="595" max="768" width="8.85546875" style="279"/>
    <col min="769" max="769" width="38.42578125" style="279" customWidth="1"/>
    <col min="770" max="770" width="12.85546875" style="279" customWidth="1"/>
    <col min="771" max="826" width="7.7109375" style="279" customWidth="1"/>
    <col min="827" max="827" width="13" style="279" customWidth="1"/>
    <col min="828" max="828" width="8.42578125" style="279" customWidth="1"/>
    <col min="829" max="829" width="8.140625" style="279" customWidth="1"/>
    <col min="830" max="835" width="8.140625" style="279" bestFit="1" customWidth="1"/>
    <col min="836" max="836" width="7.42578125" style="279" bestFit="1" customWidth="1"/>
    <col min="837" max="837" width="9" style="279" bestFit="1" customWidth="1"/>
    <col min="838" max="850" width="7.7109375" style="279" customWidth="1"/>
    <col min="851" max="1024" width="8.85546875" style="279"/>
    <col min="1025" max="1025" width="38.42578125" style="279" customWidth="1"/>
    <col min="1026" max="1026" width="12.85546875" style="279" customWidth="1"/>
    <col min="1027" max="1082" width="7.7109375" style="279" customWidth="1"/>
    <col min="1083" max="1083" width="13" style="279" customWidth="1"/>
    <col min="1084" max="1084" width="8.42578125" style="279" customWidth="1"/>
    <col min="1085" max="1085" width="8.140625" style="279" customWidth="1"/>
    <col min="1086" max="1091" width="8.140625" style="279" bestFit="1" customWidth="1"/>
    <col min="1092" max="1092" width="7.42578125" style="279" bestFit="1" customWidth="1"/>
    <col min="1093" max="1093" width="9" style="279" bestFit="1" customWidth="1"/>
    <col min="1094" max="1106" width="7.7109375" style="279" customWidth="1"/>
    <col min="1107" max="1280" width="8.85546875" style="279"/>
    <col min="1281" max="1281" width="38.42578125" style="279" customWidth="1"/>
    <col min="1282" max="1282" width="12.85546875" style="279" customWidth="1"/>
    <col min="1283" max="1338" width="7.7109375" style="279" customWidth="1"/>
    <col min="1339" max="1339" width="13" style="279" customWidth="1"/>
    <col min="1340" max="1340" width="8.42578125" style="279" customWidth="1"/>
    <col min="1341" max="1341" width="8.140625" style="279" customWidth="1"/>
    <col min="1342" max="1347" width="8.140625" style="279" bestFit="1" customWidth="1"/>
    <col min="1348" max="1348" width="7.42578125" style="279" bestFit="1" customWidth="1"/>
    <col min="1349" max="1349" width="9" style="279" bestFit="1" customWidth="1"/>
    <col min="1350" max="1362" width="7.7109375" style="279" customWidth="1"/>
    <col min="1363" max="1536" width="8.85546875" style="279"/>
    <col min="1537" max="1537" width="38.42578125" style="279" customWidth="1"/>
    <col min="1538" max="1538" width="12.85546875" style="279" customWidth="1"/>
    <col min="1539" max="1594" width="7.7109375" style="279" customWidth="1"/>
    <col min="1595" max="1595" width="13" style="279" customWidth="1"/>
    <col min="1596" max="1596" width="8.42578125" style="279" customWidth="1"/>
    <col min="1597" max="1597" width="8.140625" style="279" customWidth="1"/>
    <col min="1598" max="1603" width="8.140625" style="279" bestFit="1" customWidth="1"/>
    <col min="1604" max="1604" width="7.42578125" style="279" bestFit="1" customWidth="1"/>
    <col min="1605" max="1605" width="9" style="279" bestFit="1" customWidth="1"/>
    <col min="1606" max="1618" width="7.7109375" style="279" customWidth="1"/>
    <col min="1619" max="1792" width="8.85546875" style="279"/>
    <col min="1793" max="1793" width="38.42578125" style="279" customWidth="1"/>
    <col min="1794" max="1794" width="12.85546875" style="279" customWidth="1"/>
    <col min="1795" max="1850" width="7.7109375" style="279" customWidth="1"/>
    <col min="1851" max="1851" width="13" style="279" customWidth="1"/>
    <col min="1852" max="1852" width="8.42578125" style="279" customWidth="1"/>
    <col min="1853" max="1853" width="8.140625" style="279" customWidth="1"/>
    <col min="1854" max="1859" width="8.140625" style="279" bestFit="1" customWidth="1"/>
    <col min="1860" max="1860" width="7.42578125" style="279" bestFit="1" customWidth="1"/>
    <col min="1861" max="1861" width="9" style="279" bestFit="1" customWidth="1"/>
    <col min="1862" max="1874" width="7.7109375" style="279" customWidth="1"/>
    <col min="1875" max="2048" width="8.85546875" style="279"/>
    <col min="2049" max="2049" width="38.42578125" style="279" customWidth="1"/>
    <col min="2050" max="2050" width="12.85546875" style="279" customWidth="1"/>
    <col min="2051" max="2106" width="7.7109375" style="279" customWidth="1"/>
    <col min="2107" max="2107" width="13" style="279" customWidth="1"/>
    <col min="2108" max="2108" width="8.42578125" style="279" customWidth="1"/>
    <col min="2109" max="2109" width="8.140625" style="279" customWidth="1"/>
    <col min="2110" max="2115" width="8.140625" style="279" bestFit="1" customWidth="1"/>
    <col min="2116" max="2116" width="7.42578125" style="279" bestFit="1" customWidth="1"/>
    <col min="2117" max="2117" width="9" style="279" bestFit="1" customWidth="1"/>
    <col min="2118" max="2130" width="7.7109375" style="279" customWidth="1"/>
    <col min="2131" max="2304" width="8.85546875" style="279"/>
    <col min="2305" max="2305" width="38.42578125" style="279" customWidth="1"/>
    <col min="2306" max="2306" width="12.85546875" style="279" customWidth="1"/>
    <col min="2307" max="2362" width="7.7109375" style="279" customWidth="1"/>
    <col min="2363" max="2363" width="13" style="279" customWidth="1"/>
    <col min="2364" max="2364" width="8.42578125" style="279" customWidth="1"/>
    <col min="2365" max="2365" width="8.140625" style="279" customWidth="1"/>
    <col min="2366" max="2371" width="8.140625" style="279" bestFit="1" customWidth="1"/>
    <col min="2372" max="2372" width="7.42578125" style="279" bestFit="1" customWidth="1"/>
    <col min="2373" max="2373" width="9" style="279" bestFit="1" customWidth="1"/>
    <col min="2374" max="2386" width="7.7109375" style="279" customWidth="1"/>
    <col min="2387" max="2560" width="8.85546875" style="279"/>
    <col min="2561" max="2561" width="38.42578125" style="279" customWidth="1"/>
    <col min="2562" max="2562" width="12.85546875" style="279" customWidth="1"/>
    <col min="2563" max="2618" width="7.7109375" style="279" customWidth="1"/>
    <col min="2619" max="2619" width="13" style="279" customWidth="1"/>
    <col min="2620" max="2620" width="8.42578125" style="279" customWidth="1"/>
    <col min="2621" max="2621" width="8.140625" style="279" customWidth="1"/>
    <col min="2622" max="2627" width="8.140625" style="279" bestFit="1" customWidth="1"/>
    <col min="2628" max="2628" width="7.42578125" style="279" bestFit="1" customWidth="1"/>
    <col min="2629" max="2629" width="9" style="279" bestFit="1" customWidth="1"/>
    <col min="2630" max="2642" width="7.7109375" style="279" customWidth="1"/>
    <col min="2643" max="2816" width="8.85546875" style="279"/>
    <col min="2817" max="2817" width="38.42578125" style="279" customWidth="1"/>
    <col min="2818" max="2818" width="12.85546875" style="279" customWidth="1"/>
    <col min="2819" max="2874" width="7.7109375" style="279" customWidth="1"/>
    <col min="2875" max="2875" width="13" style="279" customWidth="1"/>
    <col min="2876" max="2876" width="8.42578125" style="279" customWidth="1"/>
    <col min="2877" max="2877" width="8.140625" style="279" customWidth="1"/>
    <col min="2878" max="2883" width="8.140625" style="279" bestFit="1" customWidth="1"/>
    <col min="2884" max="2884" width="7.42578125" style="279" bestFit="1" customWidth="1"/>
    <col min="2885" max="2885" width="9" style="279" bestFit="1" customWidth="1"/>
    <col min="2886" max="2898" width="7.7109375" style="279" customWidth="1"/>
    <col min="2899" max="3072" width="8.85546875" style="279"/>
    <col min="3073" max="3073" width="38.42578125" style="279" customWidth="1"/>
    <col min="3074" max="3074" width="12.85546875" style="279" customWidth="1"/>
    <col min="3075" max="3130" width="7.7109375" style="279" customWidth="1"/>
    <col min="3131" max="3131" width="13" style="279" customWidth="1"/>
    <col min="3132" max="3132" width="8.42578125" style="279" customWidth="1"/>
    <col min="3133" max="3133" width="8.140625" style="279" customWidth="1"/>
    <col min="3134" max="3139" width="8.140625" style="279" bestFit="1" customWidth="1"/>
    <col min="3140" max="3140" width="7.42578125" style="279" bestFit="1" customWidth="1"/>
    <col min="3141" max="3141" width="9" style="279" bestFit="1" customWidth="1"/>
    <col min="3142" max="3154" width="7.7109375" style="279" customWidth="1"/>
    <col min="3155" max="3328" width="8.85546875" style="279"/>
    <col min="3329" max="3329" width="38.42578125" style="279" customWidth="1"/>
    <col min="3330" max="3330" width="12.85546875" style="279" customWidth="1"/>
    <col min="3331" max="3386" width="7.7109375" style="279" customWidth="1"/>
    <col min="3387" max="3387" width="13" style="279" customWidth="1"/>
    <col min="3388" max="3388" width="8.42578125" style="279" customWidth="1"/>
    <col min="3389" max="3389" width="8.140625" style="279" customWidth="1"/>
    <col min="3390" max="3395" width="8.140625" style="279" bestFit="1" customWidth="1"/>
    <col min="3396" max="3396" width="7.42578125" style="279" bestFit="1" customWidth="1"/>
    <col min="3397" max="3397" width="9" style="279" bestFit="1" customWidth="1"/>
    <col min="3398" max="3410" width="7.7109375" style="279" customWidth="1"/>
    <col min="3411" max="3584" width="8.85546875" style="279"/>
    <col min="3585" max="3585" width="38.42578125" style="279" customWidth="1"/>
    <col min="3586" max="3586" width="12.85546875" style="279" customWidth="1"/>
    <col min="3587" max="3642" width="7.7109375" style="279" customWidth="1"/>
    <col min="3643" max="3643" width="13" style="279" customWidth="1"/>
    <col min="3644" max="3644" width="8.42578125" style="279" customWidth="1"/>
    <col min="3645" max="3645" width="8.140625" style="279" customWidth="1"/>
    <col min="3646" max="3651" width="8.140625" style="279" bestFit="1" customWidth="1"/>
    <col min="3652" max="3652" width="7.42578125" style="279" bestFit="1" customWidth="1"/>
    <col min="3653" max="3653" width="9" style="279" bestFit="1" customWidth="1"/>
    <col min="3654" max="3666" width="7.7109375" style="279" customWidth="1"/>
    <col min="3667" max="3840" width="8.85546875" style="279"/>
    <col min="3841" max="3841" width="38.42578125" style="279" customWidth="1"/>
    <col min="3842" max="3842" width="12.85546875" style="279" customWidth="1"/>
    <col min="3843" max="3898" width="7.7109375" style="279" customWidth="1"/>
    <col min="3899" max="3899" width="13" style="279" customWidth="1"/>
    <col min="3900" max="3900" width="8.42578125" style="279" customWidth="1"/>
    <col min="3901" max="3901" width="8.140625" style="279" customWidth="1"/>
    <col min="3902" max="3907" width="8.140625" style="279" bestFit="1" customWidth="1"/>
    <col min="3908" max="3908" width="7.42578125" style="279" bestFit="1" customWidth="1"/>
    <col min="3909" max="3909" width="9" style="279" bestFit="1" customWidth="1"/>
    <col min="3910" max="3922" width="7.7109375" style="279" customWidth="1"/>
    <col min="3923" max="4096" width="8.85546875" style="279"/>
    <col min="4097" max="4097" width="38.42578125" style="279" customWidth="1"/>
    <col min="4098" max="4098" width="12.85546875" style="279" customWidth="1"/>
    <col min="4099" max="4154" width="7.7109375" style="279" customWidth="1"/>
    <col min="4155" max="4155" width="13" style="279" customWidth="1"/>
    <col min="4156" max="4156" width="8.42578125" style="279" customWidth="1"/>
    <col min="4157" max="4157" width="8.140625" style="279" customWidth="1"/>
    <col min="4158" max="4163" width="8.140625" style="279" bestFit="1" customWidth="1"/>
    <col min="4164" max="4164" width="7.42578125" style="279" bestFit="1" customWidth="1"/>
    <col min="4165" max="4165" width="9" style="279" bestFit="1" customWidth="1"/>
    <col min="4166" max="4178" width="7.7109375" style="279" customWidth="1"/>
    <col min="4179" max="4352" width="8.85546875" style="279"/>
    <col min="4353" max="4353" width="38.42578125" style="279" customWidth="1"/>
    <col min="4354" max="4354" width="12.85546875" style="279" customWidth="1"/>
    <col min="4355" max="4410" width="7.7109375" style="279" customWidth="1"/>
    <col min="4411" max="4411" width="13" style="279" customWidth="1"/>
    <col min="4412" max="4412" width="8.42578125" style="279" customWidth="1"/>
    <col min="4413" max="4413" width="8.140625" style="279" customWidth="1"/>
    <col min="4414" max="4419" width="8.140625" style="279" bestFit="1" customWidth="1"/>
    <col min="4420" max="4420" width="7.42578125" style="279" bestFit="1" customWidth="1"/>
    <col min="4421" max="4421" width="9" style="279" bestFit="1" customWidth="1"/>
    <col min="4422" max="4434" width="7.7109375" style="279" customWidth="1"/>
    <col min="4435" max="4608" width="8.85546875" style="279"/>
    <col min="4609" max="4609" width="38.42578125" style="279" customWidth="1"/>
    <col min="4610" max="4610" width="12.85546875" style="279" customWidth="1"/>
    <col min="4611" max="4666" width="7.7109375" style="279" customWidth="1"/>
    <col min="4667" max="4667" width="13" style="279" customWidth="1"/>
    <col min="4668" max="4668" width="8.42578125" style="279" customWidth="1"/>
    <col min="4669" max="4669" width="8.140625" style="279" customWidth="1"/>
    <col min="4670" max="4675" width="8.140625" style="279" bestFit="1" customWidth="1"/>
    <col min="4676" max="4676" width="7.42578125" style="279" bestFit="1" customWidth="1"/>
    <col min="4677" max="4677" width="9" style="279" bestFit="1" customWidth="1"/>
    <col min="4678" max="4690" width="7.7109375" style="279" customWidth="1"/>
    <col min="4691" max="4864" width="8.85546875" style="279"/>
    <col min="4865" max="4865" width="38.42578125" style="279" customWidth="1"/>
    <col min="4866" max="4866" width="12.85546875" style="279" customWidth="1"/>
    <col min="4867" max="4922" width="7.7109375" style="279" customWidth="1"/>
    <col min="4923" max="4923" width="13" style="279" customWidth="1"/>
    <col min="4924" max="4924" width="8.42578125" style="279" customWidth="1"/>
    <col min="4925" max="4925" width="8.140625" style="279" customWidth="1"/>
    <col min="4926" max="4931" width="8.140625" style="279" bestFit="1" customWidth="1"/>
    <col min="4932" max="4932" width="7.42578125" style="279" bestFit="1" customWidth="1"/>
    <col min="4933" max="4933" width="9" style="279" bestFit="1" customWidth="1"/>
    <col min="4934" max="4946" width="7.7109375" style="279" customWidth="1"/>
    <col min="4947" max="5120" width="8.85546875" style="279"/>
    <col min="5121" max="5121" width="38.42578125" style="279" customWidth="1"/>
    <col min="5122" max="5122" width="12.85546875" style="279" customWidth="1"/>
    <col min="5123" max="5178" width="7.7109375" style="279" customWidth="1"/>
    <col min="5179" max="5179" width="13" style="279" customWidth="1"/>
    <col min="5180" max="5180" width="8.42578125" style="279" customWidth="1"/>
    <col min="5181" max="5181" width="8.140625" style="279" customWidth="1"/>
    <col min="5182" max="5187" width="8.140625" style="279" bestFit="1" customWidth="1"/>
    <col min="5188" max="5188" width="7.42578125" style="279" bestFit="1" customWidth="1"/>
    <col min="5189" max="5189" width="9" style="279" bestFit="1" customWidth="1"/>
    <col min="5190" max="5202" width="7.7109375" style="279" customWidth="1"/>
    <col min="5203" max="5376" width="8.85546875" style="279"/>
    <col min="5377" max="5377" width="38.42578125" style="279" customWidth="1"/>
    <col min="5378" max="5378" width="12.85546875" style="279" customWidth="1"/>
    <col min="5379" max="5434" width="7.7109375" style="279" customWidth="1"/>
    <col min="5435" max="5435" width="13" style="279" customWidth="1"/>
    <col min="5436" max="5436" width="8.42578125" style="279" customWidth="1"/>
    <col min="5437" max="5437" width="8.140625" style="279" customWidth="1"/>
    <col min="5438" max="5443" width="8.140625" style="279" bestFit="1" customWidth="1"/>
    <col min="5444" max="5444" width="7.42578125" style="279" bestFit="1" customWidth="1"/>
    <col min="5445" max="5445" width="9" style="279" bestFit="1" customWidth="1"/>
    <col min="5446" max="5458" width="7.7109375" style="279" customWidth="1"/>
    <col min="5459" max="5632" width="8.85546875" style="279"/>
    <col min="5633" max="5633" width="38.42578125" style="279" customWidth="1"/>
    <col min="5634" max="5634" width="12.85546875" style="279" customWidth="1"/>
    <col min="5635" max="5690" width="7.7109375" style="279" customWidth="1"/>
    <col min="5691" max="5691" width="13" style="279" customWidth="1"/>
    <col min="5692" max="5692" width="8.42578125" style="279" customWidth="1"/>
    <col min="5693" max="5693" width="8.140625" style="279" customWidth="1"/>
    <col min="5694" max="5699" width="8.140625" style="279" bestFit="1" customWidth="1"/>
    <col min="5700" max="5700" width="7.42578125" style="279" bestFit="1" customWidth="1"/>
    <col min="5701" max="5701" width="9" style="279" bestFit="1" customWidth="1"/>
    <col min="5702" max="5714" width="7.7109375" style="279" customWidth="1"/>
    <col min="5715" max="5888" width="8.85546875" style="279"/>
    <col min="5889" max="5889" width="38.42578125" style="279" customWidth="1"/>
    <col min="5890" max="5890" width="12.85546875" style="279" customWidth="1"/>
    <col min="5891" max="5946" width="7.7109375" style="279" customWidth="1"/>
    <col min="5947" max="5947" width="13" style="279" customWidth="1"/>
    <col min="5948" max="5948" width="8.42578125" style="279" customWidth="1"/>
    <col min="5949" max="5949" width="8.140625" style="279" customWidth="1"/>
    <col min="5950" max="5955" width="8.140625" style="279" bestFit="1" customWidth="1"/>
    <col min="5956" max="5956" width="7.42578125" style="279" bestFit="1" customWidth="1"/>
    <col min="5957" max="5957" width="9" style="279" bestFit="1" customWidth="1"/>
    <col min="5958" max="5970" width="7.7109375" style="279" customWidth="1"/>
    <col min="5971" max="6144" width="8.85546875" style="279"/>
    <col min="6145" max="6145" width="38.42578125" style="279" customWidth="1"/>
    <col min="6146" max="6146" width="12.85546875" style="279" customWidth="1"/>
    <col min="6147" max="6202" width="7.7109375" style="279" customWidth="1"/>
    <col min="6203" max="6203" width="13" style="279" customWidth="1"/>
    <col min="6204" max="6204" width="8.42578125" style="279" customWidth="1"/>
    <col min="6205" max="6205" width="8.140625" style="279" customWidth="1"/>
    <col min="6206" max="6211" width="8.140625" style="279" bestFit="1" customWidth="1"/>
    <col min="6212" max="6212" width="7.42578125" style="279" bestFit="1" customWidth="1"/>
    <col min="6213" max="6213" width="9" style="279" bestFit="1" customWidth="1"/>
    <col min="6214" max="6226" width="7.7109375" style="279" customWidth="1"/>
    <col min="6227" max="6400" width="8.85546875" style="279"/>
    <col min="6401" max="6401" width="38.42578125" style="279" customWidth="1"/>
    <col min="6402" max="6402" width="12.85546875" style="279" customWidth="1"/>
    <col min="6403" max="6458" width="7.7109375" style="279" customWidth="1"/>
    <col min="6459" max="6459" width="13" style="279" customWidth="1"/>
    <col min="6460" max="6460" width="8.42578125" style="279" customWidth="1"/>
    <col min="6461" max="6461" width="8.140625" style="279" customWidth="1"/>
    <col min="6462" max="6467" width="8.140625" style="279" bestFit="1" customWidth="1"/>
    <col min="6468" max="6468" width="7.42578125" style="279" bestFit="1" customWidth="1"/>
    <col min="6469" max="6469" width="9" style="279" bestFit="1" customWidth="1"/>
    <col min="6470" max="6482" width="7.7109375" style="279" customWidth="1"/>
    <col min="6483" max="6656" width="8.85546875" style="279"/>
    <col min="6657" max="6657" width="38.42578125" style="279" customWidth="1"/>
    <col min="6658" max="6658" width="12.85546875" style="279" customWidth="1"/>
    <col min="6659" max="6714" width="7.7109375" style="279" customWidth="1"/>
    <col min="6715" max="6715" width="13" style="279" customWidth="1"/>
    <col min="6716" max="6716" width="8.42578125" style="279" customWidth="1"/>
    <col min="6717" max="6717" width="8.140625" style="279" customWidth="1"/>
    <col min="6718" max="6723" width="8.140625" style="279" bestFit="1" customWidth="1"/>
    <col min="6724" max="6724" width="7.42578125" style="279" bestFit="1" customWidth="1"/>
    <col min="6725" max="6725" width="9" style="279" bestFit="1" customWidth="1"/>
    <col min="6726" max="6738" width="7.7109375" style="279" customWidth="1"/>
    <col min="6739" max="6912" width="8.85546875" style="279"/>
    <col min="6913" max="6913" width="38.42578125" style="279" customWidth="1"/>
    <col min="6914" max="6914" width="12.85546875" style="279" customWidth="1"/>
    <col min="6915" max="6970" width="7.7109375" style="279" customWidth="1"/>
    <col min="6971" max="6971" width="13" style="279" customWidth="1"/>
    <col min="6972" max="6972" width="8.42578125" style="279" customWidth="1"/>
    <col min="6973" max="6973" width="8.140625" style="279" customWidth="1"/>
    <col min="6974" max="6979" width="8.140625" style="279" bestFit="1" customWidth="1"/>
    <col min="6980" max="6980" width="7.42578125" style="279" bestFit="1" customWidth="1"/>
    <col min="6981" max="6981" width="9" style="279" bestFit="1" customWidth="1"/>
    <col min="6982" max="6994" width="7.7109375" style="279" customWidth="1"/>
    <col min="6995" max="7168" width="8.85546875" style="279"/>
    <col min="7169" max="7169" width="38.42578125" style="279" customWidth="1"/>
    <col min="7170" max="7170" width="12.85546875" style="279" customWidth="1"/>
    <col min="7171" max="7226" width="7.7109375" style="279" customWidth="1"/>
    <col min="7227" max="7227" width="13" style="279" customWidth="1"/>
    <col min="7228" max="7228" width="8.42578125" style="279" customWidth="1"/>
    <col min="7229" max="7229" width="8.140625" style="279" customWidth="1"/>
    <col min="7230" max="7235" width="8.140625" style="279" bestFit="1" customWidth="1"/>
    <col min="7236" max="7236" width="7.42578125" style="279" bestFit="1" customWidth="1"/>
    <col min="7237" max="7237" width="9" style="279" bestFit="1" customWidth="1"/>
    <col min="7238" max="7250" width="7.7109375" style="279" customWidth="1"/>
    <col min="7251" max="7424" width="8.85546875" style="279"/>
    <col min="7425" max="7425" width="38.42578125" style="279" customWidth="1"/>
    <col min="7426" max="7426" width="12.85546875" style="279" customWidth="1"/>
    <col min="7427" max="7482" width="7.7109375" style="279" customWidth="1"/>
    <col min="7483" max="7483" width="13" style="279" customWidth="1"/>
    <col min="7484" max="7484" width="8.42578125" style="279" customWidth="1"/>
    <col min="7485" max="7485" width="8.140625" style="279" customWidth="1"/>
    <col min="7486" max="7491" width="8.140625" style="279" bestFit="1" customWidth="1"/>
    <col min="7492" max="7492" width="7.42578125" style="279" bestFit="1" customWidth="1"/>
    <col min="7493" max="7493" width="9" style="279" bestFit="1" customWidth="1"/>
    <col min="7494" max="7506" width="7.7109375" style="279" customWidth="1"/>
    <col min="7507" max="7680" width="8.85546875" style="279"/>
    <col min="7681" max="7681" width="38.42578125" style="279" customWidth="1"/>
    <col min="7682" max="7682" width="12.85546875" style="279" customWidth="1"/>
    <col min="7683" max="7738" width="7.7109375" style="279" customWidth="1"/>
    <col min="7739" max="7739" width="13" style="279" customWidth="1"/>
    <col min="7740" max="7740" width="8.42578125" style="279" customWidth="1"/>
    <col min="7741" max="7741" width="8.140625" style="279" customWidth="1"/>
    <col min="7742" max="7747" width="8.140625" style="279" bestFit="1" customWidth="1"/>
    <col min="7748" max="7748" width="7.42578125" style="279" bestFit="1" customWidth="1"/>
    <col min="7749" max="7749" width="9" style="279" bestFit="1" customWidth="1"/>
    <col min="7750" max="7762" width="7.7109375" style="279" customWidth="1"/>
    <col min="7763" max="7936" width="8.85546875" style="279"/>
    <col min="7937" max="7937" width="38.42578125" style="279" customWidth="1"/>
    <col min="7938" max="7938" width="12.85546875" style="279" customWidth="1"/>
    <col min="7939" max="7994" width="7.7109375" style="279" customWidth="1"/>
    <col min="7995" max="7995" width="13" style="279" customWidth="1"/>
    <col min="7996" max="7996" width="8.42578125" style="279" customWidth="1"/>
    <col min="7997" max="7997" width="8.140625" style="279" customWidth="1"/>
    <col min="7998" max="8003" width="8.140625" style="279" bestFit="1" customWidth="1"/>
    <col min="8004" max="8004" width="7.42578125" style="279" bestFit="1" customWidth="1"/>
    <col min="8005" max="8005" width="9" style="279" bestFit="1" customWidth="1"/>
    <col min="8006" max="8018" width="7.7109375" style="279" customWidth="1"/>
    <col min="8019" max="8192" width="8.85546875" style="279"/>
    <col min="8193" max="8193" width="38.42578125" style="279" customWidth="1"/>
    <col min="8194" max="8194" width="12.85546875" style="279" customWidth="1"/>
    <col min="8195" max="8250" width="7.7109375" style="279" customWidth="1"/>
    <col min="8251" max="8251" width="13" style="279" customWidth="1"/>
    <col min="8252" max="8252" width="8.42578125" style="279" customWidth="1"/>
    <col min="8253" max="8253" width="8.140625" style="279" customWidth="1"/>
    <col min="8254" max="8259" width="8.140625" style="279" bestFit="1" customWidth="1"/>
    <col min="8260" max="8260" width="7.42578125" style="279" bestFit="1" customWidth="1"/>
    <col min="8261" max="8261" width="9" style="279" bestFit="1" customWidth="1"/>
    <col min="8262" max="8274" width="7.7109375" style="279" customWidth="1"/>
    <col min="8275" max="8448" width="8.85546875" style="279"/>
    <col min="8449" max="8449" width="38.42578125" style="279" customWidth="1"/>
    <col min="8450" max="8450" width="12.85546875" style="279" customWidth="1"/>
    <col min="8451" max="8506" width="7.7109375" style="279" customWidth="1"/>
    <col min="8507" max="8507" width="13" style="279" customWidth="1"/>
    <col min="8508" max="8508" width="8.42578125" style="279" customWidth="1"/>
    <col min="8509" max="8509" width="8.140625" style="279" customWidth="1"/>
    <col min="8510" max="8515" width="8.140625" style="279" bestFit="1" customWidth="1"/>
    <col min="8516" max="8516" width="7.42578125" style="279" bestFit="1" customWidth="1"/>
    <col min="8517" max="8517" width="9" style="279" bestFit="1" customWidth="1"/>
    <col min="8518" max="8530" width="7.7109375" style="279" customWidth="1"/>
    <col min="8531" max="8704" width="8.85546875" style="279"/>
    <col min="8705" max="8705" width="38.42578125" style="279" customWidth="1"/>
    <col min="8706" max="8706" width="12.85546875" style="279" customWidth="1"/>
    <col min="8707" max="8762" width="7.7109375" style="279" customWidth="1"/>
    <col min="8763" max="8763" width="13" style="279" customWidth="1"/>
    <col min="8764" max="8764" width="8.42578125" style="279" customWidth="1"/>
    <col min="8765" max="8765" width="8.140625" style="279" customWidth="1"/>
    <col min="8766" max="8771" width="8.140625" style="279" bestFit="1" customWidth="1"/>
    <col min="8772" max="8772" width="7.42578125" style="279" bestFit="1" customWidth="1"/>
    <col min="8773" max="8773" width="9" style="279" bestFit="1" customWidth="1"/>
    <col min="8774" max="8786" width="7.7109375" style="279" customWidth="1"/>
    <col min="8787" max="8960" width="8.85546875" style="279"/>
    <col min="8961" max="8961" width="38.42578125" style="279" customWidth="1"/>
    <col min="8962" max="8962" width="12.85546875" style="279" customWidth="1"/>
    <col min="8963" max="9018" width="7.7109375" style="279" customWidth="1"/>
    <col min="9019" max="9019" width="13" style="279" customWidth="1"/>
    <col min="9020" max="9020" width="8.42578125" style="279" customWidth="1"/>
    <col min="9021" max="9021" width="8.140625" style="279" customWidth="1"/>
    <col min="9022" max="9027" width="8.140625" style="279" bestFit="1" customWidth="1"/>
    <col min="9028" max="9028" width="7.42578125" style="279" bestFit="1" customWidth="1"/>
    <col min="9029" max="9029" width="9" style="279" bestFit="1" customWidth="1"/>
    <col min="9030" max="9042" width="7.7109375" style="279" customWidth="1"/>
    <col min="9043" max="9216" width="8.85546875" style="279"/>
    <col min="9217" max="9217" width="38.42578125" style="279" customWidth="1"/>
    <col min="9218" max="9218" width="12.85546875" style="279" customWidth="1"/>
    <col min="9219" max="9274" width="7.7109375" style="279" customWidth="1"/>
    <col min="9275" max="9275" width="13" style="279" customWidth="1"/>
    <col min="9276" max="9276" width="8.42578125" style="279" customWidth="1"/>
    <col min="9277" max="9277" width="8.140625" style="279" customWidth="1"/>
    <col min="9278" max="9283" width="8.140625" style="279" bestFit="1" customWidth="1"/>
    <col min="9284" max="9284" width="7.42578125" style="279" bestFit="1" customWidth="1"/>
    <col min="9285" max="9285" width="9" style="279" bestFit="1" customWidth="1"/>
    <col min="9286" max="9298" width="7.7109375" style="279" customWidth="1"/>
    <col min="9299" max="9472" width="8.85546875" style="279"/>
    <col min="9473" max="9473" width="38.42578125" style="279" customWidth="1"/>
    <col min="9474" max="9474" width="12.85546875" style="279" customWidth="1"/>
    <col min="9475" max="9530" width="7.7109375" style="279" customWidth="1"/>
    <col min="9531" max="9531" width="13" style="279" customWidth="1"/>
    <col min="9532" max="9532" width="8.42578125" style="279" customWidth="1"/>
    <col min="9533" max="9533" width="8.140625" style="279" customWidth="1"/>
    <col min="9534" max="9539" width="8.140625" style="279" bestFit="1" customWidth="1"/>
    <col min="9540" max="9540" width="7.42578125" style="279" bestFit="1" customWidth="1"/>
    <col min="9541" max="9541" width="9" style="279" bestFit="1" customWidth="1"/>
    <col min="9542" max="9554" width="7.7109375" style="279" customWidth="1"/>
    <col min="9555" max="9728" width="8.85546875" style="279"/>
    <col min="9729" max="9729" width="38.42578125" style="279" customWidth="1"/>
    <col min="9730" max="9730" width="12.85546875" style="279" customWidth="1"/>
    <col min="9731" max="9786" width="7.7109375" style="279" customWidth="1"/>
    <col min="9787" max="9787" width="13" style="279" customWidth="1"/>
    <col min="9788" max="9788" width="8.42578125" style="279" customWidth="1"/>
    <col min="9789" max="9789" width="8.140625" style="279" customWidth="1"/>
    <col min="9790" max="9795" width="8.140625" style="279" bestFit="1" customWidth="1"/>
    <col min="9796" max="9796" width="7.42578125" style="279" bestFit="1" customWidth="1"/>
    <col min="9797" max="9797" width="9" style="279" bestFit="1" customWidth="1"/>
    <col min="9798" max="9810" width="7.7109375" style="279" customWidth="1"/>
    <col min="9811" max="9984" width="8.85546875" style="279"/>
    <col min="9985" max="9985" width="38.42578125" style="279" customWidth="1"/>
    <col min="9986" max="9986" width="12.85546875" style="279" customWidth="1"/>
    <col min="9987" max="10042" width="7.7109375" style="279" customWidth="1"/>
    <col min="10043" max="10043" width="13" style="279" customWidth="1"/>
    <col min="10044" max="10044" width="8.42578125" style="279" customWidth="1"/>
    <col min="10045" max="10045" width="8.140625" style="279" customWidth="1"/>
    <col min="10046" max="10051" width="8.140625" style="279" bestFit="1" customWidth="1"/>
    <col min="10052" max="10052" width="7.42578125" style="279" bestFit="1" customWidth="1"/>
    <col min="10053" max="10053" width="9" style="279" bestFit="1" customWidth="1"/>
    <col min="10054" max="10066" width="7.7109375" style="279" customWidth="1"/>
    <col min="10067" max="10240" width="8.85546875" style="279"/>
    <col min="10241" max="10241" width="38.42578125" style="279" customWidth="1"/>
    <col min="10242" max="10242" width="12.85546875" style="279" customWidth="1"/>
    <col min="10243" max="10298" width="7.7109375" style="279" customWidth="1"/>
    <col min="10299" max="10299" width="13" style="279" customWidth="1"/>
    <col min="10300" max="10300" width="8.42578125" style="279" customWidth="1"/>
    <col min="10301" max="10301" width="8.140625" style="279" customWidth="1"/>
    <col min="10302" max="10307" width="8.140625" style="279" bestFit="1" customWidth="1"/>
    <col min="10308" max="10308" width="7.42578125" style="279" bestFit="1" customWidth="1"/>
    <col min="10309" max="10309" width="9" style="279" bestFit="1" customWidth="1"/>
    <col min="10310" max="10322" width="7.7109375" style="279" customWidth="1"/>
    <col min="10323" max="10496" width="8.85546875" style="279"/>
    <col min="10497" max="10497" width="38.42578125" style="279" customWidth="1"/>
    <col min="10498" max="10498" width="12.85546875" style="279" customWidth="1"/>
    <col min="10499" max="10554" width="7.7109375" style="279" customWidth="1"/>
    <col min="10555" max="10555" width="13" style="279" customWidth="1"/>
    <col min="10556" max="10556" width="8.42578125" style="279" customWidth="1"/>
    <col min="10557" max="10557" width="8.140625" style="279" customWidth="1"/>
    <col min="10558" max="10563" width="8.140625" style="279" bestFit="1" customWidth="1"/>
    <col min="10564" max="10564" width="7.42578125" style="279" bestFit="1" customWidth="1"/>
    <col min="10565" max="10565" width="9" style="279" bestFit="1" customWidth="1"/>
    <col min="10566" max="10578" width="7.7109375" style="279" customWidth="1"/>
    <col min="10579" max="10752" width="8.85546875" style="279"/>
    <col min="10753" max="10753" width="38.42578125" style="279" customWidth="1"/>
    <col min="10754" max="10754" width="12.85546875" style="279" customWidth="1"/>
    <col min="10755" max="10810" width="7.7109375" style="279" customWidth="1"/>
    <col min="10811" max="10811" width="13" style="279" customWidth="1"/>
    <col min="10812" max="10812" width="8.42578125" style="279" customWidth="1"/>
    <col min="10813" max="10813" width="8.140625" style="279" customWidth="1"/>
    <col min="10814" max="10819" width="8.140625" style="279" bestFit="1" customWidth="1"/>
    <col min="10820" max="10820" width="7.42578125" style="279" bestFit="1" customWidth="1"/>
    <col min="10821" max="10821" width="9" style="279" bestFit="1" customWidth="1"/>
    <col min="10822" max="10834" width="7.7109375" style="279" customWidth="1"/>
    <col min="10835" max="11008" width="8.85546875" style="279"/>
    <col min="11009" max="11009" width="38.42578125" style="279" customWidth="1"/>
    <col min="11010" max="11010" width="12.85546875" style="279" customWidth="1"/>
    <col min="11011" max="11066" width="7.7109375" style="279" customWidth="1"/>
    <col min="11067" max="11067" width="13" style="279" customWidth="1"/>
    <col min="11068" max="11068" width="8.42578125" style="279" customWidth="1"/>
    <col min="11069" max="11069" width="8.140625" style="279" customWidth="1"/>
    <col min="11070" max="11075" width="8.140625" style="279" bestFit="1" customWidth="1"/>
    <col min="11076" max="11076" width="7.42578125" style="279" bestFit="1" customWidth="1"/>
    <col min="11077" max="11077" width="9" style="279" bestFit="1" customWidth="1"/>
    <col min="11078" max="11090" width="7.7109375" style="279" customWidth="1"/>
    <col min="11091" max="11264" width="8.85546875" style="279"/>
    <col min="11265" max="11265" width="38.42578125" style="279" customWidth="1"/>
    <col min="11266" max="11266" width="12.85546875" style="279" customWidth="1"/>
    <col min="11267" max="11322" width="7.7109375" style="279" customWidth="1"/>
    <col min="11323" max="11323" width="13" style="279" customWidth="1"/>
    <col min="11324" max="11324" width="8.42578125" style="279" customWidth="1"/>
    <col min="11325" max="11325" width="8.140625" style="279" customWidth="1"/>
    <col min="11326" max="11331" width="8.140625" style="279" bestFit="1" customWidth="1"/>
    <col min="11332" max="11332" width="7.42578125" style="279" bestFit="1" customWidth="1"/>
    <col min="11333" max="11333" width="9" style="279" bestFit="1" customWidth="1"/>
    <col min="11334" max="11346" width="7.7109375" style="279" customWidth="1"/>
    <col min="11347" max="11520" width="8.85546875" style="279"/>
    <col min="11521" max="11521" width="38.42578125" style="279" customWidth="1"/>
    <col min="11522" max="11522" width="12.85546875" style="279" customWidth="1"/>
    <col min="11523" max="11578" width="7.7109375" style="279" customWidth="1"/>
    <col min="11579" max="11579" width="13" style="279" customWidth="1"/>
    <col min="11580" max="11580" width="8.42578125" style="279" customWidth="1"/>
    <col min="11581" max="11581" width="8.140625" style="279" customWidth="1"/>
    <col min="11582" max="11587" width="8.140625" style="279" bestFit="1" customWidth="1"/>
    <col min="11588" max="11588" width="7.42578125" style="279" bestFit="1" customWidth="1"/>
    <col min="11589" max="11589" width="9" style="279" bestFit="1" customWidth="1"/>
    <col min="11590" max="11602" width="7.7109375" style="279" customWidth="1"/>
    <col min="11603" max="11776" width="8.85546875" style="279"/>
    <col min="11777" max="11777" width="38.42578125" style="279" customWidth="1"/>
    <col min="11778" max="11778" width="12.85546875" style="279" customWidth="1"/>
    <col min="11779" max="11834" width="7.7109375" style="279" customWidth="1"/>
    <col min="11835" max="11835" width="13" style="279" customWidth="1"/>
    <col min="11836" max="11836" width="8.42578125" style="279" customWidth="1"/>
    <col min="11837" max="11837" width="8.140625" style="279" customWidth="1"/>
    <col min="11838" max="11843" width="8.140625" style="279" bestFit="1" customWidth="1"/>
    <col min="11844" max="11844" width="7.42578125" style="279" bestFit="1" customWidth="1"/>
    <col min="11845" max="11845" width="9" style="279" bestFit="1" customWidth="1"/>
    <col min="11846" max="11858" width="7.7109375" style="279" customWidth="1"/>
    <col min="11859" max="12032" width="8.85546875" style="279"/>
    <col min="12033" max="12033" width="38.42578125" style="279" customWidth="1"/>
    <col min="12034" max="12034" width="12.85546875" style="279" customWidth="1"/>
    <col min="12035" max="12090" width="7.7109375" style="279" customWidth="1"/>
    <col min="12091" max="12091" width="13" style="279" customWidth="1"/>
    <col min="12092" max="12092" width="8.42578125" style="279" customWidth="1"/>
    <col min="12093" max="12093" width="8.140625" style="279" customWidth="1"/>
    <col min="12094" max="12099" width="8.140625" style="279" bestFit="1" customWidth="1"/>
    <col min="12100" max="12100" width="7.42578125" style="279" bestFit="1" customWidth="1"/>
    <col min="12101" max="12101" width="9" style="279" bestFit="1" customWidth="1"/>
    <col min="12102" max="12114" width="7.7109375" style="279" customWidth="1"/>
    <col min="12115" max="12288" width="8.85546875" style="279"/>
    <col min="12289" max="12289" width="38.42578125" style="279" customWidth="1"/>
    <col min="12290" max="12290" width="12.85546875" style="279" customWidth="1"/>
    <col min="12291" max="12346" width="7.7109375" style="279" customWidth="1"/>
    <col min="12347" max="12347" width="13" style="279" customWidth="1"/>
    <col min="12348" max="12348" width="8.42578125" style="279" customWidth="1"/>
    <col min="12349" max="12349" width="8.140625" style="279" customWidth="1"/>
    <col min="12350" max="12355" width="8.140625" style="279" bestFit="1" customWidth="1"/>
    <col min="12356" max="12356" width="7.42578125" style="279" bestFit="1" customWidth="1"/>
    <col min="12357" max="12357" width="9" style="279" bestFit="1" customWidth="1"/>
    <col min="12358" max="12370" width="7.7109375" style="279" customWidth="1"/>
    <col min="12371" max="12544" width="8.85546875" style="279"/>
    <col min="12545" max="12545" width="38.42578125" style="279" customWidth="1"/>
    <col min="12546" max="12546" width="12.85546875" style="279" customWidth="1"/>
    <col min="12547" max="12602" width="7.7109375" style="279" customWidth="1"/>
    <col min="12603" max="12603" width="13" style="279" customWidth="1"/>
    <col min="12604" max="12604" width="8.42578125" style="279" customWidth="1"/>
    <col min="12605" max="12605" width="8.140625" style="279" customWidth="1"/>
    <col min="12606" max="12611" width="8.140625" style="279" bestFit="1" customWidth="1"/>
    <col min="12612" max="12612" width="7.42578125" style="279" bestFit="1" customWidth="1"/>
    <col min="12613" max="12613" width="9" style="279" bestFit="1" customWidth="1"/>
    <col min="12614" max="12626" width="7.7109375" style="279" customWidth="1"/>
    <col min="12627" max="12800" width="8.85546875" style="279"/>
    <col min="12801" max="12801" width="38.42578125" style="279" customWidth="1"/>
    <col min="12802" max="12802" width="12.85546875" style="279" customWidth="1"/>
    <col min="12803" max="12858" width="7.7109375" style="279" customWidth="1"/>
    <col min="12859" max="12859" width="13" style="279" customWidth="1"/>
    <col min="12860" max="12860" width="8.42578125" style="279" customWidth="1"/>
    <col min="12861" max="12861" width="8.140625" style="279" customWidth="1"/>
    <col min="12862" max="12867" width="8.140625" style="279" bestFit="1" customWidth="1"/>
    <col min="12868" max="12868" width="7.42578125" style="279" bestFit="1" customWidth="1"/>
    <col min="12869" max="12869" width="9" style="279" bestFit="1" customWidth="1"/>
    <col min="12870" max="12882" width="7.7109375" style="279" customWidth="1"/>
    <col min="12883" max="13056" width="8.85546875" style="279"/>
    <col min="13057" max="13057" width="38.42578125" style="279" customWidth="1"/>
    <col min="13058" max="13058" width="12.85546875" style="279" customWidth="1"/>
    <col min="13059" max="13114" width="7.7109375" style="279" customWidth="1"/>
    <col min="13115" max="13115" width="13" style="279" customWidth="1"/>
    <col min="13116" max="13116" width="8.42578125" style="279" customWidth="1"/>
    <col min="13117" max="13117" width="8.140625" style="279" customWidth="1"/>
    <col min="13118" max="13123" width="8.140625" style="279" bestFit="1" customWidth="1"/>
    <col min="13124" max="13124" width="7.42578125" style="279" bestFit="1" customWidth="1"/>
    <col min="13125" max="13125" width="9" style="279" bestFit="1" customWidth="1"/>
    <col min="13126" max="13138" width="7.7109375" style="279" customWidth="1"/>
    <col min="13139" max="13312" width="8.85546875" style="279"/>
    <col min="13313" max="13313" width="38.42578125" style="279" customWidth="1"/>
    <col min="13314" max="13314" width="12.85546875" style="279" customWidth="1"/>
    <col min="13315" max="13370" width="7.7109375" style="279" customWidth="1"/>
    <col min="13371" max="13371" width="13" style="279" customWidth="1"/>
    <col min="13372" max="13372" width="8.42578125" style="279" customWidth="1"/>
    <col min="13373" max="13373" width="8.140625" style="279" customWidth="1"/>
    <col min="13374" max="13379" width="8.140625" style="279" bestFit="1" customWidth="1"/>
    <col min="13380" max="13380" width="7.42578125" style="279" bestFit="1" customWidth="1"/>
    <col min="13381" max="13381" width="9" style="279" bestFit="1" customWidth="1"/>
    <col min="13382" max="13394" width="7.7109375" style="279" customWidth="1"/>
    <col min="13395" max="13568" width="8.85546875" style="279"/>
    <col min="13569" max="13569" width="38.42578125" style="279" customWidth="1"/>
    <col min="13570" max="13570" width="12.85546875" style="279" customWidth="1"/>
    <col min="13571" max="13626" width="7.7109375" style="279" customWidth="1"/>
    <col min="13627" max="13627" width="13" style="279" customWidth="1"/>
    <col min="13628" max="13628" width="8.42578125" style="279" customWidth="1"/>
    <col min="13629" max="13629" width="8.140625" style="279" customWidth="1"/>
    <col min="13630" max="13635" width="8.140625" style="279" bestFit="1" customWidth="1"/>
    <col min="13636" max="13636" width="7.42578125" style="279" bestFit="1" customWidth="1"/>
    <col min="13637" max="13637" width="9" style="279" bestFit="1" customWidth="1"/>
    <col min="13638" max="13650" width="7.7109375" style="279" customWidth="1"/>
    <col min="13651" max="13824" width="8.85546875" style="279"/>
    <col min="13825" max="13825" width="38.42578125" style="279" customWidth="1"/>
    <col min="13826" max="13826" width="12.85546875" style="279" customWidth="1"/>
    <col min="13827" max="13882" width="7.7109375" style="279" customWidth="1"/>
    <col min="13883" max="13883" width="13" style="279" customWidth="1"/>
    <col min="13884" max="13884" width="8.42578125" style="279" customWidth="1"/>
    <col min="13885" max="13885" width="8.140625" style="279" customWidth="1"/>
    <col min="13886" max="13891" width="8.140625" style="279" bestFit="1" customWidth="1"/>
    <col min="13892" max="13892" width="7.42578125" style="279" bestFit="1" customWidth="1"/>
    <col min="13893" max="13893" width="9" style="279" bestFit="1" customWidth="1"/>
    <col min="13894" max="13906" width="7.7109375" style="279" customWidth="1"/>
    <col min="13907" max="14080" width="8.85546875" style="279"/>
    <col min="14081" max="14081" width="38.42578125" style="279" customWidth="1"/>
    <col min="14082" max="14082" width="12.85546875" style="279" customWidth="1"/>
    <col min="14083" max="14138" width="7.7109375" style="279" customWidth="1"/>
    <col min="14139" max="14139" width="13" style="279" customWidth="1"/>
    <col min="14140" max="14140" width="8.42578125" style="279" customWidth="1"/>
    <col min="14141" max="14141" width="8.140625" style="279" customWidth="1"/>
    <col min="14142" max="14147" width="8.140625" style="279" bestFit="1" customWidth="1"/>
    <col min="14148" max="14148" width="7.42578125" style="279" bestFit="1" customWidth="1"/>
    <col min="14149" max="14149" width="9" style="279" bestFit="1" customWidth="1"/>
    <col min="14150" max="14162" width="7.7109375" style="279" customWidth="1"/>
    <col min="14163" max="14336" width="8.85546875" style="279"/>
    <col min="14337" max="14337" width="38.42578125" style="279" customWidth="1"/>
    <col min="14338" max="14338" width="12.85546875" style="279" customWidth="1"/>
    <col min="14339" max="14394" width="7.7109375" style="279" customWidth="1"/>
    <col min="14395" max="14395" width="13" style="279" customWidth="1"/>
    <col min="14396" max="14396" width="8.42578125" style="279" customWidth="1"/>
    <col min="14397" max="14397" width="8.140625" style="279" customWidth="1"/>
    <col min="14398" max="14403" width="8.140625" style="279" bestFit="1" customWidth="1"/>
    <col min="14404" max="14404" width="7.42578125" style="279" bestFit="1" customWidth="1"/>
    <col min="14405" max="14405" width="9" style="279" bestFit="1" customWidth="1"/>
    <col min="14406" max="14418" width="7.7109375" style="279" customWidth="1"/>
    <col min="14419" max="14592" width="8.85546875" style="279"/>
    <col min="14593" max="14593" width="38.42578125" style="279" customWidth="1"/>
    <col min="14594" max="14594" width="12.85546875" style="279" customWidth="1"/>
    <col min="14595" max="14650" width="7.7109375" style="279" customWidth="1"/>
    <col min="14651" max="14651" width="13" style="279" customWidth="1"/>
    <col min="14652" max="14652" width="8.42578125" style="279" customWidth="1"/>
    <col min="14653" max="14653" width="8.140625" style="279" customWidth="1"/>
    <col min="14654" max="14659" width="8.140625" style="279" bestFit="1" customWidth="1"/>
    <col min="14660" max="14660" width="7.42578125" style="279" bestFit="1" customWidth="1"/>
    <col min="14661" max="14661" width="9" style="279" bestFit="1" customWidth="1"/>
    <col min="14662" max="14674" width="7.7109375" style="279" customWidth="1"/>
    <col min="14675" max="14848" width="8.85546875" style="279"/>
    <col min="14849" max="14849" width="38.42578125" style="279" customWidth="1"/>
    <col min="14850" max="14850" width="12.85546875" style="279" customWidth="1"/>
    <col min="14851" max="14906" width="7.7109375" style="279" customWidth="1"/>
    <col min="14907" max="14907" width="13" style="279" customWidth="1"/>
    <col min="14908" max="14908" width="8.42578125" style="279" customWidth="1"/>
    <col min="14909" max="14909" width="8.140625" style="279" customWidth="1"/>
    <col min="14910" max="14915" width="8.140625" style="279" bestFit="1" customWidth="1"/>
    <col min="14916" max="14916" width="7.42578125" style="279" bestFit="1" customWidth="1"/>
    <col min="14917" max="14917" width="9" style="279" bestFit="1" customWidth="1"/>
    <col min="14918" max="14930" width="7.7109375" style="279" customWidth="1"/>
    <col min="14931" max="15104" width="8.85546875" style="279"/>
    <col min="15105" max="15105" width="38.42578125" style="279" customWidth="1"/>
    <col min="15106" max="15106" width="12.85546875" style="279" customWidth="1"/>
    <col min="15107" max="15162" width="7.7109375" style="279" customWidth="1"/>
    <col min="15163" max="15163" width="13" style="279" customWidth="1"/>
    <col min="15164" max="15164" width="8.42578125" style="279" customWidth="1"/>
    <col min="15165" max="15165" width="8.140625" style="279" customWidth="1"/>
    <col min="15166" max="15171" width="8.140625" style="279" bestFit="1" customWidth="1"/>
    <col min="15172" max="15172" width="7.42578125" style="279" bestFit="1" customWidth="1"/>
    <col min="15173" max="15173" width="9" style="279" bestFit="1" customWidth="1"/>
    <col min="15174" max="15186" width="7.7109375" style="279" customWidth="1"/>
    <col min="15187" max="15360" width="8.85546875" style="279"/>
    <col min="15361" max="15361" width="38.42578125" style="279" customWidth="1"/>
    <col min="15362" max="15362" width="12.85546875" style="279" customWidth="1"/>
    <col min="15363" max="15418" width="7.7109375" style="279" customWidth="1"/>
    <col min="15419" max="15419" width="13" style="279" customWidth="1"/>
    <col min="15420" max="15420" width="8.42578125" style="279" customWidth="1"/>
    <col min="15421" max="15421" width="8.140625" style="279" customWidth="1"/>
    <col min="15422" max="15427" width="8.140625" style="279" bestFit="1" customWidth="1"/>
    <col min="15428" max="15428" width="7.42578125" style="279" bestFit="1" customWidth="1"/>
    <col min="15429" max="15429" width="9" style="279" bestFit="1" customWidth="1"/>
    <col min="15430" max="15442" width="7.7109375" style="279" customWidth="1"/>
    <col min="15443" max="15616" width="8.85546875" style="279"/>
    <col min="15617" max="15617" width="38.42578125" style="279" customWidth="1"/>
    <col min="15618" max="15618" width="12.85546875" style="279" customWidth="1"/>
    <col min="15619" max="15674" width="7.7109375" style="279" customWidth="1"/>
    <col min="15675" max="15675" width="13" style="279" customWidth="1"/>
    <col min="15676" max="15676" width="8.42578125" style="279" customWidth="1"/>
    <col min="15677" max="15677" width="8.140625" style="279" customWidth="1"/>
    <col min="15678" max="15683" width="8.140625" style="279" bestFit="1" customWidth="1"/>
    <col min="15684" max="15684" width="7.42578125" style="279" bestFit="1" customWidth="1"/>
    <col min="15685" max="15685" width="9" style="279" bestFit="1" customWidth="1"/>
    <col min="15686" max="15698" width="7.7109375" style="279" customWidth="1"/>
    <col min="15699" max="15872" width="8.85546875" style="279"/>
    <col min="15873" max="15873" width="38.42578125" style="279" customWidth="1"/>
    <col min="15874" max="15874" width="12.85546875" style="279" customWidth="1"/>
    <col min="15875" max="15930" width="7.7109375" style="279" customWidth="1"/>
    <col min="15931" max="15931" width="13" style="279" customWidth="1"/>
    <col min="15932" max="15932" width="8.42578125" style="279" customWidth="1"/>
    <col min="15933" max="15933" width="8.140625" style="279" customWidth="1"/>
    <col min="15934" max="15939" width="8.140625" style="279" bestFit="1" customWidth="1"/>
    <col min="15940" max="15940" width="7.42578125" style="279" bestFit="1" customWidth="1"/>
    <col min="15941" max="15941" width="9" style="279" bestFit="1" customWidth="1"/>
    <col min="15942" max="15954" width="7.7109375" style="279" customWidth="1"/>
    <col min="15955" max="16128" width="8.85546875" style="279"/>
    <col min="16129" max="16129" width="38.42578125" style="279" customWidth="1"/>
    <col min="16130" max="16130" width="12.85546875" style="279" customWidth="1"/>
    <col min="16131" max="16186" width="7.7109375" style="279" customWidth="1"/>
    <col min="16187" max="16187" width="13" style="279" customWidth="1"/>
    <col min="16188" max="16188" width="8.42578125" style="279" customWidth="1"/>
    <col min="16189" max="16189" width="8.140625" style="279" customWidth="1"/>
    <col min="16190" max="16195" width="8.140625" style="279" bestFit="1" customWidth="1"/>
    <col min="16196" max="16196" width="7.42578125" style="279" bestFit="1" customWidth="1"/>
    <col min="16197" max="16197" width="9" style="279" bestFit="1" customWidth="1"/>
    <col min="16198" max="16210" width="7.7109375" style="279" customWidth="1"/>
    <col min="16211" max="16384" width="8.85546875" style="279"/>
  </cols>
  <sheetData>
    <row r="1" spans="1:83" ht="17.45" x14ac:dyDescent="0.3">
      <c r="A1" s="277" t="s">
        <v>60</v>
      </c>
      <c r="B1" s="278"/>
    </row>
    <row r="2" spans="1:83" ht="15.6" x14ac:dyDescent="0.3">
      <c r="A2" s="280" t="s">
        <v>214</v>
      </c>
      <c r="B2" s="281"/>
    </row>
    <row r="3" spans="1:83" ht="14.45" thickBot="1" x14ac:dyDescent="0.3">
      <c r="A3" s="282" t="s">
        <v>62</v>
      </c>
      <c r="B3" s="283"/>
    </row>
    <row r="6" spans="1:83" ht="13.15" x14ac:dyDescent="0.25">
      <c r="BI6" s="139" t="s">
        <v>68</v>
      </c>
      <c r="BJ6" s="139" t="s">
        <v>68</v>
      </c>
      <c r="BK6" s="139" t="s">
        <v>68</v>
      </c>
      <c r="BL6" s="139" t="s">
        <v>68</v>
      </c>
      <c r="BM6" s="140" t="s">
        <v>69</v>
      </c>
      <c r="BN6" s="140" t="s">
        <v>69</v>
      </c>
      <c r="BO6" s="140" t="s">
        <v>69</v>
      </c>
      <c r="BP6" s="140" t="s">
        <v>69</v>
      </c>
      <c r="BQ6" s="141" t="s">
        <v>70</v>
      </c>
      <c r="BR6" s="141" t="s">
        <v>70</v>
      </c>
      <c r="BS6" s="141" t="s">
        <v>70</v>
      </c>
      <c r="BT6" s="141" t="s">
        <v>70</v>
      </c>
      <c r="BU6" s="285" t="s">
        <v>215</v>
      </c>
      <c r="BV6" s="285" t="s">
        <v>215</v>
      </c>
      <c r="BW6" s="285" t="s">
        <v>215</v>
      </c>
      <c r="BX6" s="285" t="s">
        <v>215</v>
      </c>
      <c r="BY6" s="286" t="s">
        <v>216</v>
      </c>
      <c r="BZ6" s="286" t="s">
        <v>216</v>
      </c>
      <c r="CA6" s="286" t="s">
        <v>216</v>
      </c>
      <c r="CB6" s="286" t="s">
        <v>216</v>
      </c>
    </row>
    <row r="7" spans="1:83" s="284" customFormat="1" ht="13.15" x14ac:dyDescent="0.25">
      <c r="B7" s="284" t="s">
        <v>71</v>
      </c>
      <c r="C7" s="287" t="s">
        <v>72</v>
      </c>
      <c r="D7" s="287" t="s">
        <v>73</v>
      </c>
      <c r="E7" s="287" t="s">
        <v>74</v>
      </c>
      <c r="F7" s="287" t="s">
        <v>75</v>
      </c>
      <c r="G7" s="287" t="s">
        <v>76</v>
      </c>
      <c r="H7" s="287" t="s">
        <v>77</v>
      </c>
      <c r="I7" s="287" t="s">
        <v>78</v>
      </c>
      <c r="J7" s="287" t="s">
        <v>79</v>
      </c>
      <c r="K7" s="287" t="s">
        <v>80</v>
      </c>
      <c r="L7" s="287" t="s">
        <v>81</v>
      </c>
      <c r="M7" s="287" t="s">
        <v>82</v>
      </c>
      <c r="N7" s="287" t="s">
        <v>83</v>
      </c>
      <c r="O7" s="287" t="s">
        <v>84</v>
      </c>
      <c r="P7" s="287" t="s">
        <v>85</v>
      </c>
      <c r="Q7" s="287" t="s">
        <v>86</v>
      </c>
      <c r="R7" s="287" t="s">
        <v>87</v>
      </c>
      <c r="S7" s="287" t="s">
        <v>88</v>
      </c>
      <c r="T7" s="287" t="s">
        <v>89</v>
      </c>
      <c r="U7" s="287" t="s">
        <v>90</v>
      </c>
      <c r="V7" s="287" t="s">
        <v>91</v>
      </c>
      <c r="W7" s="287" t="s">
        <v>92</v>
      </c>
      <c r="X7" s="287" t="s">
        <v>93</v>
      </c>
      <c r="Y7" s="287" t="s">
        <v>94</v>
      </c>
      <c r="Z7" s="287" t="s">
        <v>95</v>
      </c>
      <c r="AA7" s="287" t="s">
        <v>96</v>
      </c>
      <c r="AB7" s="287" t="s">
        <v>97</v>
      </c>
      <c r="AC7" s="287" t="s">
        <v>98</v>
      </c>
      <c r="AD7" s="287" t="s">
        <v>99</v>
      </c>
      <c r="AE7" s="287" t="s">
        <v>100</v>
      </c>
      <c r="AF7" s="287" t="s">
        <v>101</v>
      </c>
      <c r="AG7" s="287" t="s">
        <v>102</v>
      </c>
      <c r="AH7" s="287" t="s">
        <v>103</v>
      </c>
      <c r="AI7" s="287" t="s">
        <v>104</v>
      </c>
      <c r="AJ7" s="287" t="s">
        <v>105</v>
      </c>
      <c r="AK7" s="287" t="s">
        <v>106</v>
      </c>
      <c r="AL7" s="287" t="s">
        <v>107</v>
      </c>
      <c r="AM7" s="287" t="s">
        <v>108</v>
      </c>
      <c r="AN7" s="287" t="s">
        <v>109</v>
      </c>
      <c r="AO7" s="287" t="s">
        <v>110</v>
      </c>
      <c r="AP7" s="287" t="s">
        <v>111</v>
      </c>
      <c r="AQ7" s="287" t="s">
        <v>112</v>
      </c>
      <c r="AR7" s="287" t="s">
        <v>113</v>
      </c>
      <c r="AS7" s="287" t="s">
        <v>114</v>
      </c>
      <c r="AT7" s="287" t="s">
        <v>115</v>
      </c>
      <c r="AU7" s="284" t="s">
        <v>116</v>
      </c>
      <c r="AV7" s="284" t="s">
        <v>117</v>
      </c>
      <c r="AW7" s="284" t="s">
        <v>118</v>
      </c>
      <c r="AX7" s="284" t="s">
        <v>119</v>
      </c>
      <c r="AY7" s="284" t="s">
        <v>120</v>
      </c>
      <c r="AZ7" s="284" t="s">
        <v>121</v>
      </c>
      <c r="BA7" s="284" t="s">
        <v>122</v>
      </c>
      <c r="BB7" s="284" t="s">
        <v>123</v>
      </c>
      <c r="BC7" s="284" t="s">
        <v>124</v>
      </c>
      <c r="BD7" s="284" t="s">
        <v>125</v>
      </c>
      <c r="BE7" s="284" t="s">
        <v>126</v>
      </c>
      <c r="BF7" s="284" t="s">
        <v>127</v>
      </c>
      <c r="BG7" s="284" t="s">
        <v>128</v>
      </c>
      <c r="BH7" s="284" t="s">
        <v>129</v>
      </c>
      <c r="BI7" s="284" t="s">
        <v>130</v>
      </c>
      <c r="BJ7" s="284" t="s">
        <v>131</v>
      </c>
      <c r="BK7" s="284" t="s">
        <v>132</v>
      </c>
      <c r="BL7" s="284" t="s">
        <v>133</v>
      </c>
      <c r="BM7" s="284" t="s">
        <v>134</v>
      </c>
      <c r="BN7" s="284" t="s">
        <v>135</v>
      </c>
      <c r="BO7" s="284" t="s">
        <v>136</v>
      </c>
      <c r="BP7" s="284" t="s">
        <v>137</v>
      </c>
      <c r="BQ7" s="284" t="s">
        <v>138</v>
      </c>
      <c r="BR7" s="284" t="s">
        <v>139</v>
      </c>
      <c r="BS7" s="284" t="s">
        <v>140</v>
      </c>
      <c r="BT7" s="284" t="s">
        <v>141</v>
      </c>
      <c r="BU7" s="284" t="s">
        <v>142</v>
      </c>
      <c r="BV7" s="284" t="s">
        <v>143</v>
      </c>
      <c r="BW7" s="284" t="s">
        <v>217</v>
      </c>
      <c r="BX7" s="284" t="s">
        <v>218</v>
      </c>
      <c r="BY7" s="284" t="s">
        <v>219</v>
      </c>
      <c r="BZ7" s="284" t="s">
        <v>220</v>
      </c>
      <c r="CA7" s="284" t="s">
        <v>221</v>
      </c>
      <c r="CB7" s="284" t="s">
        <v>222</v>
      </c>
      <c r="CC7" s="284" t="s">
        <v>223</v>
      </c>
      <c r="CD7" s="284" t="s">
        <v>224</v>
      </c>
      <c r="CE7" s="284" t="s">
        <v>144</v>
      </c>
    </row>
    <row r="8" spans="1:83" ht="13.15" x14ac:dyDescent="0.25">
      <c r="A8" s="284" t="s">
        <v>145</v>
      </c>
      <c r="B8" s="284" t="s">
        <v>146</v>
      </c>
      <c r="C8" s="288">
        <v>2.0339999999999998</v>
      </c>
      <c r="D8" s="288">
        <v>2.0590000000000002</v>
      </c>
      <c r="E8" s="288">
        <v>2.0640000000000001</v>
      </c>
      <c r="F8" s="288">
        <v>2.0870000000000002</v>
      </c>
      <c r="G8" s="288">
        <v>2.1040000000000001</v>
      </c>
      <c r="H8" s="288">
        <v>2.1150000000000002</v>
      </c>
      <c r="I8" s="288">
        <v>2.15</v>
      </c>
      <c r="J8" s="288">
        <v>2.169</v>
      </c>
      <c r="K8" s="288">
        <v>2.1880000000000002</v>
      </c>
      <c r="L8" s="288">
        <v>2.2130000000000001</v>
      </c>
      <c r="M8" s="288">
        <v>2.234</v>
      </c>
      <c r="N8" s="288">
        <v>2.2200000000000002</v>
      </c>
      <c r="O8" s="288">
        <v>2.234</v>
      </c>
      <c r="P8" s="288">
        <v>2.2589999999999999</v>
      </c>
      <c r="Q8" s="288">
        <v>2.2749999999999999</v>
      </c>
      <c r="R8" s="288">
        <v>2.3010000000000002</v>
      </c>
      <c r="S8" s="288">
        <v>2.3220000000000001</v>
      </c>
      <c r="T8" s="288">
        <v>2.363</v>
      </c>
      <c r="U8" s="288">
        <v>2.4039999999999999</v>
      </c>
      <c r="V8" s="288">
        <v>2.35</v>
      </c>
      <c r="W8" s="288">
        <v>2.3420000000000001</v>
      </c>
      <c r="X8" s="288">
        <v>2.347</v>
      </c>
      <c r="Y8" s="288">
        <v>2.367</v>
      </c>
      <c r="Z8" s="288">
        <v>2.38</v>
      </c>
      <c r="AA8" s="288">
        <v>2.3809999999999998</v>
      </c>
      <c r="AB8" s="288">
        <v>2.3839999999999999</v>
      </c>
      <c r="AC8" s="288">
        <v>2.3980000000000001</v>
      </c>
      <c r="AD8" s="288">
        <v>2.42</v>
      </c>
      <c r="AE8" s="288">
        <v>2.4340000000000002</v>
      </c>
      <c r="AF8" s="288">
        <v>2.4769999999999999</v>
      </c>
      <c r="AG8" s="288">
        <v>2.488</v>
      </c>
      <c r="AH8" s="288">
        <v>2.4950000000000001</v>
      </c>
      <c r="AI8" s="288">
        <v>2.5150000000000001</v>
      </c>
      <c r="AJ8" s="288">
        <v>2.5190000000000001</v>
      </c>
      <c r="AK8" s="288">
        <v>2.5289999999999999</v>
      </c>
      <c r="AL8" s="288">
        <v>2.5470000000000002</v>
      </c>
      <c r="AM8" s="288">
        <v>2.5569999999999999</v>
      </c>
      <c r="AN8" s="288">
        <v>2.5539999999999998</v>
      </c>
      <c r="AO8" s="288">
        <v>2.573</v>
      </c>
      <c r="AP8" s="288">
        <v>2.5870000000000002</v>
      </c>
      <c r="AQ8" s="288">
        <v>2.5979999999999999</v>
      </c>
      <c r="AR8" s="288">
        <v>2.6080000000000001</v>
      </c>
      <c r="AS8" s="288">
        <v>2.6139999999999999</v>
      </c>
      <c r="AT8" s="288">
        <v>2.6139999999999999</v>
      </c>
      <c r="AU8" s="279">
        <v>2.613</v>
      </c>
      <c r="AV8" s="279">
        <v>2.6230000000000002</v>
      </c>
      <c r="AW8" s="279">
        <v>2.6190000000000002</v>
      </c>
      <c r="AX8" s="279">
        <v>2.6240000000000001</v>
      </c>
      <c r="AY8" s="279">
        <v>2.6240000000000001</v>
      </c>
      <c r="AZ8" s="279">
        <v>2.6429999999999998</v>
      </c>
      <c r="BA8" s="279">
        <v>2.6640000000000001</v>
      </c>
      <c r="BB8" s="279">
        <v>2.6739999999999999</v>
      </c>
      <c r="BC8" s="279">
        <v>2.6949999999999998</v>
      </c>
      <c r="BD8" s="279">
        <v>2.694</v>
      </c>
      <c r="BE8" s="279">
        <v>2.706</v>
      </c>
      <c r="BF8" s="279">
        <v>2.714</v>
      </c>
      <c r="BG8" s="279">
        <v>2.746</v>
      </c>
      <c r="BH8" s="279">
        <v>2.7650000000000001</v>
      </c>
      <c r="BI8" s="279">
        <v>2.78</v>
      </c>
      <c r="BJ8" s="279">
        <v>2.8050000000000002</v>
      </c>
      <c r="BK8" s="279">
        <v>2.8250000000000002</v>
      </c>
      <c r="BL8" s="279">
        <v>2.8380000000000001</v>
      </c>
      <c r="BM8" s="279">
        <v>2.8479999999999999</v>
      </c>
      <c r="BN8" s="279">
        <v>2.8690000000000002</v>
      </c>
      <c r="BO8" s="279">
        <v>2.895</v>
      </c>
      <c r="BP8" s="279">
        <v>2.91</v>
      </c>
      <c r="BQ8" s="279">
        <v>2.9239999999999999</v>
      </c>
      <c r="BR8" s="279">
        <v>2.94</v>
      </c>
      <c r="BS8" s="279">
        <v>2.96</v>
      </c>
      <c r="BT8" s="279">
        <v>2.9790000000000001</v>
      </c>
      <c r="BU8" s="279">
        <v>2.9990000000000001</v>
      </c>
      <c r="BV8" s="279">
        <v>3.0169999999999999</v>
      </c>
      <c r="BW8" s="279">
        <v>3.0339999999999998</v>
      </c>
      <c r="BX8" s="279">
        <v>3.0510000000000002</v>
      </c>
      <c r="BY8" s="279">
        <v>3.07</v>
      </c>
      <c r="BZ8" s="279">
        <v>3.0880000000000001</v>
      </c>
      <c r="CA8" s="279">
        <v>3.1059999999999999</v>
      </c>
      <c r="CB8" s="279">
        <v>3.1219999999999999</v>
      </c>
      <c r="CC8" s="279">
        <v>3.14</v>
      </c>
      <c r="CD8" s="279">
        <v>3.1579999999999999</v>
      </c>
    </row>
    <row r="9" spans="1:83" ht="13.15" x14ac:dyDescent="0.25">
      <c r="A9" s="284" t="s">
        <v>147</v>
      </c>
      <c r="B9" s="284" t="s">
        <v>148</v>
      </c>
      <c r="C9" s="288">
        <v>2.0339999999999998</v>
      </c>
      <c r="D9" s="288">
        <v>2.0590000000000002</v>
      </c>
      <c r="E9" s="288">
        <v>2.0640000000000001</v>
      </c>
      <c r="F9" s="288">
        <v>2.0870000000000002</v>
      </c>
      <c r="G9" s="288">
        <v>2.1040000000000001</v>
      </c>
      <c r="H9" s="288">
        <v>2.1150000000000002</v>
      </c>
      <c r="I9" s="288">
        <v>2.15</v>
      </c>
      <c r="J9" s="288">
        <v>2.169</v>
      </c>
      <c r="K9" s="288">
        <v>2.1880000000000002</v>
      </c>
      <c r="L9" s="288">
        <v>2.2130000000000001</v>
      </c>
      <c r="M9" s="288">
        <v>2.234</v>
      </c>
      <c r="N9" s="288">
        <v>2.2200000000000002</v>
      </c>
      <c r="O9" s="288">
        <v>2.234</v>
      </c>
      <c r="P9" s="288">
        <v>2.2589999999999999</v>
      </c>
      <c r="Q9" s="288">
        <v>2.2749999999999999</v>
      </c>
      <c r="R9" s="288">
        <v>2.3010000000000002</v>
      </c>
      <c r="S9" s="288">
        <v>2.3220000000000001</v>
      </c>
      <c r="T9" s="288">
        <v>2.363</v>
      </c>
      <c r="U9" s="288">
        <v>2.4039999999999999</v>
      </c>
      <c r="V9" s="288">
        <v>2.35</v>
      </c>
      <c r="W9" s="288">
        <v>2.3420000000000001</v>
      </c>
      <c r="X9" s="288">
        <v>2.347</v>
      </c>
      <c r="Y9" s="288">
        <v>2.367</v>
      </c>
      <c r="Z9" s="288">
        <v>2.38</v>
      </c>
      <c r="AA9" s="288">
        <v>2.3809999999999998</v>
      </c>
      <c r="AB9" s="288">
        <v>2.3839999999999999</v>
      </c>
      <c r="AC9" s="288">
        <v>2.3980000000000001</v>
      </c>
      <c r="AD9" s="288">
        <v>2.42</v>
      </c>
      <c r="AE9" s="288">
        <v>2.4340000000000002</v>
      </c>
      <c r="AF9" s="288">
        <v>2.4769999999999999</v>
      </c>
      <c r="AG9" s="288">
        <v>2.488</v>
      </c>
      <c r="AH9" s="288">
        <v>2.4950000000000001</v>
      </c>
      <c r="AI9" s="288">
        <v>2.5150000000000001</v>
      </c>
      <c r="AJ9" s="288">
        <v>2.5190000000000001</v>
      </c>
      <c r="AK9" s="288">
        <v>2.5289999999999999</v>
      </c>
      <c r="AL9" s="288">
        <v>2.5470000000000002</v>
      </c>
      <c r="AM9" s="288">
        <v>2.5569999999999999</v>
      </c>
      <c r="AN9" s="288">
        <v>2.5539999999999998</v>
      </c>
      <c r="AO9" s="288">
        <v>2.573</v>
      </c>
      <c r="AP9" s="288">
        <v>2.5870000000000002</v>
      </c>
      <c r="AQ9" s="288">
        <v>2.5979999999999999</v>
      </c>
      <c r="AR9" s="288">
        <v>2.6080000000000001</v>
      </c>
      <c r="AS9" s="288">
        <v>2.6139999999999999</v>
      </c>
      <c r="AT9" s="288">
        <v>2.6139999999999999</v>
      </c>
      <c r="AU9" s="279">
        <v>2.613</v>
      </c>
      <c r="AV9" s="279">
        <v>2.6230000000000002</v>
      </c>
      <c r="AW9" s="279">
        <v>2.6190000000000002</v>
      </c>
      <c r="AX9" s="279">
        <v>2.6240000000000001</v>
      </c>
      <c r="AY9" s="279">
        <v>2.6240000000000001</v>
      </c>
      <c r="AZ9" s="279">
        <v>2.6429999999999998</v>
      </c>
      <c r="BA9" s="279">
        <v>2.6640000000000001</v>
      </c>
      <c r="BB9" s="279">
        <v>2.6739999999999999</v>
      </c>
      <c r="BC9" s="279">
        <v>2.6949999999999998</v>
      </c>
      <c r="BD9" s="279">
        <v>2.694</v>
      </c>
      <c r="BE9" s="279">
        <v>2.706</v>
      </c>
      <c r="BF9" s="279">
        <v>2.714</v>
      </c>
      <c r="BG9" s="279">
        <v>2.746</v>
      </c>
      <c r="BH9" s="279">
        <v>2.7650000000000001</v>
      </c>
      <c r="BI9" s="279">
        <v>2.78</v>
      </c>
      <c r="BJ9" s="279">
        <v>2.8010000000000002</v>
      </c>
      <c r="BK9" s="279">
        <v>2.8170000000000002</v>
      </c>
      <c r="BL9" s="279">
        <v>2.8260000000000001</v>
      </c>
      <c r="BM9" s="279">
        <v>2.8330000000000002</v>
      </c>
      <c r="BN9" s="279">
        <v>2.8519999999999999</v>
      </c>
      <c r="BO9" s="279">
        <v>2.8759999999999999</v>
      </c>
      <c r="BP9" s="279">
        <v>2.8879999999999999</v>
      </c>
      <c r="BQ9" s="279">
        <v>2.9</v>
      </c>
      <c r="BR9" s="279">
        <v>2.9129999999999998</v>
      </c>
      <c r="BS9" s="279">
        <v>2.931</v>
      </c>
      <c r="BT9" s="279">
        <v>2.9470000000000001</v>
      </c>
      <c r="BU9" s="279">
        <v>2.9630000000000001</v>
      </c>
      <c r="BV9" s="279">
        <v>2.9769999999999999</v>
      </c>
      <c r="BW9" s="279">
        <v>2.99</v>
      </c>
      <c r="BX9" s="279">
        <v>3.004</v>
      </c>
      <c r="BY9" s="279">
        <v>3.0190000000000001</v>
      </c>
      <c r="BZ9" s="279">
        <v>3.0339999999999998</v>
      </c>
      <c r="CA9" s="279">
        <v>3.0489999999999999</v>
      </c>
      <c r="CB9" s="279">
        <v>3.0619999999999998</v>
      </c>
      <c r="CC9" s="279">
        <v>3.0790000000000002</v>
      </c>
      <c r="CD9" s="279">
        <v>3.0950000000000002</v>
      </c>
    </row>
    <row r="10" spans="1:83" ht="13.15" x14ac:dyDescent="0.25">
      <c r="A10" s="284" t="s">
        <v>149</v>
      </c>
      <c r="B10" s="284" t="s">
        <v>150</v>
      </c>
      <c r="C10" s="288">
        <v>2.0339999999999998</v>
      </c>
      <c r="D10" s="288">
        <v>2.0590000000000002</v>
      </c>
      <c r="E10" s="288">
        <v>2.0640000000000001</v>
      </c>
      <c r="F10" s="288">
        <v>2.0870000000000002</v>
      </c>
      <c r="G10" s="288">
        <v>2.1040000000000001</v>
      </c>
      <c r="H10" s="288">
        <v>2.1150000000000002</v>
      </c>
      <c r="I10" s="288">
        <v>2.15</v>
      </c>
      <c r="J10" s="288">
        <v>2.169</v>
      </c>
      <c r="K10" s="288">
        <v>2.1880000000000002</v>
      </c>
      <c r="L10" s="288">
        <v>2.2130000000000001</v>
      </c>
      <c r="M10" s="288">
        <v>2.234</v>
      </c>
      <c r="N10" s="288">
        <v>2.2200000000000002</v>
      </c>
      <c r="O10" s="288">
        <v>2.234</v>
      </c>
      <c r="P10" s="288">
        <v>2.2589999999999999</v>
      </c>
      <c r="Q10" s="288">
        <v>2.2749999999999999</v>
      </c>
      <c r="R10" s="288">
        <v>2.3010000000000002</v>
      </c>
      <c r="S10" s="288">
        <v>2.3220000000000001</v>
      </c>
      <c r="T10" s="288">
        <v>2.363</v>
      </c>
      <c r="U10" s="288">
        <v>2.4039999999999999</v>
      </c>
      <c r="V10" s="288">
        <v>2.35</v>
      </c>
      <c r="W10" s="288">
        <v>2.3420000000000001</v>
      </c>
      <c r="X10" s="288">
        <v>2.347</v>
      </c>
      <c r="Y10" s="288">
        <v>2.367</v>
      </c>
      <c r="Z10" s="288">
        <v>2.38</v>
      </c>
      <c r="AA10" s="288">
        <v>2.3809999999999998</v>
      </c>
      <c r="AB10" s="288">
        <v>2.3839999999999999</v>
      </c>
      <c r="AC10" s="288">
        <v>2.3980000000000001</v>
      </c>
      <c r="AD10" s="288">
        <v>2.42</v>
      </c>
      <c r="AE10" s="288">
        <v>2.4340000000000002</v>
      </c>
      <c r="AF10" s="288">
        <v>2.4769999999999999</v>
      </c>
      <c r="AG10" s="288">
        <v>2.488</v>
      </c>
      <c r="AH10" s="288">
        <v>2.4950000000000001</v>
      </c>
      <c r="AI10" s="288">
        <v>2.5150000000000001</v>
      </c>
      <c r="AJ10" s="288">
        <v>2.5190000000000001</v>
      </c>
      <c r="AK10" s="288">
        <v>2.5289999999999999</v>
      </c>
      <c r="AL10" s="288">
        <v>2.5470000000000002</v>
      </c>
      <c r="AM10" s="288">
        <v>2.5569999999999999</v>
      </c>
      <c r="AN10" s="288">
        <v>2.5539999999999998</v>
      </c>
      <c r="AO10" s="288">
        <v>2.573</v>
      </c>
      <c r="AP10" s="288">
        <v>2.5870000000000002</v>
      </c>
      <c r="AQ10" s="288">
        <v>2.5979999999999999</v>
      </c>
      <c r="AR10" s="288">
        <v>2.6080000000000001</v>
      </c>
      <c r="AS10" s="288">
        <v>2.6139999999999999</v>
      </c>
      <c r="AT10" s="288">
        <v>2.6139999999999999</v>
      </c>
      <c r="AU10" s="279">
        <v>2.613</v>
      </c>
      <c r="AV10" s="279">
        <v>2.6230000000000002</v>
      </c>
      <c r="AW10" s="279">
        <v>2.6190000000000002</v>
      </c>
      <c r="AX10" s="279">
        <v>2.6240000000000001</v>
      </c>
      <c r="AY10" s="279">
        <v>2.6240000000000001</v>
      </c>
      <c r="AZ10" s="279">
        <v>2.6429999999999998</v>
      </c>
      <c r="BA10" s="279">
        <v>2.6640000000000001</v>
      </c>
      <c r="BB10" s="279">
        <v>2.6739999999999999</v>
      </c>
      <c r="BC10" s="279">
        <v>2.6949999999999998</v>
      </c>
      <c r="BD10" s="279">
        <v>2.694</v>
      </c>
      <c r="BE10" s="279">
        <v>2.706</v>
      </c>
      <c r="BF10" s="279">
        <v>2.714</v>
      </c>
      <c r="BG10" s="279">
        <v>2.746</v>
      </c>
      <c r="BH10" s="279">
        <v>2.7650000000000001</v>
      </c>
      <c r="BI10" s="279">
        <v>2.78</v>
      </c>
      <c r="BJ10" s="279">
        <v>2.806</v>
      </c>
      <c r="BK10" s="279">
        <v>2.827</v>
      </c>
      <c r="BL10" s="279">
        <v>2.8420000000000001</v>
      </c>
      <c r="BM10" s="279">
        <v>2.855</v>
      </c>
      <c r="BN10" s="279">
        <v>2.88</v>
      </c>
      <c r="BO10" s="279">
        <v>2.911</v>
      </c>
      <c r="BP10" s="279">
        <v>2.931</v>
      </c>
      <c r="BQ10" s="279">
        <v>2.95</v>
      </c>
      <c r="BR10" s="279">
        <v>2.972</v>
      </c>
      <c r="BS10" s="279">
        <v>2.9980000000000002</v>
      </c>
      <c r="BT10" s="279">
        <v>3.0230000000000001</v>
      </c>
      <c r="BU10" s="279">
        <v>3.0489999999999999</v>
      </c>
      <c r="BV10" s="279">
        <v>3.073</v>
      </c>
      <c r="BW10" s="279">
        <v>3.0979999999999999</v>
      </c>
      <c r="BX10" s="279">
        <v>3.1219999999999999</v>
      </c>
      <c r="BY10" s="279">
        <v>3.149</v>
      </c>
      <c r="BZ10" s="279">
        <v>3.1749999999999998</v>
      </c>
      <c r="CA10" s="279">
        <v>3.2010000000000001</v>
      </c>
      <c r="CB10" s="279">
        <v>3.2250000000000001</v>
      </c>
      <c r="CC10" s="279">
        <v>3.2519999999999998</v>
      </c>
      <c r="CD10" s="279">
        <v>3.278</v>
      </c>
    </row>
    <row r="13" spans="1:83" ht="13.15" x14ac:dyDescent="0.25">
      <c r="BF13" s="145" t="s">
        <v>151</v>
      </c>
      <c r="BG13" s="146"/>
      <c r="BH13" s="146"/>
      <c r="BI13" s="147" t="s">
        <v>225</v>
      </c>
      <c r="BJ13" s="148"/>
      <c r="BK13" s="148"/>
      <c r="BL13" s="148"/>
      <c r="BM13" s="148"/>
      <c r="BN13" s="148"/>
      <c r="BO13" s="146"/>
      <c r="BP13" s="146"/>
      <c r="BQ13" s="146"/>
    </row>
    <row r="14" spans="1:83" ht="13.15" x14ac:dyDescent="0.25">
      <c r="BF14" s="149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1"/>
    </row>
    <row r="15" spans="1:83" ht="13.15" x14ac:dyDescent="0.25">
      <c r="BF15" s="153"/>
      <c r="BG15" s="154" t="s">
        <v>153</v>
      </c>
      <c r="BH15" s="155" t="s">
        <v>226</v>
      </c>
      <c r="BI15" s="155"/>
      <c r="BJ15" s="155"/>
      <c r="BK15" s="155"/>
      <c r="BL15" s="155"/>
      <c r="BM15" s="155"/>
      <c r="BN15" s="155"/>
      <c r="BO15" s="155"/>
      <c r="BP15" s="155"/>
      <c r="BQ15" s="156"/>
    </row>
    <row r="16" spans="1:83" ht="13.15" x14ac:dyDescent="0.25">
      <c r="BF16" s="153"/>
      <c r="BG16" s="155"/>
      <c r="BH16" s="284" t="s">
        <v>133</v>
      </c>
      <c r="BI16" s="155"/>
      <c r="BJ16" s="155"/>
      <c r="BK16" s="155"/>
      <c r="BL16" s="155"/>
      <c r="BM16" s="155"/>
      <c r="BN16" s="155"/>
      <c r="BO16" s="155"/>
      <c r="BP16" s="155"/>
      <c r="BQ16" s="157" t="s">
        <v>16</v>
      </c>
    </row>
    <row r="17" spans="58:69" ht="13.15" x14ac:dyDescent="0.25">
      <c r="BF17" s="153"/>
      <c r="BG17" s="155"/>
      <c r="BH17" s="289">
        <f>BL9</f>
        <v>2.8260000000000001</v>
      </c>
      <c r="BI17" s="155"/>
      <c r="BJ17" s="155"/>
      <c r="BK17" s="155"/>
      <c r="BL17" s="155"/>
      <c r="BM17" s="155"/>
      <c r="BN17" s="155"/>
      <c r="BO17" s="155"/>
      <c r="BP17" s="155"/>
      <c r="BQ17" s="158">
        <f>BH17</f>
        <v>2.8260000000000001</v>
      </c>
    </row>
    <row r="18" spans="58:69" ht="13.15" x14ac:dyDescent="0.25">
      <c r="BF18" s="153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9"/>
    </row>
    <row r="19" spans="58:69" ht="13.15" x14ac:dyDescent="0.25">
      <c r="BF19" s="153"/>
      <c r="BG19" s="154" t="s">
        <v>155</v>
      </c>
      <c r="BH19" s="155" t="s">
        <v>227</v>
      </c>
      <c r="BI19" s="155"/>
      <c r="BJ19" s="155"/>
      <c r="BK19" s="155"/>
      <c r="BL19" s="155"/>
      <c r="BM19" s="155"/>
      <c r="BN19" s="155"/>
      <c r="BO19" s="155"/>
      <c r="BP19" s="155"/>
      <c r="BQ19" s="159"/>
    </row>
    <row r="20" spans="58:69" ht="13.15" x14ac:dyDescent="0.25">
      <c r="BF20" s="153"/>
      <c r="BG20" s="155"/>
      <c r="BH20" s="290" t="str">
        <f>BM7</f>
        <v>2019Q3</v>
      </c>
      <c r="BI20" s="287" t="str">
        <f t="shared" ref="BI20:BO20" si="0">BN7</f>
        <v>2019Q4</v>
      </c>
      <c r="BJ20" s="287" t="str">
        <f t="shared" si="0"/>
        <v>2020Q1</v>
      </c>
      <c r="BK20" s="287" t="str">
        <f t="shared" si="0"/>
        <v>2020Q2</v>
      </c>
      <c r="BL20" s="287" t="str">
        <f t="shared" si="0"/>
        <v>2020Q3</v>
      </c>
      <c r="BM20" s="287" t="str">
        <f t="shared" si="0"/>
        <v>2020Q4</v>
      </c>
      <c r="BN20" s="287" t="str">
        <f t="shared" si="0"/>
        <v>2021Q1</v>
      </c>
      <c r="BO20" s="287" t="str">
        <f t="shared" si="0"/>
        <v>2021Q2</v>
      </c>
      <c r="BP20" s="155"/>
      <c r="BQ20" s="159"/>
    </row>
    <row r="21" spans="58:69" ht="13.15" x14ac:dyDescent="0.25">
      <c r="BF21" s="153"/>
      <c r="BG21" s="155"/>
      <c r="BH21" s="288">
        <f>BM9</f>
        <v>2.8330000000000002</v>
      </c>
      <c r="BI21" s="288">
        <f t="shared" ref="BI21:BO21" si="1">BN9</f>
        <v>2.8519999999999999</v>
      </c>
      <c r="BJ21" s="288">
        <f t="shared" si="1"/>
        <v>2.8759999999999999</v>
      </c>
      <c r="BK21" s="288">
        <f t="shared" si="1"/>
        <v>2.8879999999999999</v>
      </c>
      <c r="BL21" s="288">
        <f t="shared" si="1"/>
        <v>2.9</v>
      </c>
      <c r="BM21" s="288">
        <f t="shared" si="1"/>
        <v>2.9129999999999998</v>
      </c>
      <c r="BN21" s="288">
        <f t="shared" si="1"/>
        <v>2.931</v>
      </c>
      <c r="BO21" s="288">
        <f t="shared" si="1"/>
        <v>2.9470000000000001</v>
      </c>
      <c r="BP21" s="155"/>
      <c r="BQ21" s="158">
        <f>AVERAGE(BH21:BO21)</f>
        <v>2.8925000000000001</v>
      </c>
    </row>
    <row r="22" spans="58:69" ht="13.15" x14ac:dyDescent="0.25">
      <c r="BF22" s="153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9"/>
    </row>
    <row r="23" spans="58:69" ht="13.15" x14ac:dyDescent="0.25">
      <c r="BF23" s="153"/>
      <c r="BG23" s="155"/>
      <c r="BH23" s="155"/>
      <c r="BI23" s="155"/>
      <c r="BJ23" s="155"/>
      <c r="BK23" s="155"/>
      <c r="BL23" s="155"/>
      <c r="BM23" s="155"/>
      <c r="BN23" s="155"/>
      <c r="BO23" s="155"/>
      <c r="BP23" s="160" t="s">
        <v>157</v>
      </c>
      <c r="BQ23" s="161">
        <f>(BQ21-BQ17)/BQ17</f>
        <v>2.3531493276716206E-2</v>
      </c>
    </row>
    <row r="24" spans="58:69" ht="13.15" x14ac:dyDescent="0.25">
      <c r="BF24" s="162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4"/>
    </row>
    <row r="28" spans="58:69" ht="13.15" x14ac:dyDescent="0.25">
      <c r="BF28" s="284"/>
    </row>
  </sheetData>
  <pageMargins left="0.25" right="0.2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showGridLines="0" showRowColHeaders="0" workbookViewId="0">
      <selection activeCell="D32" sqref="D32"/>
    </sheetView>
  </sheetViews>
  <sheetFormatPr defaultRowHeight="15" x14ac:dyDescent="0.25"/>
  <cols>
    <col min="2" max="2" width="32.28515625" customWidth="1"/>
    <col min="3" max="3" width="9.5703125" customWidth="1"/>
    <col min="10" max="10" width="17.85546875" customWidth="1"/>
  </cols>
  <sheetData>
    <row r="1" spans="2:10" ht="14.45" thickBot="1" x14ac:dyDescent="0.35"/>
    <row r="2" spans="2:10" ht="14.45" thickBot="1" x14ac:dyDescent="0.35">
      <c r="B2" s="330" t="s">
        <v>195</v>
      </c>
      <c r="C2" s="331"/>
      <c r="D2" s="331"/>
      <c r="E2" s="331"/>
      <c r="F2" s="331"/>
      <c r="G2" s="331"/>
      <c r="H2" s="331"/>
      <c r="I2" s="331"/>
      <c r="J2" s="332"/>
    </row>
    <row r="3" spans="2:10" ht="14.45" thickBot="1" x14ac:dyDescent="0.35">
      <c r="B3" s="222" t="s">
        <v>3</v>
      </c>
      <c r="C3" s="229" t="s">
        <v>17</v>
      </c>
      <c r="D3" s="333" t="s">
        <v>163</v>
      </c>
      <c r="E3" s="334"/>
      <c r="F3" s="334"/>
      <c r="G3" s="334"/>
      <c r="H3" s="334"/>
      <c r="I3" s="334"/>
      <c r="J3" s="335"/>
    </row>
    <row r="4" spans="2:10" ht="14.45" thickBot="1" x14ac:dyDescent="0.35">
      <c r="B4" s="215" t="s">
        <v>4</v>
      </c>
      <c r="C4" s="255">
        <f>59702*(C16+1)</f>
        <v>62943.848451000005</v>
      </c>
      <c r="D4" s="336" t="s">
        <v>188</v>
      </c>
      <c r="E4" s="337"/>
      <c r="F4" s="337"/>
      <c r="G4" s="337"/>
      <c r="H4" s="337"/>
      <c r="I4" s="337"/>
      <c r="J4" s="338"/>
    </row>
    <row r="5" spans="2:10" ht="14.45" thickBot="1" x14ac:dyDescent="0.35">
      <c r="B5" s="227" t="s">
        <v>190</v>
      </c>
      <c r="C5" s="218">
        <v>49578</v>
      </c>
      <c r="D5" s="12" t="s">
        <v>205</v>
      </c>
      <c r="E5" s="13"/>
      <c r="F5" s="13"/>
      <c r="G5" s="13"/>
      <c r="H5" s="13"/>
      <c r="I5" s="13"/>
      <c r="J5" s="57"/>
    </row>
    <row r="6" spans="2:10" ht="14.45" thickBot="1" x14ac:dyDescent="0.35">
      <c r="B6" s="216" t="s">
        <v>25</v>
      </c>
      <c r="C6" s="218">
        <f>37039*(C16+1)</f>
        <v>39050.236219500002</v>
      </c>
      <c r="D6" s="53" t="s">
        <v>188</v>
      </c>
      <c r="E6" s="54"/>
      <c r="F6" s="54"/>
      <c r="G6" s="54"/>
      <c r="H6" s="54"/>
      <c r="I6" s="54"/>
      <c r="J6" s="221"/>
    </row>
    <row r="7" spans="2:10" ht="14.45" thickBot="1" x14ac:dyDescent="0.35">
      <c r="B7" s="228" t="s">
        <v>191</v>
      </c>
      <c r="C7" s="218">
        <v>37996</v>
      </c>
      <c r="D7" s="53" t="s">
        <v>206</v>
      </c>
      <c r="E7" s="54"/>
      <c r="F7" s="54"/>
      <c r="G7" s="54"/>
      <c r="H7" s="54"/>
      <c r="I7" s="54"/>
      <c r="J7" s="221"/>
    </row>
    <row r="8" spans="2:10" ht="14.45" thickBot="1" x14ac:dyDescent="0.35">
      <c r="B8" s="228" t="s">
        <v>192</v>
      </c>
      <c r="C8" s="218">
        <v>30485</v>
      </c>
      <c r="D8" s="53" t="s">
        <v>204</v>
      </c>
      <c r="E8" s="54"/>
      <c r="F8" s="54"/>
      <c r="G8" s="54"/>
      <c r="H8" s="54"/>
      <c r="I8" s="54"/>
      <c r="J8" s="221"/>
    </row>
    <row r="9" spans="2:10" ht="14.45" thickBot="1" x14ac:dyDescent="0.35">
      <c r="B9" s="217" t="s">
        <v>171</v>
      </c>
      <c r="C9" s="218">
        <v>30485</v>
      </c>
      <c r="D9" s="53" t="s">
        <v>204</v>
      </c>
      <c r="E9" s="54"/>
      <c r="F9" s="54"/>
      <c r="G9" s="54"/>
      <c r="H9" s="54"/>
      <c r="I9" s="54"/>
      <c r="J9" s="221"/>
    </row>
    <row r="10" spans="2:10" ht="14.45" thickBot="1" x14ac:dyDescent="0.35">
      <c r="B10" s="216" t="s">
        <v>26</v>
      </c>
      <c r="C10" s="218">
        <v>30485</v>
      </c>
      <c r="D10" s="53" t="s">
        <v>204</v>
      </c>
      <c r="E10" s="54"/>
      <c r="F10" s="54"/>
      <c r="G10" s="54"/>
      <c r="H10" s="54"/>
      <c r="I10" s="54"/>
      <c r="J10" s="221"/>
    </row>
    <row r="11" spans="2:10" ht="14.45" thickBot="1" x14ac:dyDescent="0.35">
      <c r="B11" s="216" t="s">
        <v>27</v>
      </c>
      <c r="C11" s="218">
        <v>30485</v>
      </c>
      <c r="D11" s="53" t="s">
        <v>204</v>
      </c>
      <c r="E11" s="54"/>
      <c r="F11" s="54"/>
      <c r="G11" s="54"/>
      <c r="H11" s="54"/>
      <c r="I11" s="54"/>
      <c r="J11" s="221"/>
    </row>
    <row r="12" spans="2:10" ht="14.45" thickBot="1" x14ac:dyDescent="0.35">
      <c r="B12" s="228" t="s">
        <v>194</v>
      </c>
      <c r="C12" s="218">
        <v>30485</v>
      </c>
      <c r="D12" s="53" t="s">
        <v>204</v>
      </c>
      <c r="E12" s="54"/>
      <c r="F12" s="54"/>
      <c r="G12" s="54"/>
      <c r="H12" s="54"/>
      <c r="I12" s="54"/>
      <c r="J12" s="221"/>
    </row>
    <row r="13" spans="2:10" ht="14.45" thickBot="1" x14ac:dyDescent="0.35">
      <c r="B13" s="250" t="s">
        <v>5</v>
      </c>
      <c r="C13" s="218">
        <v>30485</v>
      </c>
      <c r="D13" s="53" t="s">
        <v>204</v>
      </c>
      <c r="E13" s="54"/>
      <c r="F13" s="54"/>
      <c r="G13" s="54"/>
      <c r="H13" s="54"/>
      <c r="I13" s="54"/>
      <c r="J13" s="221"/>
    </row>
    <row r="14" spans="2:10" ht="14.45" thickBot="1" x14ac:dyDescent="0.35">
      <c r="B14" s="225" t="s">
        <v>30</v>
      </c>
      <c r="C14" s="218">
        <v>30485</v>
      </c>
      <c r="D14" s="53" t="s">
        <v>204</v>
      </c>
      <c r="E14" s="54"/>
      <c r="F14" s="54"/>
      <c r="G14" s="54"/>
      <c r="H14" s="54"/>
      <c r="I14" s="54"/>
      <c r="J14" s="221"/>
    </row>
    <row r="15" spans="2:10" ht="14.45" thickBot="1" x14ac:dyDescent="0.35">
      <c r="B15" s="21"/>
      <c r="C15" s="21"/>
      <c r="D15" s="5"/>
      <c r="E15" s="5"/>
      <c r="F15" s="5"/>
      <c r="G15" s="5"/>
      <c r="H15" s="5"/>
      <c r="I15" s="5"/>
      <c r="J15" s="9"/>
    </row>
    <row r="16" spans="2:10" ht="14.45" thickBot="1" x14ac:dyDescent="0.35">
      <c r="B16" s="220" t="s">
        <v>182</v>
      </c>
      <c r="C16" s="252">
        <v>5.4300500000000002E-2</v>
      </c>
      <c r="D16" s="256" t="s">
        <v>172</v>
      </c>
      <c r="E16" s="54"/>
      <c r="F16" s="54"/>
      <c r="G16" s="54"/>
      <c r="H16" s="54"/>
      <c r="I16" s="54"/>
      <c r="J16" s="221"/>
    </row>
    <row r="17" spans="2:10" thickBot="1" x14ac:dyDescent="0.35">
      <c r="B17" s="220" t="s">
        <v>228</v>
      </c>
      <c r="C17" s="291">
        <f>'CAF Fall 2018'!BQ23</f>
        <v>2.3531493276716206E-2</v>
      </c>
      <c r="D17" s="292" t="s">
        <v>229</v>
      </c>
      <c r="E17" s="293"/>
      <c r="F17" s="293"/>
      <c r="G17" s="293"/>
      <c r="H17" s="293"/>
      <c r="I17" s="5"/>
      <c r="J17" s="9"/>
    </row>
    <row r="18" spans="2:10" ht="14.45" thickBot="1" x14ac:dyDescent="0.35">
      <c r="B18" s="216" t="s">
        <v>32</v>
      </c>
      <c r="C18" s="223">
        <v>0.22500000000000001</v>
      </c>
      <c r="D18" s="53" t="s">
        <v>187</v>
      </c>
      <c r="E18" s="54"/>
      <c r="F18" s="54"/>
      <c r="G18" s="54"/>
      <c r="H18" s="54"/>
      <c r="I18" s="54"/>
      <c r="J18" s="221"/>
    </row>
    <row r="19" spans="2:10" ht="14.45" thickBot="1" x14ac:dyDescent="0.35">
      <c r="B19" s="225" t="s">
        <v>33</v>
      </c>
      <c r="C19" s="253">
        <v>0.115</v>
      </c>
      <c r="D19" s="53" t="s">
        <v>187</v>
      </c>
      <c r="E19" s="54"/>
      <c r="F19" s="54"/>
      <c r="G19" s="54"/>
      <c r="H19" s="54"/>
      <c r="I19" s="54"/>
      <c r="J19" s="221"/>
    </row>
    <row r="20" spans="2:10" ht="14.45" thickBot="1" x14ac:dyDescent="0.35">
      <c r="B20" s="226"/>
      <c r="C20" s="21"/>
      <c r="D20" s="5"/>
      <c r="E20" s="5"/>
      <c r="F20" s="5"/>
      <c r="G20" s="5"/>
      <c r="H20" s="5"/>
      <c r="I20" s="5"/>
      <c r="J20" s="9"/>
    </row>
    <row r="21" spans="2:10" ht="14.45" thickBot="1" x14ac:dyDescent="0.35">
      <c r="B21" s="230" t="s">
        <v>189</v>
      </c>
      <c r="C21" s="251">
        <f>8471*(C16+1)</f>
        <v>8930.9795355000006</v>
      </c>
      <c r="D21" s="257" t="s">
        <v>185</v>
      </c>
      <c r="E21" s="54"/>
      <c r="F21" s="54"/>
      <c r="G21" s="54"/>
      <c r="H21" s="54"/>
      <c r="I21" s="54"/>
      <c r="J21" s="221"/>
    </row>
    <row r="22" spans="2:10" ht="14.45" thickBot="1" x14ac:dyDescent="0.35">
      <c r="B22" s="220" t="s">
        <v>183</v>
      </c>
      <c r="C22" s="224">
        <f>4*(C16+1)</f>
        <v>4.2172020000000003</v>
      </c>
      <c r="D22" s="257" t="s">
        <v>186</v>
      </c>
      <c r="E22" s="54"/>
      <c r="F22" s="54"/>
      <c r="G22" s="54"/>
      <c r="H22" s="54"/>
      <c r="I22" s="54"/>
      <c r="J22" s="221"/>
    </row>
    <row r="23" spans="2:10" ht="14.45" thickBot="1" x14ac:dyDescent="0.35">
      <c r="B23" s="225" t="s">
        <v>184</v>
      </c>
      <c r="C23" s="254">
        <f>682*(C16+1)</f>
        <v>719.03294100000005</v>
      </c>
      <c r="D23" s="259" t="s">
        <v>185</v>
      </c>
      <c r="E23" s="13"/>
      <c r="F23" s="13"/>
      <c r="G23" s="13"/>
      <c r="H23" s="13"/>
      <c r="I23" s="13"/>
      <c r="J23" s="57"/>
    </row>
    <row r="24" spans="2:10" ht="14.45" thickBot="1" x14ac:dyDescent="0.35">
      <c r="B24" s="260" t="s">
        <v>210</v>
      </c>
      <c r="C24" s="258">
        <v>6.3E-3</v>
      </c>
      <c r="D24" s="261" t="s">
        <v>211</v>
      </c>
      <c r="E24" s="261"/>
      <c r="F24" s="54"/>
      <c r="G24" s="54"/>
      <c r="H24" s="54"/>
      <c r="I24" s="54"/>
      <c r="J24" s="221"/>
    </row>
  </sheetData>
  <mergeCells count="3">
    <mergeCell ref="B2:J2"/>
    <mergeCell ref="D3:J3"/>
    <mergeCell ref="D4:J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showGridLines="0" showRowColHeaders="0" view="pageLayout" topLeftCell="A28" zoomScaleNormal="80" workbookViewId="0">
      <selection activeCell="L27" sqref="L27"/>
    </sheetView>
  </sheetViews>
  <sheetFormatPr defaultRowHeight="15" x14ac:dyDescent="0.25"/>
  <cols>
    <col min="1" max="1" width="26" customWidth="1"/>
    <col min="2" max="2" width="13.7109375" customWidth="1"/>
    <col min="3" max="3" width="11.28515625" customWidth="1"/>
    <col min="4" max="4" width="12.5703125" customWidth="1"/>
    <col min="5" max="5" width="8.85546875" customWidth="1"/>
    <col min="6" max="6" width="8.85546875" hidden="1" customWidth="1"/>
    <col min="7" max="7" width="8.85546875" customWidth="1"/>
    <col min="8" max="8" width="6.28515625" customWidth="1"/>
    <col min="9" max="9" width="34.7109375" customWidth="1"/>
    <col min="10" max="10" width="15.42578125" customWidth="1"/>
    <col min="11" max="11" width="16.28515625" customWidth="1"/>
    <col min="12" max="12" width="17.42578125" customWidth="1"/>
    <col min="13" max="13" width="4.7109375" style="55" customWidth="1"/>
    <col min="14" max="17" width="3.5703125" style="55" customWidth="1"/>
    <col min="18" max="20" width="3.5703125" customWidth="1"/>
    <col min="21" max="25" width="9.140625" customWidth="1"/>
    <col min="26" max="26" width="8.85546875" customWidth="1"/>
    <col min="27" max="28" width="12.42578125" customWidth="1"/>
    <col min="30" max="30" width="10.7109375" bestFit="1" customWidth="1"/>
    <col min="31" max="31" width="14.140625" customWidth="1"/>
    <col min="32" max="32" width="11.28515625" customWidth="1"/>
    <col min="33" max="33" width="12" customWidth="1"/>
    <col min="34" max="34" width="10.5703125" customWidth="1"/>
  </cols>
  <sheetData>
    <row r="1" spans="1:30" thickBot="1" x14ac:dyDescent="0.35">
      <c r="I1" s="195"/>
      <c r="N1" s="315"/>
      <c r="O1" s="315"/>
      <c r="P1" s="315"/>
      <c r="Q1" s="315"/>
      <c r="AC1" s="28"/>
    </row>
    <row r="2" spans="1:30" ht="18" customHeight="1" thickBot="1" x14ac:dyDescent="0.35">
      <c r="A2" s="65"/>
      <c r="B2" s="341" t="s">
        <v>38</v>
      </c>
      <c r="C2" s="342"/>
      <c r="D2" s="343"/>
      <c r="E2" s="73"/>
      <c r="F2" s="95">
        <v>100</v>
      </c>
      <c r="I2" s="344" t="s">
        <v>208</v>
      </c>
      <c r="J2" s="345"/>
      <c r="K2" s="345"/>
      <c r="L2" s="346"/>
      <c r="M2" s="40"/>
      <c r="N2" s="340" t="s">
        <v>180</v>
      </c>
      <c r="O2" s="340"/>
      <c r="P2" s="316"/>
      <c r="Q2" s="316" t="s">
        <v>47</v>
      </c>
      <c r="R2" s="168"/>
    </row>
    <row r="3" spans="1:30" thickBot="1" x14ac:dyDescent="0.35">
      <c r="A3" s="112" t="s">
        <v>37</v>
      </c>
      <c r="B3" s="66">
        <v>1</v>
      </c>
      <c r="C3" s="63">
        <v>2</v>
      </c>
      <c r="D3" s="64">
        <v>3</v>
      </c>
      <c r="E3" s="74" t="s">
        <v>13</v>
      </c>
      <c r="F3" s="94">
        <v>1.4</v>
      </c>
      <c r="G3" s="124" t="s">
        <v>2</v>
      </c>
      <c r="I3" s="35" t="s">
        <v>0</v>
      </c>
      <c r="J3" s="36">
        <v>100</v>
      </c>
      <c r="K3" s="36" t="s">
        <v>14</v>
      </c>
      <c r="L3" s="37">
        <v>12</v>
      </c>
      <c r="M3" s="39"/>
      <c r="N3" s="317"/>
      <c r="O3" s="317"/>
      <c r="P3" s="318"/>
      <c r="Q3" s="317"/>
    </row>
    <row r="4" spans="1:30" thickBot="1" x14ac:dyDescent="0.35">
      <c r="A4" s="119" t="s">
        <v>4</v>
      </c>
      <c r="B4" s="20">
        <v>0.5</v>
      </c>
      <c r="C4" s="20">
        <v>0.5</v>
      </c>
      <c r="D4" s="117">
        <v>0.5</v>
      </c>
      <c r="E4" s="120">
        <f>D4+C4+B4</f>
        <v>1.5</v>
      </c>
      <c r="F4" s="95">
        <f>E4*$N$1</f>
        <v>0</v>
      </c>
      <c r="G4" s="125">
        <f t="shared" ref="G4:G9" si="0">E4*1.4</f>
        <v>2.0999999999999996</v>
      </c>
      <c r="I4" s="53" t="s">
        <v>1</v>
      </c>
      <c r="J4" s="47" t="s">
        <v>17</v>
      </c>
      <c r="K4" s="47" t="s">
        <v>2</v>
      </c>
      <c r="L4" s="38" t="s">
        <v>3</v>
      </c>
      <c r="M4" s="41"/>
      <c r="N4" s="319" t="s">
        <v>2</v>
      </c>
      <c r="O4" s="320"/>
      <c r="P4" s="320"/>
      <c r="Q4" s="320"/>
    </row>
    <row r="5" spans="1:30" ht="14.45" x14ac:dyDescent="0.3">
      <c r="A5" s="119" t="s">
        <v>49</v>
      </c>
      <c r="B5" s="20">
        <v>0.5</v>
      </c>
      <c r="C5" s="20">
        <v>0.5</v>
      </c>
      <c r="D5" s="117"/>
      <c r="E5" s="120">
        <f t="shared" ref="E5:E10" si="1">D5+C5+B5</f>
        <v>1</v>
      </c>
      <c r="F5" s="95">
        <f>E5*$N$1</f>
        <v>0</v>
      </c>
      <c r="G5" s="125">
        <f t="shared" si="0"/>
        <v>1.4</v>
      </c>
      <c r="I5" s="12" t="s">
        <v>4</v>
      </c>
      <c r="J5" s="200">
        <f>'Master Lookup'!C4</f>
        <v>62943.848451000005</v>
      </c>
      <c r="K5" s="2">
        <v>2.1</v>
      </c>
      <c r="L5" s="16">
        <f t="shared" ref="L5:L12" si="2">K5*J5</f>
        <v>132182.08174710002</v>
      </c>
      <c r="M5" s="41"/>
      <c r="N5" s="321"/>
      <c r="O5" s="320"/>
      <c r="P5" s="320"/>
      <c r="Q5" s="320"/>
    </row>
    <row r="6" spans="1:30" ht="16.5" customHeight="1" x14ac:dyDescent="0.3">
      <c r="A6" s="101" t="s">
        <v>171</v>
      </c>
      <c r="B6" s="20">
        <v>1</v>
      </c>
      <c r="C6" s="20">
        <v>4</v>
      </c>
      <c r="D6" s="117"/>
      <c r="E6" s="120">
        <f t="shared" si="1"/>
        <v>5</v>
      </c>
      <c r="F6" s="95">
        <f>E6*$N$1</f>
        <v>0</v>
      </c>
      <c r="G6" s="125">
        <f t="shared" si="0"/>
        <v>7</v>
      </c>
      <c r="I6" s="7" t="s">
        <v>25</v>
      </c>
      <c r="J6" s="199">
        <f>'Master Lookup'!C6</f>
        <v>39050.236219500002</v>
      </c>
      <c r="K6" s="1">
        <v>1.4</v>
      </c>
      <c r="L6" s="17">
        <f>K6*J6</f>
        <v>54670.330707300003</v>
      </c>
      <c r="M6" s="41"/>
      <c r="N6" s="321"/>
      <c r="O6" s="320"/>
      <c r="P6" s="320"/>
      <c r="Q6" s="320"/>
    </row>
    <row r="7" spans="1:30" ht="12.75" customHeight="1" x14ac:dyDescent="0.3">
      <c r="A7" s="119" t="s">
        <v>21</v>
      </c>
      <c r="B7" s="20">
        <v>1</v>
      </c>
      <c r="C7" s="20">
        <v>2</v>
      </c>
      <c r="D7" s="118">
        <v>2</v>
      </c>
      <c r="E7" s="120">
        <f t="shared" si="1"/>
        <v>5</v>
      </c>
      <c r="F7" s="95">
        <f>E7*$N$1</f>
        <v>0</v>
      </c>
      <c r="G7" s="125">
        <f t="shared" si="0"/>
        <v>7</v>
      </c>
      <c r="I7" s="101" t="s">
        <v>171</v>
      </c>
      <c r="J7" s="199">
        <f>'Master Lookup'!C9</f>
        <v>30485</v>
      </c>
      <c r="K7" s="1">
        <v>7</v>
      </c>
      <c r="L7" s="17">
        <f>K7*J7</f>
        <v>213395</v>
      </c>
      <c r="M7" s="41"/>
      <c r="N7" s="321">
        <v>7</v>
      </c>
      <c r="O7" s="320"/>
      <c r="P7" s="320"/>
      <c r="Q7" s="320"/>
    </row>
    <row r="8" spans="1:30" ht="14.45" x14ac:dyDescent="0.3">
      <c r="A8" s="121" t="s">
        <v>50</v>
      </c>
      <c r="B8" s="20">
        <v>0.5</v>
      </c>
      <c r="C8" s="20"/>
      <c r="D8" s="118">
        <v>0.5</v>
      </c>
      <c r="E8" s="120">
        <f t="shared" si="1"/>
        <v>1</v>
      </c>
      <c r="F8" s="94">
        <f>SUM(F4:F7)</f>
        <v>0</v>
      </c>
      <c r="G8" s="125">
        <f t="shared" si="0"/>
        <v>1.4</v>
      </c>
      <c r="I8" s="7" t="s">
        <v>20</v>
      </c>
      <c r="J8" s="199">
        <f>'Master Lookup'!C10</f>
        <v>30485</v>
      </c>
      <c r="K8" s="1">
        <v>7</v>
      </c>
      <c r="L8" s="17">
        <f>K8*J8</f>
        <v>213395</v>
      </c>
      <c r="M8" s="41"/>
      <c r="N8" s="322" t="s">
        <v>48</v>
      </c>
      <c r="O8" s="323"/>
      <c r="P8" s="323"/>
      <c r="Q8" s="320"/>
    </row>
    <row r="9" spans="1:30" ht="15.75" customHeight="1" x14ac:dyDescent="0.3">
      <c r="A9" s="121" t="s">
        <v>51</v>
      </c>
      <c r="B9" s="20">
        <v>1</v>
      </c>
      <c r="C9" s="20"/>
      <c r="D9" s="118"/>
      <c r="E9" s="120">
        <f t="shared" si="1"/>
        <v>1</v>
      </c>
      <c r="F9" s="55"/>
      <c r="G9" s="125">
        <f t="shared" si="0"/>
        <v>1.4</v>
      </c>
      <c r="I9" s="7" t="s">
        <v>5</v>
      </c>
      <c r="J9" s="199">
        <f>'Master Lookup'!C13</f>
        <v>30485</v>
      </c>
      <c r="K9" s="1">
        <f>SUM(K8+N7+K10+K11)*'Source Data'!K29</f>
        <v>2.6544000000000003</v>
      </c>
      <c r="L9" s="17">
        <f t="shared" si="2"/>
        <v>80919.384000000005</v>
      </c>
      <c r="M9" s="41"/>
      <c r="N9" s="322" t="s">
        <v>48</v>
      </c>
      <c r="O9" s="323"/>
      <c r="P9" s="323"/>
      <c r="Q9" s="320"/>
      <c r="AC9" s="28"/>
    </row>
    <row r="10" spans="1:30" ht="14.45" x14ac:dyDescent="0.3">
      <c r="A10" s="121" t="s">
        <v>52</v>
      </c>
      <c r="B10" s="20">
        <v>1</v>
      </c>
      <c r="C10" s="20"/>
      <c r="D10" s="118"/>
      <c r="E10" s="120">
        <f t="shared" si="1"/>
        <v>1</v>
      </c>
      <c r="G10" s="125">
        <v>1</v>
      </c>
      <c r="I10" s="7" t="s">
        <v>45</v>
      </c>
      <c r="J10" s="199">
        <f>'Master Lookup'!C11</f>
        <v>30485</v>
      </c>
      <c r="K10" s="1">
        <v>1.4</v>
      </c>
      <c r="L10" s="17">
        <f t="shared" si="2"/>
        <v>42679</v>
      </c>
      <c r="M10" s="41"/>
      <c r="N10" s="322" t="s">
        <v>48</v>
      </c>
      <c r="O10" s="323"/>
      <c r="P10" s="323"/>
      <c r="Q10" s="320"/>
    </row>
    <row r="11" spans="1:30" ht="14.45" x14ac:dyDescent="0.3">
      <c r="A11" s="10" t="s">
        <v>54</v>
      </c>
      <c r="B11" s="6"/>
      <c r="C11" s="6"/>
      <c r="D11" s="116"/>
      <c r="E11" s="122">
        <v>0.158</v>
      </c>
      <c r="G11" s="126">
        <f>SUM(G6:G9)*E11</f>
        <v>2.6544000000000003</v>
      </c>
      <c r="I11" s="7" t="s">
        <v>44</v>
      </c>
      <c r="J11" s="199">
        <f>'Master Lookup'!C11</f>
        <v>30485</v>
      </c>
      <c r="K11" s="1">
        <v>1.4</v>
      </c>
      <c r="L11" s="17">
        <f t="shared" si="2"/>
        <v>42679</v>
      </c>
      <c r="M11" s="41"/>
      <c r="N11" s="322" t="s">
        <v>48</v>
      </c>
      <c r="O11" s="323"/>
      <c r="P11" s="323"/>
      <c r="Q11" s="320"/>
    </row>
    <row r="12" spans="1:30" thickBot="1" x14ac:dyDescent="0.35">
      <c r="A12" s="113"/>
      <c r="B12" s="114">
        <f>SUM(B4:B10)</f>
        <v>5.5</v>
      </c>
      <c r="C12" s="114">
        <f>SUM(C4:C10)</f>
        <v>7</v>
      </c>
      <c r="D12" s="114">
        <f>SUM(D4:D10)</f>
        <v>3</v>
      </c>
      <c r="E12" s="115"/>
      <c r="G12" s="123">
        <f>SUM(G4:G11)</f>
        <v>23.954399999999996</v>
      </c>
      <c r="I12" s="50" t="s">
        <v>22</v>
      </c>
      <c r="J12" s="214">
        <f>'Master Lookup'!C14</f>
        <v>30485</v>
      </c>
      <c r="K12" s="51">
        <v>1</v>
      </c>
      <c r="L12" s="52">
        <f t="shared" si="2"/>
        <v>30485</v>
      </c>
      <c r="M12" s="41"/>
      <c r="N12" s="322" t="s">
        <v>48</v>
      </c>
      <c r="O12" s="323"/>
      <c r="P12" s="323"/>
      <c r="Q12" s="320"/>
    </row>
    <row r="13" spans="1:30" thickBot="1" x14ac:dyDescent="0.35">
      <c r="A13" s="29" t="s">
        <v>53</v>
      </c>
      <c r="B13" s="28">
        <f>F2/B12</f>
        <v>18.181818181818183</v>
      </c>
      <c r="C13" s="28">
        <f>F2/C12</f>
        <v>14.285714285714286</v>
      </c>
      <c r="D13" s="91">
        <f>F2/D12</f>
        <v>33.333333333333336</v>
      </c>
      <c r="E13" s="55"/>
      <c r="I13" s="11" t="s">
        <v>6</v>
      </c>
      <c r="J13" s="1"/>
      <c r="K13" s="1">
        <f>SUM(K5:K12)</f>
        <v>23.954399999999996</v>
      </c>
      <c r="L13" s="18">
        <f>SUM(L5:L12)</f>
        <v>810404.79645439994</v>
      </c>
      <c r="M13" s="41"/>
      <c r="N13" s="321">
        <f>SUM(N5:N12)</f>
        <v>7</v>
      </c>
      <c r="O13" s="320"/>
      <c r="P13" s="320"/>
      <c r="Q13" s="320"/>
    </row>
    <row r="14" spans="1:30" ht="14.45" x14ac:dyDescent="0.3">
      <c r="I14" s="14" t="s">
        <v>7</v>
      </c>
      <c r="J14" s="23">
        <f>'Source Data'!B12</f>
        <v>0.22500000000000001</v>
      </c>
      <c r="K14" s="15"/>
      <c r="L14" s="19">
        <f>L13*J14</f>
        <v>182341.07920223998</v>
      </c>
      <c r="M14" s="41"/>
      <c r="N14" s="320"/>
      <c r="O14" s="320"/>
      <c r="P14" s="320"/>
      <c r="Q14" s="320"/>
    </row>
    <row r="15" spans="1:30" thickBot="1" x14ac:dyDescent="0.35">
      <c r="I15" s="7" t="s">
        <v>8</v>
      </c>
      <c r="J15" s="5"/>
      <c r="K15" s="5"/>
      <c r="L15" s="17">
        <f>L13+L14</f>
        <v>992745.87565663992</v>
      </c>
      <c r="M15" s="41"/>
      <c r="N15" s="320"/>
      <c r="O15" s="320"/>
      <c r="P15" s="320"/>
      <c r="Q15" s="320"/>
    </row>
    <row r="16" spans="1:30" ht="14.45" x14ac:dyDescent="0.3">
      <c r="I16" s="12" t="s">
        <v>19</v>
      </c>
      <c r="J16" s="24"/>
      <c r="K16" s="24">
        <f>'Master Lookup'!C21</f>
        <v>8930.9795355000006</v>
      </c>
      <c r="L16" s="16">
        <f>K16*K13</f>
        <v>213936.25618518118</v>
      </c>
      <c r="M16" s="41"/>
      <c r="N16" s="320"/>
      <c r="O16" s="320"/>
      <c r="P16" s="320"/>
      <c r="Q16" s="320"/>
      <c r="AD16" s="30"/>
    </row>
    <row r="17" spans="1:31" ht="14.45" x14ac:dyDescent="0.3">
      <c r="I17" s="7" t="s">
        <v>57</v>
      </c>
      <c r="J17" s="33"/>
      <c r="K17" s="98">
        <f>'Master Lookup'!C22</f>
        <v>4.2172020000000003</v>
      </c>
      <c r="L17" s="17">
        <f>K17*J3*365</f>
        <v>153927.87300000002</v>
      </c>
      <c r="M17" s="41"/>
      <c r="N17" s="320"/>
      <c r="O17" s="320"/>
      <c r="P17" s="320"/>
      <c r="Q17" s="320"/>
    </row>
    <row r="18" spans="1:31" ht="14.45" x14ac:dyDescent="0.3">
      <c r="I18" s="8" t="s">
        <v>58</v>
      </c>
      <c r="J18" s="25"/>
      <c r="K18" s="129">
        <f>'Master Lookup'!C23</f>
        <v>719.03294100000005</v>
      </c>
      <c r="L18" s="27">
        <f>K18*K13</f>
        <v>17224.002681890397</v>
      </c>
      <c r="M18" s="41"/>
      <c r="N18" s="320"/>
      <c r="O18" s="320"/>
      <c r="P18" s="320"/>
      <c r="Q18" s="320"/>
      <c r="AA18" s="188"/>
      <c r="AB18" s="188"/>
    </row>
    <row r="19" spans="1:31" thickBot="1" x14ac:dyDescent="0.35">
      <c r="I19" s="11" t="s">
        <v>10</v>
      </c>
      <c r="J19" s="4"/>
      <c r="K19" s="4"/>
      <c r="L19" s="18">
        <f>SUM(L16:L18)</f>
        <v>385088.13186707161</v>
      </c>
      <c r="M19" s="41"/>
      <c r="N19" s="320"/>
      <c r="O19" s="320"/>
      <c r="P19" s="320"/>
      <c r="Q19" s="320"/>
      <c r="Z19" s="179"/>
      <c r="AA19" s="31"/>
      <c r="AB19" s="31"/>
    </row>
    <row r="20" spans="1:31" thickBot="1" x14ac:dyDescent="0.35">
      <c r="I20" s="7" t="s">
        <v>11</v>
      </c>
      <c r="J20" s="5"/>
      <c r="K20" s="5"/>
      <c r="L20" s="17">
        <f>L19+L15</f>
        <v>1377834.0075237115</v>
      </c>
      <c r="M20" s="41"/>
      <c r="N20" s="320"/>
      <c r="O20" s="320"/>
      <c r="P20" s="320"/>
      <c r="Q20" s="320"/>
      <c r="Z20" s="179"/>
      <c r="AA20" s="31"/>
      <c r="AB20" s="31"/>
      <c r="AE20" s="34"/>
    </row>
    <row r="21" spans="1:31" thickBot="1" x14ac:dyDescent="0.35">
      <c r="I21" s="12" t="s">
        <v>12</v>
      </c>
      <c r="J21" s="45">
        <f>'Source Data'!B13</f>
        <v>0.115</v>
      </c>
      <c r="K21" s="13"/>
      <c r="L21" s="16">
        <f>L20*J21</f>
        <v>158450.91086522685</v>
      </c>
      <c r="M21" s="41"/>
      <c r="N21" s="320"/>
      <c r="O21" s="320"/>
      <c r="P21" s="320"/>
      <c r="Q21" s="320"/>
      <c r="T21" s="30"/>
      <c r="Z21" s="179"/>
      <c r="AA21" s="31"/>
      <c r="AB21" s="31"/>
    </row>
    <row r="22" spans="1:31" thickBot="1" x14ac:dyDescent="0.35">
      <c r="I22" s="105" t="s">
        <v>18</v>
      </c>
      <c r="J22" s="107"/>
      <c r="K22" s="107"/>
      <c r="L22" s="108">
        <f>L21+L20</f>
        <v>1536284.9183889383</v>
      </c>
      <c r="M22" s="41"/>
      <c r="N22" s="320"/>
      <c r="O22" s="320"/>
      <c r="P22" s="320"/>
      <c r="Q22" s="320"/>
      <c r="T22" s="30"/>
      <c r="Z22" s="179"/>
      <c r="AA22" s="31"/>
      <c r="AB22" s="31"/>
    </row>
    <row r="23" spans="1:31" thickBot="1" x14ac:dyDescent="0.35">
      <c r="I23" s="102" t="s">
        <v>207</v>
      </c>
      <c r="J23" s="169">
        <f>'Master Lookup'!C17</f>
        <v>2.3531493276716206E-2</v>
      </c>
      <c r="K23" s="103"/>
      <c r="L23" s="104">
        <f>L22*J23</f>
        <v>36151.078228189806</v>
      </c>
      <c r="M23" s="42"/>
      <c r="N23" s="324"/>
      <c r="O23" s="320"/>
      <c r="P23" s="320"/>
      <c r="Q23" s="324"/>
      <c r="Z23" s="179"/>
      <c r="AA23" s="31"/>
      <c r="AB23" s="31"/>
    </row>
    <row r="24" spans="1:31" s="267" customFormat="1" ht="15.6" thickTop="1" thickBot="1" x14ac:dyDescent="0.35">
      <c r="I24" s="268" t="str">
        <f>'Master Lookup'!B24</f>
        <v>Trust fund contribution for PFMLA</v>
      </c>
      <c r="J24" s="269">
        <f>'Master Lookup'!C24</f>
        <v>6.3E-3</v>
      </c>
      <c r="K24" s="270"/>
      <c r="L24" s="271">
        <f>L13*J24</f>
        <v>5105.5502176627197</v>
      </c>
      <c r="M24" s="272"/>
      <c r="N24" s="325"/>
      <c r="O24" s="326"/>
      <c r="P24" s="326"/>
      <c r="Q24" s="325"/>
      <c r="Z24" s="274"/>
      <c r="AA24" s="275"/>
      <c r="AB24" s="275"/>
    </row>
    <row r="25" spans="1:31" ht="15.6" thickTop="1" thickBot="1" x14ac:dyDescent="0.35">
      <c r="I25" s="180" t="s">
        <v>213</v>
      </c>
      <c r="J25" s="181"/>
      <c r="K25" s="181"/>
      <c r="L25" s="110">
        <f>L23+L22+L24</f>
        <v>1577541.5468347908</v>
      </c>
      <c r="M25" s="41"/>
      <c r="N25" s="320"/>
      <c r="O25" s="320"/>
      <c r="P25" s="320"/>
      <c r="Q25" s="320"/>
      <c r="Z25" s="179"/>
      <c r="AA25" s="31"/>
      <c r="AB25" s="31"/>
    </row>
    <row r="26" spans="1:31" thickBot="1" x14ac:dyDescent="0.35">
      <c r="I26" s="182" t="s">
        <v>46</v>
      </c>
      <c r="J26" s="183"/>
      <c r="K26" s="183"/>
      <c r="L26" s="111">
        <f>L25/L3</f>
        <v>131461.7955695659</v>
      </c>
      <c r="M26" s="42"/>
      <c r="N26" s="324"/>
      <c r="O26" s="324"/>
      <c r="P26" s="320"/>
      <c r="Q26" s="320"/>
      <c r="U26" s="188"/>
      <c r="Z26" s="179"/>
      <c r="AA26" s="31"/>
      <c r="AB26" s="31"/>
    </row>
    <row r="27" spans="1:31" thickBot="1" x14ac:dyDescent="0.35">
      <c r="I27" s="105" t="s">
        <v>238</v>
      </c>
      <c r="J27" s="54"/>
      <c r="K27" s="54"/>
      <c r="L27" s="329">
        <f>L26/J3</f>
        <v>1314.617955695659</v>
      </c>
      <c r="M27" s="100"/>
      <c r="N27" s="327"/>
      <c r="O27" s="327"/>
      <c r="P27" s="327"/>
      <c r="Q27" s="328"/>
      <c r="T27" s="30"/>
      <c r="U27" s="43"/>
    </row>
    <row r="28" spans="1:31" ht="14.45" x14ac:dyDescent="0.3">
      <c r="N28" s="315"/>
      <c r="O28" s="315"/>
      <c r="P28" s="315"/>
      <c r="Q28" s="315"/>
      <c r="T28" s="43"/>
      <c r="AB28" s="30"/>
    </row>
    <row r="29" spans="1:31" thickBot="1" x14ac:dyDescent="0.35">
      <c r="I29" s="195"/>
      <c r="N29" s="315"/>
      <c r="O29" s="315"/>
      <c r="P29" s="315"/>
      <c r="Q29" s="315"/>
      <c r="AE29" s="30"/>
    </row>
    <row r="30" spans="1:31" thickBot="1" x14ac:dyDescent="0.35">
      <c r="I30" s="350" t="s">
        <v>209</v>
      </c>
      <c r="J30" s="351"/>
      <c r="K30" s="351"/>
      <c r="L30" s="352"/>
      <c r="N30" s="29"/>
      <c r="O30" s="29"/>
      <c r="P30" s="29"/>
      <c r="Q30" s="29"/>
      <c r="AE30" s="30"/>
    </row>
    <row r="31" spans="1:31" ht="15.75" customHeight="1" thickBot="1" x14ac:dyDescent="0.35">
      <c r="A31" s="172"/>
      <c r="B31" s="347" t="s">
        <v>38</v>
      </c>
      <c r="C31" s="348"/>
      <c r="D31" s="349"/>
      <c r="E31" s="173"/>
      <c r="F31" s="95">
        <v>50</v>
      </c>
      <c r="I31" s="194" t="s">
        <v>0</v>
      </c>
      <c r="J31" s="36">
        <v>50</v>
      </c>
      <c r="K31" s="36" t="s">
        <v>14</v>
      </c>
      <c r="L31" s="37">
        <v>12</v>
      </c>
      <c r="M31" s="40"/>
      <c r="N31" s="339"/>
      <c r="O31" s="339"/>
      <c r="P31" s="40"/>
      <c r="Q31" s="40"/>
    </row>
    <row r="32" spans="1:31" thickBot="1" x14ac:dyDescent="0.35">
      <c r="A32" s="174" t="s">
        <v>37</v>
      </c>
      <c r="B32" s="175">
        <v>1</v>
      </c>
      <c r="C32" s="176">
        <v>2</v>
      </c>
      <c r="D32" s="177">
        <v>3</v>
      </c>
      <c r="E32" s="178" t="s">
        <v>13</v>
      </c>
      <c r="F32" s="94">
        <v>1.4</v>
      </c>
      <c r="G32" s="124" t="s">
        <v>2</v>
      </c>
      <c r="I32" s="12" t="s">
        <v>1</v>
      </c>
      <c r="J32" s="56" t="s">
        <v>17</v>
      </c>
      <c r="K32" s="56" t="s">
        <v>2</v>
      </c>
      <c r="L32" s="38" t="s">
        <v>3</v>
      </c>
      <c r="M32" s="39"/>
      <c r="N32" s="39"/>
      <c r="O32" s="39"/>
      <c r="P32" s="39"/>
      <c r="Q32" s="39"/>
    </row>
    <row r="33" spans="1:31" ht="14.45" x14ac:dyDescent="0.3">
      <c r="A33" s="119" t="s">
        <v>4</v>
      </c>
      <c r="B33" s="20"/>
      <c r="C33" s="20">
        <v>0.5</v>
      </c>
      <c r="D33" s="117">
        <v>0.5</v>
      </c>
      <c r="E33" s="120">
        <f>D33+C33+B33</f>
        <v>1</v>
      </c>
      <c r="F33" s="95">
        <f>E33*$N$1</f>
        <v>0</v>
      </c>
      <c r="G33" s="125">
        <f t="shared" ref="G33:G38" si="3">E33*1.4</f>
        <v>1.4</v>
      </c>
      <c r="I33" s="12" t="s">
        <v>4</v>
      </c>
      <c r="J33" s="200">
        <f t="shared" ref="J33:J40" si="4">J5</f>
        <v>62943.848451000005</v>
      </c>
      <c r="K33" s="2">
        <v>1.4</v>
      </c>
      <c r="L33" s="17">
        <f t="shared" ref="L33:L34" si="5">K33*J33</f>
        <v>88121.387831400003</v>
      </c>
      <c r="M33" s="41"/>
      <c r="N33" s="92"/>
      <c r="O33" s="41"/>
      <c r="P33" s="41"/>
      <c r="Q33" s="41"/>
    </row>
    <row r="34" spans="1:31" ht="14.45" x14ac:dyDescent="0.3">
      <c r="A34" s="119" t="s">
        <v>49</v>
      </c>
      <c r="B34" s="20">
        <v>0.5</v>
      </c>
      <c r="C34" s="20">
        <v>0.5</v>
      </c>
      <c r="D34" s="117"/>
      <c r="E34" s="120">
        <f t="shared" ref="E34:E39" si="6">D34+C34+B34</f>
        <v>1</v>
      </c>
      <c r="F34" s="95">
        <f>E34*$N$1</f>
        <v>0</v>
      </c>
      <c r="G34" s="125">
        <f t="shared" si="3"/>
        <v>1.4</v>
      </c>
      <c r="H34" s="90"/>
      <c r="I34" s="7" t="s">
        <v>25</v>
      </c>
      <c r="J34" s="199">
        <f t="shared" si="4"/>
        <v>39050.236219500002</v>
      </c>
      <c r="K34" s="1">
        <v>1.4</v>
      </c>
      <c r="L34" s="17">
        <f t="shared" si="5"/>
        <v>54670.330707300003</v>
      </c>
      <c r="M34" s="41"/>
      <c r="N34" s="312"/>
      <c r="O34" s="41"/>
      <c r="P34" s="41"/>
      <c r="Q34" s="41"/>
      <c r="AE34" s="189"/>
    </row>
    <row r="35" spans="1:31" ht="18" customHeight="1" x14ac:dyDescent="0.3">
      <c r="A35" s="101" t="s">
        <v>171</v>
      </c>
      <c r="B35" s="20">
        <v>1</v>
      </c>
      <c r="C35" s="20">
        <v>2</v>
      </c>
      <c r="D35" s="117"/>
      <c r="E35" s="120">
        <f t="shared" si="6"/>
        <v>3</v>
      </c>
      <c r="F35" s="95">
        <f>E35*$N$1</f>
        <v>0</v>
      </c>
      <c r="G35" s="125">
        <f t="shared" si="3"/>
        <v>4.1999999999999993</v>
      </c>
      <c r="H35" s="90"/>
      <c r="I35" s="101" t="str">
        <f>I7</f>
        <v>Direct Care Triage Specialist</v>
      </c>
      <c r="J35" s="199">
        <f t="shared" si="4"/>
        <v>30485</v>
      </c>
      <c r="K35" s="127">
        <v>4.2</v>
      </c>
      <c r="L35" s="109">
        <f>K35*J35</f>
        <v>128037</v>
      </c>
      <c r="M35" s="41"/>
      <c r="N35" s="312"/>
      <c r="O35" s="41"/>
      <c r="P35" s="41"/>
      <c r="Q35" s="41"/>
    </row>
    <row r="36" spans="1:31" ht="15" customHeight="1" x14ac:dyDescent="0.3">
      <c r="A36" s="119" t="s">
        <v>21</v>
      </c>
      <c r="B36" s="20">
        <v>0</v>
      </c>
      <c r="C36" s="20">
        <v>1</v>
      </c>
      <c r="D36" s="118">
        <v>1.5</v>
      </c>
      <c r="E36" s="120">
        <f t="shared" si="6"/>
        <v>2.5</v>
      </c>
      <c r="F36" s="95">
        <f>E36*$N$1</f>
        <v>0</v>
      </c>
      <c r="G36" s="125">
        <f t="shared" si="3"/>
        <v>3.5</v>
      </c>
      <c r="H36" s="90"/>
      <c r="I36" s="7" t="s">
        <v>20</v>
      </c>
      <c r="J36" s="199">
        <f t="shared" si="4"/>
        <v>30485</v>
      </c>
      <c r="K36" s="127">
        <v>3.5</v>
      </c>
      <c r="L36" s="109">
        <f>K36*J36</f>
        <v>106697.5</v>
      </c>
      <c r="M36" s="41"/>
      <c r="N36" s="312"/>
      <c r="O36" s="41"/>
      <c r="P36" s="41"/>
      <c r="Q36" s="41"/>
    </row>
    <row r="37" spans="1:31" ht="14.45" x14ac:dyDescent="0.3">
      <c r="A37" s="121" t="s">
        <v>50</v>
      </c>
      <c r="B37" s="20">
        <v>0.5</v>
      </c>
      <c r="C37" s="20"/>
      <c r="D37" s="118">
        <v>0.5</v>
      </c>
      <c r="E37" s="120">
        <f t="shared" si="6"/>
        <v>1</v>
      </c>
      <c r="F37" s="94">
        <f>SUM(F33:F36)</f>
        <v>0</v>
      </c>
      <c r="G37" s="125">
        <f t="shared" si="3"/>
        <v>1.4</v>
      </c>
      <c r="H37" s="90"/>
      <c r="I37" s="7" t="s">
        <v>5</v>
      </c>
      <c r="J37" s="199">
        <f t="shared" si="4"/>
        <v>30485</v>
      </c>
      <c r="K37" s="1">
        <f>G40</f>
        <v>1.659</v>
      </c>
      <c r="L37" s="109">
        <f t="shared" ref="L37:L40" si="7">K37*J37</f>
        <v>50574.614999999998</v>
      </c>
      <c r="M37" s="41"/>
      <c r="N37" s="313"/>
      <c r="O37" s="106"/>
      <c r="P37" s="106"/>
      <c r="Q37" s="41"/>
    </row>
    <row r="38" spans="1:31" ht="14.45" x14ac:dyDescent="0.3">
      <c r="A38" s="121" t="s">
        <v>51</v>
      </c>
      <c r="B38" s="20">
        <v>1</v>
      </c>
      <c r="C38" s="20"/>
      <c r="D38" s="118"/>
      <c r="E38" s="120">
        <f t="shared" si="6"/>
        <v>1</v>
      </c>
      <c r="F38" s="55"/>
      <c r="G38" s="125">
        <f t="shared" si="3"/>
        <v>1.4</v>
      </c>
      <c r="H38" s="90"/>
      <c r="I38" s="7" t="s">
        <v>45</v>
      </c>
      <c r="J38" s="199">
        <f t="shared" si="4"/>
        <v>30485</v>
      </c>
      <c r="K38" s="1">
        <v>1.4</v>
      </c>
      <c r="L38" s="109">
        <f t="shared" si="7"/>
        <v>42679</v>
      </c>
      <c r="M38" s="41"/>
      <c r="N38" s="313"/>
      <c r="O38" s="106"/>
      <c r="P38" s="106"/>
      <c r="Q38" s="41"/>
    </row>
    <row r="39" spans="1:31" ht="14.45" x14ac:dyDescent="0.3">
      <c r="A39" s="121" t="s">
        <v>52</v>
      </c>
      <c r="B39" s="20">
        <v>0.5</v>
      </c>
      <c r="C39" s="20"/>
      <c r="D39" s="118"/>
      <c r="E39" s="120">
        <f t="shared" si="6"/>
        <v>0.5</v>
      </c>
      <c r="G39" s="125">
        <f>E39</f>
        <v>0.5</v>
      </c>
      <c r="H39" s="90"/>
      <c r="I39" s="7" t="s">
        <v>44</v>
      </c>
      <c r="J39" s="199">
        <f t="shared" si="4"/>
        <v>30485</v>
      </c>
      <c r="K39" s="1">
        <v>1.4</v>
      </c>
      <c r="L39" s="109">
        <f t="shared" si="7"/>
        <v>42679</v>
      </c>
      <c r="M39" s="41"/>
      <c r="N39" s="313"/>
      <c r="O39" s="106"/>
      <c r="P39" s="106"/>
      <c r="Q39" s="41"/>
    </row>
    <row r="40" spans="1:31" thickBot="1" x14ac:dyDescent="0.35">
      <c r="A40" s="10" t="s">
        <v>54</v>
      </c>
      <c r="B40" s="6"/>
      <c r="C40" s="6"/>
      <c r="D40" s="116"/>
      <c r="E40" s="122">
        <v>0.158</v>
      </c>
      <c r="G40" s="126">
        <f>SUM(G35:G38)*E40</f>
        <v>1.659</v>
      </c>
      <c r="I40" s="11" t="s">
        <v>22</v>
      </c>
      <c r="J40" s="201">
        <f t="shared" si="4"/>
        <v>30485</v>
      </c>
      <c r="K40" s="3">
        <v>0.5</v>
      </c>
      <c r="L40" s="111">
        <f t="shared" si="7"/>
        <v>15242.5</v>
      </c>
      <c r="M40" s="41"/>
      <c r="N40" s="313"/>
      <c r="O40" s="106"/>
      <c r="P40" s="106"/>
      <c r="Q40" s="41"/>
    </row>
    <row r="41" spans="1:31" thickBot="1" x14ac:dyDescent="0.35">
      <c r="A41" s="113"/>
      <c r="B41" s="114">
        <f>SUM(B33:B39)</f>
        <v>3.5</v>
      </c>
      <c r="C41" s="114">
        <f>SUM(C33:C39)</f>
        <v>4</v>
      </c>
      <c r="D41" s="114">
        <f>SUM(D33:D39)</f>
        <v>2.5</v>
      </c>
      <c r="E41" s="115"/>
      <c r="G41" s="123">
        <f>SUM(G33:G40)</f>
        <v>15.459000000000001</v>
      </c>
      <c r="I41" s="11" t="s">
        <v>6</v>
      </c>
      <c r="J41" s="1"/>
      <c r="K41" s="1">
        <f>SUM(K33:K40)</f>
        <v>15.459000000000001</v>
      </c>
      <c r="L41" s="18">
        <f>SUM(L33:L40)</f>
        <v>528701.33353870001</v>
      </c>
      <c r="M41" s="41"/>
      <c r="N41" s="313"/>
      <c r="O41" s="106"/>
      <c r="P41" s="106"/>
      <c r="Q41" s="41"/>
    </row>
    <row r="42" spans="1:31" ht="14.45" x14ac:dyDescent="0.3">
      <c r="A42" s="29" t="s">
        <v>53</v>
      </c>
      <c r="B42" s="28">
        <f>F31/B41</f>
        <v>14.285714285714286</v>
      </c>
      <c r="C42" s="28">
        <f>F31/C41</f>
        <v>12.5</v>
      </c>
      <c r="D42" s="91">
        <f>F31/D41</f>
        <v>20</v>
      </c>
      <c r="E42" s="55"/>
      <c r="I42" s="14" t="s">
        <v>7</v>
      </c>
      <c r="J42" s="23">
        <f>'Source Data'!B12</f>
        <v>0.22500000000000001</v>
      </c>
      <c r="K42" s="15"/>
      <c r="L42" s="19">
        <f>L41*J42</f>
        <v>118957.8000462075</v>
      </c>
      <c r="M42" s="41"/>
      <c r="N42" s="312"/>
      <c r="O42" s="41"/>
      <c r="P42" s="41"/>
      <c r="Q42" s="41"/>
      <c r="AE42" s="43"/>
    </row>
    <row r="43" spans="1:31" thickBot="1" x14ac:dyDescent="0.35">
      <c r="I43" s="7" t="s">
        <v>8</v>
      </c>
      <c r="J43" s="5"/>
      <c r="K43" s="5"/>
      <c r="L43" s="17">
        <f>L41+L42</f>
        <v>647659.13358490751</v>
      </c>
      <c r="M43" s="41"/>
      <c r="N43" s="41"/>
      <c r="O43" s="41"/>
      <c r="P43" s="41"/>
      <c r="Q43" s="41"/>
    </row>
    <row r="44" spans="1:31" ht="14.45" x14ac:dyDescent="0.3">
      <c r="I44" s="12" t="s">
        <v>19</v>
      </c>
      <c r="J44" s="24"/>
      <c r="K44" s="231">
        <f>K16</f>
        <v>8930.9795355000006</v>
      </c>
      <c r="L44" s="219">
        <f>K41*K44</f>
        <v>138064.01263929452</v>
      </c>
      <c r="M44" s="41"/>
      <c r="N44" s="41"/>
      <c r="O44" s="41"/>
      <c r="P44" s="41"/>
      <c r="Q44" s="41"/>
    </row>
    <row r="45" spans="1:31" ht="14.45" x14ac:dyDescent="0.3">
      <c r="I45" s="7" t="s">
        <v>57</v>
      </c>
      <c r="J45" s="33"/>
      <c r="K45" s="98">
        <f>K17</f>
        <v>4.2172020000000003</v>
      </c>
      <c r="L45" s="17">
        <f>K45*J31*365</f>
        <v>76963.936500000011</v>
      </c>
      <c r="M45" s="41"/>
      <c r="N45" s="41"/>
      <c r="O45" s="41"/>
      <c r="P45" s="41"/>
      <c r="Q45" s="41"/>
    </row>
    <row r="46" spans="1:31" thickBot="1" x14ac:dyDescent="0.35">
      <c r="I46" s="50" t="s">
        <v>58</v>
      </c>
      <c r="J46" s="44"/>
      <c r="K46" s="128">
        <f>K18</f>
        <v>719.03294100000005</v>
      </c>
      <c r="L46" s="52">
        <f>K46*K41</f>
        <v>11115.530234919002</v>
      </c>
      <c r="M46" s="41"/>
      <c r="N46" s="41"/>
      <c r="O46" s="41"/>
      <c r="P46" s="41"/>
      <c r="Q46" s="41"/>
    </row>
    <row r="47" spans="1:31" ht="15.6" thickTop="1" thickBot="1" x14ac:dyDescent="0.35">
      <c r="I47" s="11" t="s">
        <v>10</v>
      </c>
      <c r="J47" s="4"/>
      <c r="K47" s="4"/>
      <c r="L47" s="18">
        <f>SUM(L44:L46)</f>
        <v>226143.47937421355</v>
      </c>
      <c r="M47" s="41"/>
      <c r="N47" s="41"/>
      <c r="O47" s="41"/>
      <c r="P47" s="41"/>
      <c r="Q47" s="41"/>
      <c r="AA47" s="188"/>
      <c r="AB47" s="188"/>
    </row>
    <row r="48" spans="1:31" thickBot="1" x14ac:dyDescent="0.35">
      <c r="I48" s="7" t="s">
        <v>11</v>
      </c>
      <c r="J48" s="5"/>
      <c r="K48" s="5"/>
      <c r="L48" s="17">
        <f>L47+L43</f>
        <v>873802.61295912112</v>
      </c>
      <c r="M48" s="41"/>
      <c r="N48" s="41"/>
      <c r="O48" s="41"/>
      <c r="P48" s="41"/>
      <c r="Q48" s="41"/>
      <c r="Z48" s="179"/>
      <c r="AA48" s="31"/>
      <c r="AB48" s="31"/>
    </row>
    <row r="49" spans="9:31" thickBot="1" x14ac:dyDescent="0.35">
      <c r="I49" s="12" t="s">
        <v>12</v>
      </c>
      <c r="J49" s="45">
        <f>'Source Data'!B13</f>
        <v>0.115</v>
      </c>
      <c r="K49" s="13"/>
      <c r="L49" s="16">
        <f>L48*J49</f>
        <v>100487.30049029893</v>
      </c>
      <c r="M49" s="41"/>
      <c r="N49" s="41"/>
      <c r="O49" s="41"/>
      <c r="P49" s="41"/>
      <c r="Q49" s="41"/>
      <c r="Z49" s="179"/>
      <c r="AA49" s="31"/>
      <c r="AB49" s="31"/>
    </row>
    <row r="50" spans="9:31" thickBot="1" x14ac:dyDescent="0.35">
      <c r="I50" s="105" t="s">
        <v>18</v>
      </c>
      <c r="J50" s="107"/>
      <c r="K50" s="107"/>
      <c r="L50" s="108">
        <f>L49+L48</f>
        <v>974289.91344942001</v>
      </c>
      <c r="M50" s="41"/>
      <c r="N50" s="41"/>
      <c r="O50" s="41"/>
      <c r="P50" s="41"/>
      <c r="Q50" s="41"/>
      <c r="Z50" s="179"/>
      <c r="AA50" s="31"/>
      <c r="AB50" s="31"/>
    </row>
    <row r="51" spans="9:31" thickBot="1" x14ac:dyDescent="0.35">
      <c r="I51" s="102" t="s">
        <v>207</v>
      </c>
      <c r="J51" s="169">
        <f>J23</f>
        <v>2.3531493276716206E-2</v>
      </c>
      <c r="K51" s="103"/>
      <c r="L51" s="104">
        <f>L50*J51</f>
        <v>22926.496547907442</v>
      </c>
      <c r="M51" s="41"/>
      <c r="N51" s="41"/>
      <c r="O51" s="41"/>
      <c r="P51" s="41"/>
      <c r="Q51" s="41"/>
      <c r="Z51" s="179"/>
      <c r="AA51" s="31"/>
      <c r="AB51" s="31"/>
      <c r="AE51" s="34"/>
    </row>
    <row r="52" spans="9:31" ht="15.6" thickTop="1" thickBot="1" x14ac:dyDescent="0.35">
      <c r="I52" s="268" t="str">
        <f>I24</f>
        <v>Trust fund contribution for PFMLA</v>
      </c>
      <c r="J52" s="269">
        <f>J24</f>
        <v>6.3E-3</v>
      </c>
      <c r="K52" s="270"/>
      <c r="L52" s="271">
        <f>J52*L41</f>
        <v>3330.81840129381</v>
      </c>
      <c r="M52" s="41"/>
      <c r="N52" s="42"/>
      <c r="O52" s="41"/>
      <c r="P52" s="41"/>
      <c r="Q52" s="42"/>
      <c r="Z52" s="179"/>
      <c r="AA52" s="31"/>
      <c r="AB52" s="31"/>
    </row>
    <row r="53" spans="9:31" s="267" customFormat="1" ht="15.6" thickTop="1" thickBot="1" x14ac:dyDescent="0.35">
      <c r="I53" s="180" t="s">
        <v>193</v>
      </c>
      <c r="J53" s="181"/>
      <c r="K53" s="181"/>
      <c r="L53" s="110">
        <f>L51+L50+L52</f>
        <v>1000547.2283986213</v>
      </c>
      <c r="M53" s="273"/>
      <c r="N53" s="272"/>
      <c r="O53" s="273"/>
      <c r="P53" s="273"/>
      <c r="Q53" s="272"/>
      <c r="Z53" s="274"/>
      <c r="AA53" s="275"/>
      <c r="AB53" s="275"/>
    </row>
    <row r="54" spans="9:31" ht="15.75" thickBot="1" x14ac:dyDescent="0.3">
      <c r="I54" s="182" t="s">
        <v>46</v>
      </c>
      <c r="J54" s="183"/>
      <c r="K54" s="183"/>
      <c r="L54" s="111">
        <f>L53/L31</f>
        <v>83378.935699885114</v>
      </c>
      <c r="M54" s="100"/>
      <c r="N54" s="41"/>
      <c r="O54" s="41"/>
      <c r="P54" s="41"/>
      <c r="Q54" s="41"/>
      <c r="Z54" s="179"/>
      <c r="AA54" s="31"/>
      <c r="AB54" s="31"/>
    </row>
    <row r="55" spans="9:31" ht="15.75" thickBot="1" x14ac:dyDescent="0.3">
      <c r="I55" s="105" t="s">
        <v>238</v>
      </c>
      <c r="J55" s="54"/>
      <c r="K55" s="54"/>
      <c r="L55" s="329">
        <f>L54/J31</f>
        <v>1667.5787139977024</v>
      </c>
      <c r="N55" s="100"/>
      <c r="O55" s="100"/>
      <c r="P55" s="100"/>
      <c r="Q55" s="314"/>
      <c r="T55" s="26"/>
      <c r="U55" s="188"/>
    </row>
    <row r="56" spans="9:31" x14ac:dyDescent="0.25">
      <c r="T56" s="43"/>
      <c r="U56" s="43"/>
    </row>
  </sheetData>
  <mergeCells count="6">
    <mergeCell ref="N31:O31"/>
    <mergeCell ref="N2:O2"/>
    <mergeCell ref="B2:D2"/>
    <mergeCell ref="I2:L2"/>
    <mergeCell ref="B31:D31"/>
    <mergeCell ref="I30:L30"/>
  </mergeCells>
  <pageMargins left="0.2" right="0.2" top="0.25" bottom="0.25" header="0.05" footer="0.05"/>
  <pageSetup scale="67" orientation="landscape" r:id="rId1"/>
  <headerFooter>
    <oddFooter>&amp;L4.12.19 Public Hearing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S3" sqref="S3"/>
    </sheetView>
  </sheetViews>
  <sheetFormatPr defaultRowHeight="15" x14ac:dyDescent="0.25"/>
  <cols>
    <col min="1" max="1" width="27.140625" customWidth="1"/>
    <col min="2" max="2" width="9.140625" style="49" bestFit="1" customWidth="1"/>
    <col min="3" max="3" width="13.5703125" customWidth="1"/>
    <col min="4" max="4" width="14.5703125" style="49" customWidth="1"/>
    <col min="5" max="5" width="14.7109375" style="186" customWidth="1"/>
    <col min="6" max="6" width="31.140625" customWidth="1"/>
    <col min="7" max="7" width="43" customWidth="1"/>
    <col min="8" max="8" width="33.5703125" customWidth="1"/>
    <col min="9" max="9" width="9.5703125" customWidth="1"/>
    <col min="10" max="10" width="27.42578125" hidden="1" customWidth="1"/>
    <col min="11" max="11" width="9.85546875" hidden="1" customWidth="1"/>
    <col min="12" max="12" width="11.85546875" hidden="1" customWidth="1"/>
    <col min="13" max="13" width="11.28515625" hidden="1" customWidth="1"/>
    <col min="14" max="17" width="0" hidden="1" customWidth="1"/>
  </cols>
  <sheetData>
    <row r="1" spans="1:19" ht="15.75" thickBot="1" x14ac:dyDescent="0.3">
      <c r="M1" s="55"/>
      <c r="N1" s="55"/>
      <c r="O1" s="55"/>
      <c r="P1" s="55"/>
    </row>
    <row r="2" spans="1:19" ht="15.75" thickBot="1" x14ac:dyDescent="0.3">
      <c r="A2" s="12"/>
      <c r="B2" s="56" t="s">
        <v>15</v>
      </c>
      <c r="C2" s="13" t="s">
        <v>28</v>
      </c>
      <c r="D2" s="56" t="s">
        <v>23</v>
      </c>
      <c r="E2" s="196" t="s">
        <v>173</v>
      </c>
      <c r="F2" s="13" t="s">
        <v>163</v>
      </c>
      <c r="G2" s="13"/>
      <c r="H2" s="204" t="s">
        <v>179</v>
      </c>
      <c r="J2" s="65"/>
      <c r="K2" s="341" t="s">
        <v>38</v>
      </c>
      <c r="L2" s="342"/>
      <c r="M2" s="343"/>
      <c r="N2" s="73"/>
      <c r="O2" s="95">
        <v>100</v>
      </c>
      <c r="P2" s="55"/>
      <c r="S2" s="213"/>
    </row>
    <row r="3" spans="1:19" ht="15.75" thickBot="1" x14ac:dyDescent="0.3">
      <c r="A3" s="7" t="s">
        <v>4</v>
      </c>
      <c r="B3" s="58">
        <f>0.5+0.25+0.7+0.3+2.48+1+1</f>
        <v>6.23</v>
      </c>
      <c r="C3" s="33">
        <f>16016+4004+12376+3094+27448+27448+23600+59500+59500+27750+27500+17500+17500</f>
        <v>323236</v>
      </c>
      <c r="D3" s="59">
        <v>57434</v>
      </c>
      <c r="E3" s="211">
        <f>D3*(1+'CAF Fall 2016'!$BJ$53)</f>
        <v>59702.488330341119</v>
      </c>
      <c r="F3" s="5" t="s">
        <v>175</v>
      </c>
      <c r="G3" s="5"/>
      <c r="H3" s="206">
        <f>E3*($B$11+1)</f>
        <v>62944.662765445559</v>
      </c>
      <c r="J3" s="67" t="s">
        <v>37</v>
      </c>
      <c r="K3" s="66">
        <v>1</v>
      </c>
      <c r="L3" s="63">
        <v>2</v>
      </c>
      <c r="M3" s="64">
        <v>3</v>
      </c>
      <c r="N3" s="74" t="s">
        <v>13</v>
      </c>
      <c r="O3" s="94">
        <v>1.4</v>
      </c>
      <c r="P3" s="92"/>
      <c r="S3">
        <f>E3*($B$11+1)</f>
        <v>62944.662765445559</v>
      </c>
    </row>
    <row r="4" spans="1:19" x14ac:dyDescent="0.25">
      <c r="A4" s="7" t="s">
        <v>25</v>
      </c>
      <c r="B4" s="58">
        <f>1+2.4+4.6+2</f>
        <v>10</v>
      </c>
      <c r="C4" s="33">
        <f>30000+73136+78624+150696</f>
        <v>332456</v>
      </c>
      <c r="D4" s="59">
        <v>37039</v>
      </c>
      <c r="E4" s="193"/>
      <c r="F4" s="5" t="s">
        <v>162</v>
      </c>
      <c r="G4" s="5"/>
      <c r="H4" s="205"/>
      <c r="J4" s="7" t="s">
        <v>4</v>
      </c>
      <c r="K4" s="68">
        <v>1</v>
      </c>
      <c r="L4" s="69">
        <v>1</v>
      </c>
      <c r="M4" s="75">
        <v>1</v>
      </c>
      <c r="N4" s="78">
        <f>M4+L4+K4</f>
        <v>3</v>
      </c>
      <c r="O4" s="95">
        <f>N4*$O$3</f>
        <v>4.1999999999999993</v>
      </c>
      <c r="P4" s="92">
        <v>2.8</v>
      </c>
      <c r="Q4" s="92">
        <v>1.4</v>
      </c>
      <c r="S4">
        <f t="shared" ref="S4:S9" si="0">E4*($B$11+1)</f>
        <v>0</v>
      </c>
    </row>
    <row r="5" spans="1:19" x14ac:dyDescent="0.25">
      <c r="A5" s="101" t="s">
        <v>171</v>
      </c>
      <c r="B5" s="58">
        <f>0.67+1+1</f>
        <v>2.67</v>
      </c>
      <c r="C5" s="33">
        <f>40000+30000+24568</f>
        <v>94568</v>
      </c>
      <c r="D5" s="59">
        <v>25674</v>
      </c>
      <c r="E5" s="190">
        <f>D5*(1+'CAF Fall 2016'!$BJ$53)</f>
        <v>26688.053859964097</v>
      </c>
      <c r="F5" s="5" t="s">
        <v>176</v>
      </c>
      <c r="G5" s="5"/>
      <c r="H5" s="212" t="s">
        <v>181</v>
      </c>
      <c r="I5" t="s">
        <v>181</v>
      </c>
      <c r="J5" s="7" t="s">
        <v>21</v>
      </c>
      <c r="K5" s="70">
        <v>2</v>
      </c>
      <c r="L5" s="20">
        <v>2</v>
      </c>
      <c r="M5" s="76">
        <v>2</v>
      </c>
      <c r="N5" s="79">
        <f>M5+L5+K5</f>
        <v>6</v>
      </c>
      <c r="O5" s="95">
        <f>N5*$O$3</f>
        <v>8.3999999999999986</v>
      </c>
      <c r="P5" s="55"/>
      <c r="S5">
        <f t="shared" si="0"/>
        <v>28137.362395794291</v>
      </c>
    </row>
    <row r="6" spans="1:19" x14ac:dyDescent="0.25">
      <c r="A6" s="7" t="s">
        <v>26</v>
      </c>
      <c r="B6" s="58">
        <f>17.6+4.4+9.07+6.75+2+1.5</f>
        <v>41.32</v>
      </c>
      <c r="C6" s="33">
        <f>40012+180052+24960+252693+28210+83538+112840+334152</f>
        <v>1056457</v>
      </c>
      <c r="D6" s="59">
        <v>25674</v>
      </c>
      <c r="E6" s="190">
        <f>D6*(1+'CAF Fall 2016'!$BJ$53)</f>
        <v>26688.053859964097</v>
      </c>
      <c r="F6" s="5" t="s">
        <v>176</v>
      </c>
      <c r="G6" s="5"/>
      <c r="H6" s="205">
        <f t="shared" ref="H6:H8" si="1">E6*($B$11+1)</f>
        <v>28137.362395794291</v>
      </c>
      <c r="J6" s="7" t="s">
        <v>35</v>
      </c>
      <c r="K6" s="70"/>
      <c r="L6" s="20">
        <v>1</v>
      </c>
      <c r="M6" s="76"/>
      <c r="N6" s="79">
        <f>M6+L6+K6</f>
        <v>1</v>
      </c>
      <c r="O6" s="95">
        <f>N6*$O$3</f>
        <v>1.4</v>
      </c>
      <c r="P6" s="55"/>
      <c r="S6">
        <f t="shared" si="0"/>
        <v>28137.362395794291</v>
      </c>
    </row>
    <row r="7" spans="1:19" ht="15.75" thickBot="1" x14ac:dyDescent="0.3">
      <c r="A7" s="7" t="s">
        <v>27</v>
      </c>
      <c r="B7" s="58">
        <f>2+1.15</f>
        <v>3.15</v>
      </c>
      <c r="C7" s="33">
        <f>63700+44965</f>
        <v>108665</v>
      </c>
      <c r="D7" s="59">
        <v>25674</v>
      </c>
      <c r="E7" s="190">
        <f>D7*(1+'CAF Fall 2016'!$BJ$53)</f>
        <v>26688.053859964097</v>
      </c>
      <c r="F7" s="5" t="s">
        <v>176</v>
      </c>
      <c r="G7" s="5"/>
      <c r="H7" s="205">
        <f t="shared" si="1"/>
        <v>28137.362395794291</v>
      </c>
      <c r="J7" s="11" t="s">
        <v>36</v>
      </c>
      <c r="K7" s="71">
        <v>1</v>
      </c>
      <c r="L7" s="72">
        <v>3</v>
      </c>
      <c r="M7" s="77">
        <v>2</v>
      </c>
      <c r="N7" s="80">
        <f>M7+L7+K7</f>
        <v>6</v>
      </c>
      <c r="O7" s="95">
        <f>N7*$O$3</f>
        <v>8.3999999999999986</v>
      </c>
      <c r="P7" s="55"/>
      <c r="S7">
        <f t="shared" si="0"/>
        <v>28137.362395794291</v>
      </c>
    </row>
    <row r="8" spans="1:19" ht="15.75" thickBot="1" x14ac:dyDescent="0.3">
      <c r="A8" s="7" t="s">
        <v>30</v>
      </c>
      <c r="B8" s="86">
        <f>1+1+0.88</f>
        <v>2.88</v>
      </c>
      <c r="C8" s="33">
        <f>28210+29120+31690</f>
        <v>89020</v>
      </c>
      <c r="D8" s="59">
        <v>25674</v>
      </c>
      <c r="E8" s="190">
        <f>D8*(1+'CAF Fall 2016'!$BJ$53)</f>
        <v>26688.053859964097</v>
      </c>
      <c r="F8" s="5" t="s">
        <v>176</v>
      </c>
      <c r="G8" s="5"/>
      <c r="H8" s="205">
        <f t="shared" si="1"/>
        <v>28137.362395794291</v>
      </c>
      <c r="J8" s="81"/>
      <c r="K8" s="84">
        <f>SUM(K4:K7)</f>
        <v>4</v>
      </c>
      <c r="L8" s="83">
        <f>SUM(L4:L7)</f>
        <v>7</v>
      </c>
      <c r="M8" s="85">
        <f>SUM(M4:M7)</f>
        <v>5</v>
      </c>
      <c r="N8" s="82">
        <f>SUM(N4:N7)</f>
        <v>16</v>
      </c>
      <c r="O8" s="94">
        <f>SUM(O4:O7)</f>
        <v>22.4</v>
      </c>
      <c r="P8" s="55"/>
      <c r="S8">
        <f t="shared" si="0"/>
        <v>28137.362395794291</v>
      </c>
    </row>
    <row r="9" spans="1:19" ht="16.5" thickTop="1" thickBot="1" x14ac:dyDescent="0.3">
      <c r="A9" s="7"/>
      <c r="B9" s="6">
        <f>SUM(B3:B8)</f>
        <v>66.25</v>
      </c>
      <c r="C9" s="5"/>
      <c r="D9" s="6"/>
      <c r="E9" s="6"/>
      <c r="F9" s="5"/>
      <c r="G9" s="5"/>
      <c r="H9" s="206">
        <f>H8/2080</f>
        <v>13.527578074901101</v>
      </c>
      <c r="K9" s="28">
        <f>O2/K8</f>
        <v>25</v>
      </c>
      <c r="L9" s="28">
        <f>O2/L8</f>
        <v>14.285714285714286</v>
      </c>
      <c r="M9" s="91">
        <f>O2/M8</f>
        <v>20</v>
      </c>
      <c r="N9" s="55"/>
      <c r="O9" s="55"/>
      <c r="P9" s="55"/>
      <c r="S9">
        <f t="shared" si="0"/>
        <v>0</v>
      </c>
    </row>
    <row r="10" spans="1:19" ht="15.75" thickBot="1" x14ac:dyDescent="0.3">
      <c r="A10" s="7"/>
      <c r="B10" s="6"/>
      <c r="C10" s="5"/>
      <c r="D10" s="6"/>
      <c r="E10" s="6"/>
      <c r="F10" s="5"/>
      <c r="G10" s="5"/>
      <c r="H10" s="207"/>
      <c r="J10" s="21" t="s">
        <v>42</v>
      </c>
      <c r="M10" s="55"/>
      <c r="N10" s="55"/>
      <c r="O10" s="55"/>
      <c r="P10" s="55"/>
    </row>
    <row r="11" spans="1:19" x14ac:dyDescent="0.25">
      <c r="A11" s="7" t="s">
        <v>164</v>
      </c>
      <c r="B11" s="202">
        <f>'CAF Fall 2016'!BJ39</f>
        <v>5.4305515997341604E-2</v>
      </c>
      <c r="C11" s="5"/>
      <c r="D11" s="184" t="s">
        <v>172</v>
      </c>
      <c r="E11" s="187"/>
      <c r="F11" s="5"/>
      <c r="G11" s="5"/>
      <c r="H11" s="207"/>
      <c r="J11" s="12" t="s">
        <v>4</v>
      </c>
      <c r="K11" s="56">
        <f>1.4*2</f>
        <v>2.8</v>
      </c>
      <c r="L11" s="13"/>
      <c r="M11" s="355" t="s">
        <v>39</v>
      </c>
      <c r="N11" s="355"/>
      <c r="O11" s="356"/>
      <c r="P11" s="55"/>
    </row>
    <row r="12" spans="1:19" x14ac:dyDescent="0.25">
      <c r="A12" s="7" t="s">
        <v>32</v>
      </c>
      <c r="B12" s="167">
        <v>0.22500000000000001</v>
      </c>
      <c r="C12" s="5"/>
      <c r="D12" s="353" t="s">
        <v>161</v>
      </c>
      <c r="E12" s="353"/>
      <c r="F12" s="353"/>
      <c r="G12" s="5"/>
      <c r="H12" s="207"/>
      <c r="J12" s="7" t="s">
        <v>25</v>
      </c>
      <c r="K12" s="6">
        <v>1.4</v>
      </c>
      <c r="L12" s="5"/>
      <c r="M12" s="353" t="s">
        <v>40</v>
      </c>
      <c r="N12" s="353"/>
      <c r="O12" s="354"/>
      <c r="P12" s="55"/>
    </row>
    <row r="13" spans="1:19" ht="15" customHeight="1" x14ac:dyDescent="0.25">
      <c r="A13" s="7" t="s">
        <v>33</v>
      </c>
      <c r="B13" s="167">
        <v>0.115</v>
      </c>
      <c r="C13" s="5"/>
      <c r="D13" s="353" t="s">
        <v>161</v>
      </c>
      <c r="E13" s="353"/>
      <c r="F13" s="353"/>
      <c r="G13" s="5"/>
      <c r="H13" s="207"/>
      <c r="J13" s="7" t="s">
        <v>29</v>
      </c>
      <c r="K13" s="6">
        <v>1.4</v>
      </c>
      <c r="L13" s="5"/>
      <c r="M13" s="353" t="s">
        <v>40</v>
      </c>
      <c r="N13" s="353"/>
      <c r="O13" s="354"/>
      <c r="P13" s="55"/>
    </row>
    <row r="14" spans="1:19" x14ac:dyDescent="0.25">
      <c r="A14" s="7"/>
      <c r="B14" s="6"/>
      <c r="C14" s="5"/>
      <c r="D14" s="6"/>
      <c r="E14" s="6"/>
      <c r="F14" s="5"/>
      <c r="G14" s="5"/>
      <c r="H14" s="207"/>
      <c r="J14" s="7" t="s">
        <v>26</v>
      </c>
      <c r="K14" s="6">
        <f>(1.4*2)*3</f>
        <v>8.3999999999999986</v>
      </c>
      <c r="L14" s="5"/>
      <c r="M14" s="353" t="s">
        <v>41</v>
      </c>
      <c r="N14" s="353"/>
      <c r="O14" s="354"/>
    </row>
    <row r="15" spans="1:19" x14ac:dyDescent="0.25">
      <c r="A15" s="7" t="s">
        <v>19</v>
      </c>
      <c r="B15" s="6" t="s">
        <v>168</v>
      </c>
      <c r="C15" s="33">
        <f>G39</f>
        <v>8470.9603340292288</v>
      </c>
      <c r="D15" s="185" t="s">
        <v>170</v>
      </c>
      <c r="E15" s="185"/>
      <c r="F15" s="5"/>
      <c r="G15" s="5"/>
      <c r="H15" s="208">
        <f>C15*(1+B11)</f>
        <v>8930.9802059616995</v>
      </c>
      <c r="J15" s="7" t="s">
        <v>27</v>
      </c>
      <c r="K15" s="6">
        <v>1.4</v>
      </c>
      <c r="L15" s="5"/>
      <c r="M15" s="353" t="s">
        <v>40</v>
      </c>
      <c r="N15" s="353"/>
      <c r="O15" s="354"/>
    </row>
    <row r="16" spans="1:19" x14ac:dyDescent="0.25">
      <c r="A16" s="7"/>
      <c r="B16" s="6" t="s">
        <v>169</v>
      </c>
      <c r="C16" s="46">
        <f>F33</f>
        <v>4204.0103492884864</v>
      </c>
      <c r="D16" s="185" t="s">
        <v>170</v>
      </c>
      <c r="E16" s="185"/>
      <c r="F16" s="5"/>
      <c r="G16" s="5"/>
      <c r="H16" s="207"/>
      <c r="J16" s="7" t="s">
        <v>30</v>
      </c>
      <c r="K16" s="6">
        <v>1.4</v>
      </c>
      <c r="L16" s="5"/>
      <c r="M16" s="353" t="s">
        <v>40</v>
      </c>
      <c r="N16" s="353"/>
      <c r="O16" s="354"/>
    </row>
    <row r="17" spans="1:20" x14ac:dyDescent="0.25">
      <c r="A17" s="7"/>
      <c r="B17" s="6"/>
      <c r="C17" s="46"/>
      <c r="D17" s="185"/>
      <c r="E17" s="185"/>
      <c r="F17" s="5"/>
      <c r="G17" s="5"/>
      <c r="H17" s="207"/>
      <c r="J17" s="7"/>
      <c r="K17" s="6"/>
      <c r="L17" s="5"/>
      <c r="M17" s="96"/>
      <c r="N17" s="96"/>
      <c r="O17" s="97"/>
    </row>
    <row r="18" spans="1:20" x14ac:dyDescent="0.25">
      <c r="A18" s="7"/>
      <c r="B18" s="6"/>
      <c r="C18" s="46"/>
      <c r="D18" s="6"/>
      <c r="E18" s="6"/>
      <c r="F18" s="5" t="s">
        <v>55</v>
      </c>
      <c r="G18" s="5" t="s">
        <v>56</v>
      </c>
      <c r="H18" s="207"/>
      <c r="J18" s="7"/>
      <c r="K18" s="6"/>
      <c r="L18" s="5"/>
      <c r="M18" s="96"/>
      <c r="N18" s="96"/>
      <c r="O18" s="97"/>
    </row>
    <row r="19" spans="1:20" ht="15.75" thickBot="1" x14ac:dyDescent="0.3">
      <c r="A19" s="7" t="s">
        <v>59</v>
      </c>
      <c r="B19" s="6"/>
      <c r="C19" s="22">
        <f>1600+400+5000+2700+5000+4400+187300+13000+51000+240000</f>
        <v>510400</v>
      </c>
      <c r="D19" s="33">
        <f>C19/3</f>
        <v>170133.33333333334</v>
      </c>
      <c r="E19" s="33"/>
      <c r="F19" s="46">
        <f>C19/350</f>
        <v>1458.2857142857142</v>
      </c>
      <c r="G19" s="48">
        <f>F19/365</f>
        <v>3.9953033268101761</v>
      </c>
      <c r="H19" s="209">
        <f>G19*(1+B11)</f>
        <v>4.2122703355384985</v>
      </c>
      <c r="J19" s="11" t="s">
        <v>5</v>
      </c>
      <c r="K19" s="89">
        <v>0.158</v>
      </c>
      <c r="L19" s="4"/>
      <c r="M19" s="87" t="s">
        <v>31</v>
      </c>
      <c r="N19" s="4"/>
      <c r="O19" s="88"/>
    </row>
    <row r="20" spans="1:20" x14ac:dyDescent="0.25">
      <c r="A20" s="7"/>
      <c r="B20" s="6"/>
      <c r="C20" s="22"/>
      <c r="D20" s="33"/>
      <c r="E20" s="33"/>
      <c r="F20" s="99" t="s">
        <v>34</v>
      </c>
      <c r="G20" s="48"/>
      <c r="H20" s="209"/>
    </row>
    <row r="21" spans="1:20" ht="15.75" thickBot="1" x14ac:dyDescent="0.3">
      <c r="A21" s="11" t="s">
        <v>24</v>
      </c>
      <c r="B21" s="60"/>
      <c r="C21" s="61">
        <f>9610+25600+10000</f>
        <v>45210</v>
      </c>
      <c r="D21" s="62">
        <f>C21/3</f>
        <v>15070</v>
      </c>
      <c r="E21" s="62"/>
      <c r="F21" s="62">
        <f>C21/B9</f>
        <v>682.41509433962267</v>
      </c>
      <c r="G21" s="203"/>
      <c r="H21" s="210">
        <f>F21*(1+B11)</f>
        <v>719.47399816211043</v>
      </c>
    </row>
    <row r="22" spans="1:20" ht="15.75" thickBot="1" x14ac:dyDescent="0.3">
      <c r="I22" s="171">
        <v>0.65</v>
      </c>
      <c r="J22" s="21" t="s">
        <v>43</v>
      </c>
      <c r="K22" s="11"/>
      <c r="M22" s="55"/>
      <c r="N22" s="55"/>
      <c r="O22" s="55"/>
    </row>
    <row r="23" spans="1:20" ht="14.45" x14ac:dyDescent="0.3">
      <c r="J23" s="12" t="s">
        <v>4</v>
      </c>
      <c r="K23" s="6">
        <f t="shared" ref="K23:K28" si="2">K11*$I$22</f>
        <v>1.8199999999999998</v>
      </c>
      <c r="L23" s="13"/>
      <c r="M23" s="355" t="s">
        <v>39</v>
      </c>
      <c r="N23" s="355"/>
      <c r="O23" s="356"/>
    </row>
    <row r="24" spans="1:20" ht="14.45" x14ac:dyDescent="0.3">
      <c r="C24">
        <f>C27*(4%+1)</f>
        <v>29120</v>
      </c>
      <c r="G24">
        <f>16.51*6500</f>
        <v>107315.00000000001</v>
      </c>
      <c r="J24" s="7" t="s">
        <v>25</v>
      </c>
      <c r="K24" s="6">
        <f t="shared" si="2"/>
        <v>0.90999999999999992</v>
      </c>
      <c r="L24" s="5"/>
      <c r="M24" s="353" t="s">
        <v>40</v>
      </c>
      <c r="N24" s="353"/>
      <c r="O24" s="354"/>
    </row>
    <row r="25" spans="1:20" ht="14.45" x14ac:dyDescent="0.3">
      <c r="J25" s="7" t="s">
        <v>29</v>
      </c>
      <c r="K25" s="6">
        <f t="shared" si="2"/>
        <v>0.90999999999999992</v>
      </c>
      <c r="L25" s="5"/>
      <c r="M25" s="353" t="s">
        <v>40</v>
      </c>
      <c r="N25" s="353"/>
      <c r="O25" s="354"/>
    </row>
    <row r="26" spans="1:20" x14ac:dyDescent="0.25">
      <c r="C26" s="30">
        <f>C5+C6+C7+C8</f>
        <v>1348710</v>
      </c>
      <c r="D26" s="49">
        <f>B5+B6+B7+B8</f>
        <v>50.02</v>
      </c>
      <c r="J26" s="7" t="s">
        <v>26</v>
      </c>
      <c r="K26" s="6">
        <f t="shared" si="2"/>
        <v>5.4599999999999991</v>
      </c>
      <c r="L26" s="5"/>
      <c r="M26" s="353" t="s">
        <v>41</v>
      </c>
      <c r="N26" s="353"/>
      <c r="O26" s="354"/>
    </row>
    <row r="27" spans="1:20" x14ac:dyDescent="0.25">
      <c r="C27" s="34">
        <v>28000</v>
      </c>
      <c r="J27" s="7" t="s">
        <v>27</v>
      </c>
      <c r="K27" s="6">
        <f t="shared" si="2"/>
        <v>0.90999999999999992</v>
      </c>
      <c r="L27" s="5"/>
      <c r="M27" s="353" t="s">
        <v>40</v>
      </c>
      <c r="N27" s="353"/>
      <c r="O27" s="354"/>
      <c r="R27">
        <f>C32+C33</f>
        <v>260855</v>
      </c>
    </row>
    <row r="28" spans="1:20" x14ac:dyDescent="0.25">
      <c r="J28" s="7" t="s">
        <v>30</v>
      </c>
      <c r="K28" s="6">
        <f t="shared" si="2"/>
        <v>0.90999999999999992</v>
      </c>
      <c r="L28" s="5"/>
      <c r="M28" s="353" t="s">
        <v>40</v>
      </c>
      <c r="N28" s="353"/>
      <c r="O28" s="354"/>
    </row>
    <row r="29" spans="1:20" ht="15.75" thickBot="1" x14ac:dyDescent="0.3">
      <c r="J29" s="11" t="s">
        <v>5</v>
      </c>
      <c r="K29" s="89">
        <f>K19</f>
        <v>0.158</v>
      </c>
      <c r="L29" s="4"/>
      <c r="M29" s="87" t="s">
        <v>31</v>
      </c>
      <c r="N29" s="4"/>
      <c r="O29" s="88"/>
    </row>
    <row r="30" spans="1:20" x14ac:dyDescent="0.25">
      <c r="R30">
        <f>C32/2</f>
        <v>97930.5</v>
      </c>
      <c r="S30">
        <f>R30/100</f>
        <v>979.30499999999995</v>
      </c>
      <c r="T30">
        <f>S30/365</f>
        <v>2.6830273972602736</v>
      </c>
    </row>
    <row r="31" spans="1:20" ht="15.75" thickBot="1" x14ac:dyDescent="0.3">
      <c r="A31" t="s">
        <v>9</v>
      </c>
      <c r="C31" t="s">
        <v>65</v>
      </c>
      <c r="R31">
        <f>C33/50</f>
        <v>1299.8800000000001</v>
      </c>
      <c r="T31">
        <f>R31/365</f>
        <v>3.5613150684931512</v>
      </c>
    </row>
    <row r="32" spans="1:20" x14ac:dyDescent="0.25">
      <c r="A32" s="32" t="s">
        <v>165</v>
      </c>
      <c r="C32">
        <f>121855+74006</f>
        <v>195861</v>
      </c>
      <c r="G32">
        <f>C32/23.95</f>
        <v>8177.9123173277667</v>
      </c>
      <c r="J32" s="65"/>
      <c r="K32" s="341" t="s">
        <v>38</v>
      </c>
      <c r="L32" s="342"/>
      <c r="M32" s="343"/>
      <c r="N32" s="73"/>
      <c r="O32" s="95">
        <v>50</v>
      </c>
    </row>
    <row r="33" spans="1:15" ht="15.75" thickBot="1" x14ac:dyDescent="0.3">
      <c r="A33" s="32" t="s">
        <v>166</v>
      </c>
      <c r="C33">
        <f>55768+9226</f>
        <v>64994</v>
      </c>
      <c r="F33" s="198">
        <f>C33/15.46</f>
        <v>4204.0103492884864</v>
      </c>
      <c r="G33" t="s">
        <v>169</v>
      </c>
      <c r="J33" s="67" t="s">
        <v>37</v>
      </c>
      <c r="K33" s="66">
        <v>1</v>
      </c>
      <c r="L33" s="63">
        <v>2</v>
      </c>
      <c r="M33" s="64">
        <v>3</v>
      </c>
      <c r="N33" s="74" t="s">
        <v>13</v>
      </c>
      <c r="O33" s="95">
        <v>1.4</v>
      </c>
    </row>
    <row r="34" spans="1:15" ht="15.75" thickBot="1" x14ac:dyDescent="0.3">
      <c r="J34" s="7" t="s">
        <v>4</v>
      </c>
      <c r="K34" s="68">
        <v>0.5</v>
      </c>
      <c r="L34" s="69"/>
      <c r="M34" s="75">
        <v>1</v>
      </c>
      <c r="N34" s="78">
        <f>M34+L34+K34</f>
        <v>1.5</v>
      </c>
      <c r="O34" s="95">
        <f>N34*$O$33</f>
        <v>2.0999999999999996</v>
      </c>
    </row>
    <row r="35" spans="1:15" ht="15.75" thickBot="1" x14ac:dyDescent="0.3">
      <c r="A35" s="32" t="s">
        <v>167</v>
      </c>
      <c r="C35">
        <v>209898</v>
      </c>
      <c r="D35" s="49">
        <v>6500</v>
      </c>
      <c r="G35">
        <f>C35/23.95</f>
        <v>8764.0083507306899</v>
      </c>
      <c r="J35" s="7" t="s">
        <v>21</v>
      </c>
      <c r="K35" s="68">
        <v>0.5</v>
      </c>
      <c r="L35" s="69">
        <v>1.5</v>
      </c>
      <c r="M35" s="75">
        <v>1.5</v>
      </c>
      <c r="N35" s="79">
        <f>M35+L35+K35</f>
        <v>3.5</v>
      </c>
      <c r="O35" s="95">
        <f>N35*$O$33</f>
        <v>4.8999999999999995</v>
      </c>
    </row>
    <row r="36" spans="1:15" ht="15.75" thickBot="1" x14ac:dyDescent="0.3">
      <c r="J36" s="7" t="s">
        <v>35</v>
      </c>
      <c r="K36" s="68"/>
      <c r="L36" s="69">
        <v>1</v>
      </c>
      <c r="M36" s="75">
        <f>M6*$I$22</f>
        <v>0</v>
      </c>
      <c r="N36" s="79">
        <f>M36+L36+K36</f>
        <v>1</v>
      </c>
      <c r="O36" s="95">
        <f>N36*$O$33</f>
        <v>1.4</v>
      </c>
    </row>
    <row r="37" spans="1:15" ht="15.75" thickBot="1" x14ac:dyDescent="0.3">
      <c r="J37" s="11" t="s">
        <v>36</v>
      </c>
      <c r="K37" s="68">
        <v>0.5</v>
      </c>
      <c r="L37" s="69">
        <v>1.5</v>
      </c>
      <c r="M37" s="75">
        <v>1.5</v>
      </c>
      <c r="N37" s="80">
        <f>M37+L37+K37</f>
        <v>3.5</v>
      </c>
      <c r="O37" s="95">
        <f>N37*$O$33</f>
        <v>4.8999999999999995</v>
      </c>
    </row>
    <row r="38" spans="1:15" ht="15.75" thickBot="1" x14ac:dyDescent="0.3">
      <c r="J38" s="81"/>
      <c r="K38" s="84">
        <f>SUM(K34:K37)</f>
        <v>1.5</v>
      </c>
      <c r="L38" s="83">
        <f>SUM(L34:L37)</f>
        <v>4</v>
      </c>
      <c r="M38" s="85">
        <f>SUM(M34:M37)</f>
        <v>4</v>
      </c>
      <c r="N38" s="82">
        <f>SUM(N34:N37)</f>
        <v>9.5</v>
      </c>
      <c r="O38" s="94">
        <f>SUM(O34:O37)</f>
        <v>13.299999999999997</v>
      </c>
    </row>
    <row r="39" spans="1:15" x14ac:dyDescent="0.25">
      <c r="F39" t="s">
        <v>168</v>
      </c>
      <c r="G39" s="197">
        <f>AVERAGE(G32:G35)</f>
        <v>8470.9603340292288</v>
      </c>
      <c r="H39" s="26"/>
      <c r="K39" s="28">
        <f>O32/K38</f>
        <v>33.333333333333336</v>
      </c>
      <c r="L39" s="28">
        <f>O32/L38</f>
        <v>12.5</v>
      </c>
      <c r="M39" s="28">
        <f>O32/M38</f>
        <v>12.5</v>
      </c>
      <c r="N39" s="93">
        <f>O32/N38</f>
        <v>5.2631578947368425</v>
      </c>
      <c r="O39" s="55"/>
    </row>
  </sheetData>
  <mergeCells count="16">
    <mergeCell ref="K2:M2"/>
    <mergeCell ref="M12:O12"/>
    <mergeCell ref="M13:O13"/>
    <mergeCell ref="M23:O23"/>
    <mergeCell ref="D13:F13"/>
    <mergeCell ref="M11:O11"/>
    <mergeCell ref="M14:O14"/>
    <mergeCell ref="M15:O15"/>
    <mergeCell ref="M16:O16"/>
    <mergeCell ref="D12:F12"/>
    <mergeCell ref="K32:M32"/>
    <mergeCell ref="M24:O24"/>
    <mergeCell ref="M25:O25"/>
    <mergeCell ref="M26:O26"/>
    <mergeCell ref="M27:O27"/>
    <mergeCell ref="M28:O28"/>
  </mergeCells>
  <pageMargins left="0.7" right="0.7" top="0.75" bottom="0.75" header="0.3" footer="0.3"/>
  <pageSetup scale="54" orientation="landscape" r:id="rId1"/>
  <headerFooter>
    <oddHeader>&amp;CSource Data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4"/>
  <sheetViews>
    <sheetView topLeftCell="AH10" zoomScale="84" zoomScaleNormal="84" workbookViewId="0">
      <selection activeCell="AZ58" sqref="AZ58"/>
    </sheetView>
  </sheetViews>
  <sheetFormatPr defaultRowHeight="12.75" x14ac:dyDescent="0.2"/>
  <cols>
    <col min="1" max="1" width="38.42578125" style="130" customWidth="1"/>
    <col min="2" max="2" width="12.85546875" style="131" customWidth="1"/>
    <col min="3" max="50" width="10.28515625" style="130" customWidth="1"/>
    <col min="51" max="51" width="11.28515625" style="130" customWidth="1"/>
    <col min="52" max="74" width="10.28515625" style="130" customWidth="1"/>
    <col min="75" max="256" width="8.85546875" style="130"/>
    <col min="257" max="257" width="38.42578125" style="130" customWidth="1"/>
    <col min="258" max="258" width="12.85546875" style="130" customWidth="1"/>
    <col min="259" max="330" width="10.28515625" style="130" customWidth="1"/>
    <col min="331" max="512" width="8.85546875" style="130"/>
    <col min="513" max="513" width="38.42578125" style="130" customWidth="1"/>
    <col min="514" max="514" width="12.85546875" style="130" customWidth="1"/>
    <col min="515" max="586" width="10.28515625" style="130" customWidth="1"/>
    <col min="587" max="768" width="8.85546875" style="130"/>
    <col min="769" max="769" width="38.42578125" style="130" customWidth="1"/>
    <col min="770" max="770" width="12.85546875" style="130" customWidth="1"/>
    <col min="771" max="842" width="10.28515625" style="130" customWidth="1"/>
    <col min="843" max="1024" width="8.85546875" style="130"/>
    <col min="1025" max="1025" width="38.42578125" style="130" customWidth="1"/>
    <col min="1026" max="1026" width="12.85546875" style="130" customWidth="1"/>
    <col min="1027" max="1098" width="10.28515625" style="130" customWidth="1"/>
    <col min="1099" max="1280" width="8.85546875" style="130"/>
    <col min="1281" max="1281" width="38.42578125" style="130" customWidth="1"/>
    <col min="1282" max="1282" width="12.85546875" style="130" customWidth="1"/>
    <col min="1283" max="1354" width="10.28515625" style="130" customWidth="1"/>
    <col min="1355" max="1536" width="8.85546875" style="130"/>
    <col min="1537" max="1537" width="38.42578125" style="130" customWidth="1"/>
    <col min="1538" max="1538" width="12.85546875" style="130" customWidth="1"/>
    <col min="1539" max="1610" width="10.28515625" style="130" customWidth="1"/>
    <col min="1611" max="1792" width="8.85546875" style="130"/>
    <col min="1793" max="1793" width="38.42578125" style="130" customWidth="1"/>
    <col min="1794" max="1794" width="12.85546875" style="130" customWidth="1"/>
    <col min="1795" max="1866" width="10.28515625" style="130" customWidth="1"/>
    <col min="1867" max="2048" width="8.85546875" style="130"/>
    <col min="2049" max="2049" width="38.42578125" style="130" customWidth="1"/>
    <col min="2050" max="2050" width="12.85546875" style="130" customWidth="1"/>
    <col min="2051" max="2122" width="10.28515625" style="130" customWidth="1"/>
    <col min="2123" max="2304" width="8.85546875" style="130"/>
    <col min="2305" max="2305" width="38.42578125" style="130" customWidth="1"/>
    <col min="2306" max="2306" width="12.85546875" style="130" customWidth="1"/>
    <col min="2307" max="2378" width="10.28515625" style="130" customWidth="1"/>
    <col min="2379" max="2560" width="8.85546875" style="130"/>
    <col min="2561" max="2561" width="38.42578125" style="130" customWidth="1"/>
    <col min="2562" max="2562" width="12.85546875" style="130" customWidth="1"/>
    <col min="2563" max="2634" width="10.28515625" style="130" customWidth="1"/>
    <col min="2635" max="2816" width="8.85546875" style="130"/>
    <col min="2817" max="2817" width="38.42578125" style="130" customWidth="1"/>
    <col min="2818" max="2818" width="12.85546875" style="130" customWidth="1"/>
    <col min="2819" max="2890" width="10.28515625" style="130" customWidth="1"/>
    <col min="2891" max="3072" width="8.85546875" style="130"/>
    <col min="3073" max="3073" width="38.42578125" style="130" customWidth="1"/>
    <col min="3074" max="3074" width="12.85546875" style="130" customWidth="1"/>
    <col min="3075" max="3146" width="10.28515625" style="130" customWidth="1"/>
    <col min="3147" max="3328" width="8.85546875" style="130"/>
    <col min="3329" max="3329" width="38.42578125" style="130" customWidth="1"/>
    <col min="3330" max="3330" width="12.85546875" style="130" customWidth="1"/>
    <col min="3331" max="3402" width="10.28515625" style="130" customWidth="1"/>
    <col min="3403" max="3584" width="8.85546875" style="130"/>
    <col min="3585" max="3585" width="38.42578125" style="130" customWidth="1"/>
    <col min="3586" max="3586" width="12.85546875" style="130" customWidth="1"/>
    <col min="3587" max="3658" width="10.28515625" style="130" customWidth="1"/>
    <col min="3659" max="3840" width="8.85546875" style="130"/>
    <col min="3841" max="3841" width="38.42578125" style="130" customWidth="1"/>
    <col min="3842" max="3842" width="12.85546875" style="130" customWidth="1"/>
    <col min="3843" max="3914" width="10.28515625" style="130" customWidth="1"/>
    <col min="3915" max="4096" width="8.85546875" style="130"/>
    <col min="4097" max="4097" width="38.42578125" style="130" customWidth="1"/>
    <col min="4098" max="4098" width="12.85546875" style="130" customWidth="1"/>
    <col min="4099" max="4170" width="10.28515625" style="130" customWidth="1"/>
    <col min="4171" max="4352" width="8.85546875" style="130"/>
    <col min="4353" max="4353" width="38.42578125" style="130" customWidth="1"/>
    <col min="4354" max="4354" width="12.85546875" style="130" customWidth="1"/>
    <col min="4355" max="4426" width="10.28515625" style="130" customWidth="1"/>
    <col min="4427" max="4608" width="8.85546875" style="130"/>
    <col min="4609" max="4609" width="38.42578125" style="130" customWidth="1"/>
    <col min="4610" max="4610" width="12.85546875" style="130" customWidth="1"/>
    <col min="4611" max="4682" width="10.28515625" style="130" customWidth="1"/>
    <col min="4683" max="4864" width="8.85546875" style="130"/>
    <col min="4865" max="4865" width="38.42578125" style="130" customWidth="1"/>
    <col min="4866" max="4866" width="12.85546875" style="130" customWidth="1"/>
    <col min="4867" max="4938" width="10.28515625" style="130" customWidth="1"/>
    <col min="4939" max="5120" width="8.85546875" style="130"/>
    <col min="5121" max="5121" width="38.42578125" style="130" customWidth="1"/>
    <col min="5122" max="5122" width="12.85546875" style="130" customWidth="1"/>
    <col min="5123" max="5194" width="10.28515625" style="130" customWidth="1"/>
    <col min="5195" max="5376" width="8.85546875" style="130"/>
    <col min="5377" max="5377" width="38.42578125" style="130" customWidth="1"/>
    <col min="5378" max="5378" width="12.85546875" style="130" customWidth="1"/>
    <col min="5379" max="5450" width="10.28515625" style="130" customWidth="1"/>
    <col min="5451" max="5632" width="8.85546875" style="130"/>
    <col min="5633" max="5633" width="38.42578125" style="130" customWidth="1"/>
    <col min="5634" max="5634" width="12.85546875" style="130" customWidth="1"/>
    <col min="5635" max="5706" width="10.28515625" style="130" customWidth="1"/>
    <col min="5707" max="5888" width="8.85546875" style="130"/>
    <col min="5889" max="5889" width="38.42578125" style="130" customWidth="1"/>
    <col min="5890" max="5890" width="12.85546875" style="130" customWidth="1"/>
    <col min="5891" max="5962" width="10.28515625" style="130" customWidth="1"/>
    <col min="5963" max="6144" width="8.85546875" style="130"/>
    <col min="6145" max="6145" width="38.42578125" style="130" customWidth="1"/>
    <col min="6146" max="6146" width="12.85546875" style="130" customWidth="1"/>
    <col min="6147" max="6218" width="10.28515625" style="130" customWidth="1"/>
    <col min="6219" max="6400" width="8.85546875" style="130"/>
    <col min="6401" max="6401" width="38.42578125" style="130" customWidth="1"/>
    <col min="6402" max="6402" width="12.85546875" style="130" customWidth="1"/>
    <col min="6403" max="6474" width="10.28515625" style="130" customWidth="1"/>
    <col min="6475" max="6656" width="8.85546875" style="130"/>
    <col min="6657" max="6657" width="38.42578125" style="130" customWidth="1"/>
    <col min="6658" max="6658" width="12.85546875" style="130" customWidth="1"/>
    <col min="6659" max="6730" width="10.28515625" style="130" customWidth="1"/>
    <col min="6731" max="6912" width="8.85546875" style="130"/>
    <col min="6913" max="6913" width="38.42578125" style="130" customWidth="1"/>
    <col min="6914" max="6914" width="12.85546875" style="130" customWidth="1"/>
    <col min="6915" max="6986" width="10.28515625" style="130" customWidth="1"/>
    <col min="6987" max="7168" width="8.85546875" style="130"/>
    <col min="7169" max="7169" width="38.42578125" style="130" customWidth="1"/>
    <col min="7170" max="7170" width="12.85546875" style="130" customWidth="1"/>
    <col min="7171" max="7242" width="10.28515625" style="130" customWidth="1"/>
    <col min="7243" max="7424" width="8.85546875" style="130"/>
    <col min="7425" max="7425" width="38.42578125" style="130" customWidth="1"/>
    <col min="7426" max="7426" width="12.85546875" style="130" customWidth="1"/>
    <col min="7427" max="7498" width="10.28515625" style="130" customWidth="1"/>
    <col min="7499" max="7680" width="8.85546875" style="130"/>
    <col min="7681" max="7681" width="38.42578125" style="130" customWidth="1"/>
    <col min="7682" max="7682" width="12.85546875" style="130" customWidth="1"/>
    <col min="7683" max="7754" width="10.28515625" style="130" customWidth="1"/>
    <col min="7755" max="7936" width="8.85546875" style="130"/>
    <col min="7937" max="7937" width="38.42578125" style="130" customWidth="1"/>
    <col min="7938" max="7938" width="12.85546875" style="130" customWidth="1"/>
    <col min="7939" max="8010" width="10.28515625" style="130" customWidth="1"/>
    <col min="8011" max="8192" width="8.85546875" style="130"/>
    <col min="8193" max="8193" width="38.42578125" style="130" customWidth="1"/>
    <col min="8194" max="8194" width="12.85546875" style="130" customWidth="1"/>
    <col min="8195" max="8266" width="10.28515625" style="130" customWidth="1"/>
    <col min="8267" max="8448" width="8.85546875" style="130"/>
    <col min="8449" max="8449" width="38.42578125" style="130" customWidth="1"/>
    <col min="8450" max="8450" width="12.85546875" style="130" customWidth="1"/>
    <col min="8451" max="8522" width="10.28515625" style="130" customWidth="1"/>
    <col min="8523" max="8704" width="8.85546875" style="130"/>
    <col min="8705" max="8705" width="38.42578125" style="130" customWidth="1"/>
    <col min="8706" max="8706" width="12.85546875" style="130" customWidth="1"/>
    <col min="8707" max="8778" width="10.28515625" style="130" customWidth="1"/>
    <col min="8779" max="8960" width="8.85546875" style="130"/>
    <col min="8961" max="8961" width="38.42578125" style="130" customWidth="1"/>
    <col min="8962" max="8962" width="12.85546875" style="130" customWidth="1"/>
    <col min="8963" max="9034" width="10.28515625" style="130" customWidth="1"/>
    <col min="9035" max="9216" width="8.85546875" style="130"/>
    <col min="9217" max="9217" width="38.42578125" style="130" customWidth="1"/>
    <col min="9218" max="9218" width="12.85546875" style="130" customWidth="1"/>
    <col min="9219" max="9290" width="10.28515625" style="130" customWidth="1"/>
    <col min="9291" max="9472" width="8.85546875" style="130"/>
    <col min="9473" max="9473" width="38.42578125" style="130" customWidth="1"/>
    <col min="9474" max="9474" width="12.85546875" style="130" customWidth="1"/>
    <col min="9475" max="9546" width="10.28515625" style="130" customWidth="1"/>
    <col min="9547" max="9728" width="8.85546875" style="130"/>
    <col min="9729" max="9729" width="38.42578125" style="130" customWidth="1"/>
    <col min="9730" max="9730" width="12.85546875" style="130" customWidth="1"/>
    <col min="9731" max="9802" width="10.28515625" style="130" customWidth="1"/>
    <col min="9803" max="9984" width="8.85546875" style="130"/>
    <col min="9985" max="9985" width="38.42578125" style="130" customWidth="1"/>
    <col min="9986" max="9986" width="12.85546875" style="130" customWidth="1"/>
    <col min="9987" max="10058" width="10.28515625" style="130" customWidth="1"/>
    <col min="10059" max="10240" width="8.85546875" style="130"/>
    <col min="10241" max="10241" width="38.42578125" style="130" customWidth="1"/>
    <col min="10242" max="10242" width="12.85546875" style="130" customWidth="1"/>
    <col min="10243" max="10314" width="10.28515625" style="130" customWidth="1"/>
    <col min="10315" max="10496" width="8.85546875" style="130"/>
    <col min="10497" max="10497" width="38.42578125" style="130" customWidth="1"/>
    <col min="10498" max="10498" width="12.85546875" style="130" customWidth="1"/>
    <col min="10499" max="10570" width="10.28515625" style="130" customWidth="1"/>
    <col min="10571" max="10752" width="8.85546875" style="130"/>
    <col min="10753" max="10753" width="38.42578125" style="130" customWidth="1"/>
    <col min="10754" max="10754" width="12.85546875" style="130" customWidth="1"/>
    <col min="10755" max="10826" width="10.28515625" style="130" customWidth="1"/>
    <col min="10827" max="11008" width="8.85546875" style="130"/>
    <col min="11009" max="11009" width="38.42578125" style="130" customWidth="1"/>
    <col min="11010" max="11010" width="12.85546875" style="130" customWidth="1"/>
    <col min="11011" max="11082" width="10.28515625" style="130" customWidth="1"/>
    <col min="11083" max="11264" width="8.85546875" style="130"/>
    <col min="11265" max="11265" width="38.42578125" style="130" customWidth="1"/>
    <col min="11266" max="11266" width="12.85546875" style="130" customWidth="1"/>
    <col min="11267" max="11338" width="10.28515625" style="130" customWidth="1"/>
    <col min="11339" max="11520" width="8.85546875" style="130"/>
    <col min="11521" max="11521" width="38.42578125" style="130" customWidth="1"/>
    <col min="11522" max="11522" width="12.85546875" style="130" customWidth="1"/>
    <col min="11523" max="11594" width="10.28515625" style="130" customWidth="1"/>
    <col min="11595" max="11776" width="8.85546875" style="130"/>
    <col min="11777" max="11777" width="38.42578125" style="130" customWidth="1"/>
    <col min="11778" max="11778" width="12.85546875" style="130" customWidth="1"/>
    <col min="11779" max="11850" width="10.28515625" style="130" customWidth="1"/>
    <col min="11851" max="12032" width="8.85546875" style="130"/>
    <col min="12033" max="12033" width="38.42578125" style="130" customWidth="1"/>
    <col min="12034" max="12034" width="12.85546875" style="130" customWidth="1"/>
    <col min="12035" max="12106" width="10.28515625" style="130" customWidth="1"/>
    <col min="12107" max="12288" width="8.85546875" style="130"/>
    <col min="12289" max="12289" width="38.42578125" style="130" customWidth="1"/>
    <col min="12290" max="12290" width="12.85546875" style="130" customWidth="1"/>
    <col min="12291" max="12362" width="10.28515625" style="130" customWidth="1"/>
    <col min="12363" max="12544" width="8.85546875" style="130"/>
    <col min="12545" max="12545" width="38.42578125" style="130" customWidth="1"/>
    <col min="12546" max="12546" width="12.85546875" style="130" customWidth="1"/>
    <col min="12547" max="12618" width="10.28515625" style="130" customWidth="1"/>
    <col min="12619" max="12800" width="8.85546875" style="130"/>
    <col min="12801" max="12801" width="38.42578125" style="130" customWidth="1"/>
    <col min="12802" max="12802" width="12.85546875" style="130" customWidth="1"/>
    <col min="12803" max="12874" width="10.28515625" style="130" customWidth="1"/>
    <col min="12875" max="13056" width="8.85546875" style="130"/>
    <col min="13057" max="13057" width="38.42578125" style="130" customWidth="1"/>
    <col min="13058" max="13058" width="12.85546875" style="130" customWidth="1"/>
    <col min="13059" max="13130" width="10.28515625" style="130" customWidth="1"/>
    <col min="13131" max="13312" width="8.85546875" style="130"/>
    <col min="13313" max="13313" width="38.42578125" style="130" customWidth="1"/>
    <col min="13314" max="13314" width="12.85546875" style="130" customWidth="1"/>
    <col min="13315" max="13386" width="10.28515625" style="130" customWidth="1"/>
    <col min="13387" max="13568" width="8.85546875" style="130"/>
    <col min="13569" max="13569" width="38.42578125" style="130" customWidth="1"/>
    <col min="13570" max="13570" width="12.85546875" style="130" customWidth="1"/>
    <col min="13571" max="13642" width="10.28515625" style="130" customWidth="1"/>
    <col min="13643" max="13824" width="8.85546875" style="130"/>
    <col min="13825" max="13825" width="38.42578125" style="130" customWidth="1"/>
    <col min="13826" max="13826" width="12.85546875" style="130" customWidth="1"/>
    <col min="13827" max="13898" width="10.28515625" style="130" customWidth="1"/>
    <col min="13899" max="14080" width="8.85546875" style="130"/>
    <col min="14081" max="14081" width="38.42578125" style="130" customWidth="1"/>
    <col min="14082" max="14082" width="12.85546875" style="130" customWidth="1"/>
    <col min="14083" max="14154" width="10.28515625" style="130" customWidth="1"/>
    <col min="14155" max="14336" width="8.85546875" style="130"/>
    <col min="14337" max="14337" width="38.42578125" style="130" customWidth="1"/>
    <col min="14338" max="14338" width="12.85546875" style="130" customWidth="1"/>
    <col min="14339" max="14410" width="10.28515625" style="130" customWidth="1"/>
    <col min="14411" max="14592" width="8.85546875" style="130"/>
    <col min="14593" max="14593" width="38.42578125" style="130" customWidth="1"/>
    <col min="14594" max="14594" width="12.85546875" style="130" customWidth="1"/>
    <col min="14595" max="14666" width="10.28515625" style="130" customWidth="1"/>
    <col min="14667" max="14848" width="8.85546875" style="130"/>
    <col min="14849" max="14849" width="38.42578125" style="130" customWidth="1"/>
    <col min="14850" max="14850" width="12.85546875" style="130" customWidth="1"/>
    <col min="14851" max="14922" width="10.28515625" style="130" customWidth="1"/>
    <col min="14923" max="15104" width="8.85546875" style="130"/>
    <col min="15105" max="15105" width="38.42578125" style="130" customWidth="1"/>
    <col min="15106" max="15106" width="12.85546875" style="130" customWidth="1"/>
    <col min="15107" max="15178" width="10.28515625" style="130" customWidth="1"/>
    <col min="15179" max="15360" width="8.85546875" style="130"/>
    <col min="15361" max="15361" width="38.42578125" style="130" customWidth="1"/>
    <col min="15362" max="15362" width="12.85546875" style="130" customWidth="1"/>
    <col min="15363" max="15434" width="10.28515625" style="130" customWidth="1"/>
    <col min="15435" max="15616" width="8.85546875" style="130"/>
    <col min="15617" max="15617" width="38.42578125" style="130" customWidth="1"/>
    <col min="15618" max="15618" width="12.85546875" style="130" customWidth="1"/>
    <col min="15619" max="15690" width="10.28515625" style="130" customWidth="1"/>
    <col min="15691" max="15872" width="8.85546875" style="130"/>
    <col min="15873" max="15873" width="38.42578125" style="130" customWidth="1"/>
    <col min="15874" max="15874" width="12.85546875" style="130" customWidth="1"/>
    <col min="15875" max="15946" width="10.28515625" style="130" customWidth="1"/>
    <col min="15947" max="16128" width="8.85546875" style="130"/>
    <col min="16129" max="16129" width="38.42578125" style="130" customWidth="1"/>
    <col min="16130" max="16130" width="12.85546875" style="130" customWidth="1"/>
    <col min="16131" max="16202" width="10.28515625" style="130" customWidth="1"/>
    <col min="16203" max="16384" width="8.85546875" style="130"/>
  </cols>
  <sheetData>
    <row r="1" spans="1:75" ht="18" x14ac:dyDescent="0.25">
      <c r="A1" s="357" t="s">
        <v>60</v>
      </c>
      <c r="B1" s="358"/>
    </row>
    <row r="2" spans="1:75" ht="15.75" x14ac:dyDescent="0.25">
      <c r="A2" s="359" t="s">
        <v>61</v>
      </c>
      <c r="B2" s="360"/>
    </row>
    <row r="3" spans="1:75" ht="15.75" thickBot="1" x14ac:dyDescent="0.3">
      <c r="A3" s="361" t="s">
        <v>62</v>
      </c>
      <c r="B3" s="362"/>
    </row>
    <row r="6" spans="1:75" x14ac:dyDescent="0.2">
      <c r="AO6" s="132" t="s">
        <v>63</v>
      </c>
      <c r="AP6" s="132" t="s">
        <v>63</v>
      </c>
      <c r="AQ6" s="132" t="s">
        <v>63</v>
      </c>
      <c r="AR6" s="132" t="s">
        <v>63</v>
      </c>
      <c r="AS6" s="133" t="s">
        <v>64</v>
      </c>
      <c r="AT6" s="134" t="s">
        <v>64</v>
      </c>
      <c r="AU6" s="134" t="s">
        <v>64</v>
      </c>
      <c r="AV6" s="133" t="s">
        <v>64</v>
      </c>
      <c r="AW6" s="135" t="s">
        <v>65</v>
      </c>
      <c r="AX6" s="136" t="s">
        <v>65</v>
      </c>
      <c r="AY6" s="136" t="s">
        <v>65</v>
      </c>
      <c r="AZ6" s="136" t="s">
        <v>65</v>
      </c>
      <c r="BA6" s="137" t="s">
        <v>66</v>
      </c>
      <c r="BB6" s="137" t="s">
        <v>66</v>
      </c>
      <c r="BC6" s="137" t="s">
        <v>66</v>
      </c>
      <c r="BD6" s="137" t="s">
        <v>66</v>
      </c>
      <c r="BE6" s="138" t="s">
        <v>67</v>
      </c>
      <c r="BF6" s="138" t="s">
        <v>67</v>
      </c>
      <c r="BG6" s="138" t="s">
        <v>67</v>
      </c>
      <c r="BH6" s="138" t="s">
        <v>67</v>
      </c>
      <c r="BI6" s="139" t="s">
        <v>68</v>
      </c>
      <c r="BJ6" s="139" t="s">
        <v>68</v>
      </c>
      <c r="BK6" s="139" t="s">
        <v>68</v>
      </c>
      <c r="BL6" s="139" t="s">
        <v>68</v>
      </c>
      <c r="BM6" s="140" t="s">
        <v>69</v>
      </c>
      <c r="BN6" s="140" t="s">
        <v>69</v>
      </c>
      <c r="BO6" s="140" t="s">
        <v>69</v>
      </c>
      <c r="BP6" s="140" t="s">
        <v>69</v>
      </c>
      <c r="BQ6" s="141" t="s">
        <v>70</v>
      </c>
      <c r="BR6" s="141" t="s">
        <v>70</v>
      </c>
      <c r="BS6" s="141" t="s">
        <v>70</v>
      </c>
      <c r="BT6" s="141" t="s">
        <v>70</v>
      </c>
    </row>
    <row r="7" spans="1:75" s="131" customFormat="1" x14ac:dyDescent="0.2">
      <c r="B7" s="131" t="s">
        <v>71</v>
      </c>
      <c r="C7" s="142" t="s">
        <v>72</v>
      </c>
      <c r="D7" s="142" t="s">
        <v>73</v>
      </c>
      <c r="E7" s="142" t="s">
        <v>74</v>
      </c>
      <c r="F7" s="142" t="s">
        <v>75</v>
      </c>
      <c r="G7" s="142" t="s">
        <v>76</v>
      </c>
      <c r="H7" s="142" t="s">
        <v>77</v>
      </c>
      <c r="I7" s="142" t="s">
        <v>78</v>
      </c>
      <c r="J7" s="142" t="s">
        <v>79</v>
      </c>
      <c r="K7" s="142" t="s">
        <v>80</v>
      </c>
      <c r="L7" s="142" t="s">
        <v>81</v>
      </c>
      <c r="M7" s="142" t="s">
        <v>82</v>
      </c>
      <c r="N7" s="142" t="s">
        <v>83</v>
      </c>
      <c r="O7" s="142" t="s">
        <v>84</v>
      </c>
      <c r="P7" s="142" t="s">
        <v>85</v>
      </c>
      <c r="Q7" s="142" t="s">
        <v>86</v>
      </c>
      <c r="R7" s="142" t="s">
        <v>87</v>
      </c>
      <c r="S7" s="142" t="s">
        <v>88</v>
      </c>
      <c r="T7" s="142" t="s">
        <v>89</v>
      </c>
      <c r="U7" s="142" t="s">
        <v>90</v>
      </c>
      <c r="V7" s="142" t="s">
        <v>91</v>
      </c>
      <c r="W7" s="142" t="s">
        <v>92</v>
      </c>
      <c r="X7" s="142" t="s">
        <v>93</v>
      </c>
      <c r="Y7" s="142" t="s">
        <v>94</v>
      </c>
      <c r="Z7" s="142" t="s">
        <v>95</v>
      </c>
      <c r="AA7" s="142" t="s">
        <v>96</v>
      </c>
      <c r="AB7" s="142" t="s">
        <v>97</v>
      </c>
      <c r="AC7" s="142" t="s">
        <v>98</v>
      </c>
      <c r="AD7" s="142" t="s">
        <v>99</v>
      </c>
      <c r="AE7" s="142" t="s">
        <v>100</v>
      </c>
      <c r="AF7" s="142" t="s">
        <v>101</v>
      </c>
      <c r="AG7" s="142" t="s">
        <v>102</v>
      </c>
      <c r="AH7" s="142" t="s">
        <v>103</v>
      </c>
      <c r="AI7" s="142" t="s">
        <v>104</v>
      </c>
      <c r="AJ7" s="142" t="s">
        <v>105</v>
      </c>
      <c r="AK7" s="142" t="s">
        <v>106</v>
      </c>
      <c r="AL7" s="142" t="s">
        <v>107</v>
      </c>
      <c r="AM7" s="142" t="s">
        <v>108</v>
      </c>
      <c r="AN7" s="142" t="s">
        <v>109</v>
      </c>
      <c r="AO7" s="142" t="s">
        <v>110</v>
      </c>
      <c r="AP7" s="142" t="s">
        <v>111</v>
      </c>
      <c r="AQ7" s="142" t="s">
        <v>112</v>
      </c>
      <c r="AR7" s="142" t="s">
        <v>113</v>
      </c>
      <c r="AS7" s="142" t="s">
        <v>114</v>
      </c>
      <c r="AT7" s="142" t="s">
        <v>115</v>
      </c>
      <c r="AU7" s="131" t="s">
        <v>116</v>
      </c>
      <c r="AV7" s="131" t="s">
        <v>117</v>
      </c>
      <c r="AW7" s="131" t="s">
        <v>118</v>
      </c>
      <c r="AX7" s="131" t="s">
        <v>119</v>
      </c>
      <c r="AY7" s="131" t="s">
        <v>120</v>
      </c>
      <c r="AZ7" s="131" t="s">
        <v>121</v>
      </c>
      <c r="BA7" s="131" t="s">
        <v>122</v>
      </c>
      <c r="BB7" s="131" t="s">
        <v>123</v>
      </c>
      <c r="BC7" s="131" t="s">
        <v>124</v>
      </c>
      <c r="BD7" s="131" t="s">
        <v>125</v>
      </c>
      <c r="BE7" s="131" t="s">
        <v>126</v>
      </c>
      <c r="BF7" s="131" t="s">
        <v>127</v>
      </c>
      <c r="BG7" s="131" t="s">
        <v>128</v>
      </c>
      <c r="BH7" s="131" t="s">
        <v>129</v>
      </c>
      <c r="BI7" s="131" t="s">
        <v>130</v>
      </c>
      <c r="BJ7" s="131" t="s">
        <v>131</v>
      </c>
      <c r="BK7" s="131" t="s">
        <v>132</v>
      </c>
      <c r="BL7" s="131" t="s">
        <v>133</v>
      </c>
      <c r="BM7" s="131" t="s">
        <v>134</v>
      </c>
      <c r="BN7" s="131" t="s">
        <v>135</v>
      </c>
      <c r="BO7" s="131" t="s">
        <v>136</v>
      </c>
      <c r="BP7" s="131" t="s">
        <v>137</v>
      </c>
      <c r="BQ7" s="131" t="s">
        <v>138</v>
      </c>
      <c r="BR7" s="131" t="s">
        <v>139</v>
      </c>
      <c r="BS7" s="131" t="s">
        <v>140</v>
      </c>
      <c r="BT7" s="131" t="s">
        <v>141</v>
      </c>
      <c r="BU7" s="131" t="s">
        <v>142</v>
      </c>
      <c r="BV7" s="131" t="s">
        <v>143</v>
      </c>
      <c r="BW7" s="131" t="s">
        <v>144</v>
      </c>
    </row>
    <row r="8" spans="1:75" x14ac:dyDescent="0.2">
      <c r="A8" s="131" t="s">
        <v>145</v>
      </c>
      <c r="B8" s="131" t="s">
        <v>146</v>
      </c>
      <c r="C8" s="143">
        <v>2.0350000000000001</v>
      </c>
      <c r="D8" s="143">
        <v>2.06</v>
      </c>
      <c r="E8" s="143">
        <v>2.0640000000000001</v>
      </c>
      <c r="F8" s="143">
        <v>2.0870000000000002</v>
      </c>
      <c r="G8" s="143">
        <v>2.1040000000000001</v>
      </c>
      <c r="H8" s="143">
        <v>2.1150000000000002</v>
      </c>
      <c r="I8" s="143">
        <v>2.1480000000000001</v>
      </c>
      <c r="J8" s="143">
        <v>2.169</v>
      </c>
      <c r="K8" s="143">
        <v>2.1869999999999998</v>
      </c>
      <c r="L8" s="143">
        <v>2.214</v>
      </c>
      <c r="M8" s="143">
        <v>2.2330000000000001</v>
      </c>
      <c r="N8" s="143">
        <v>2.2210000000000001</v>
      </c>
      <c r="O8" s="143">
        <v>2.234</v>
      </c>
      <c r="P8" s="143">
        <v>2.2599999999999998</v>
      </c>
      <c r="Q8" s="143">
        <v>2.274</v>
      </c>
      <c r="R8" s="143">
        <v>2.3010000000000002</v>
      </c>
      <c r="S8" s="143">
        <v>2.3210000000000002</v>
      </c>
      <c r="T8" s="143">
        <v>2.3620000000000001</v>
      </c>
      <c r="U8" s="143">
        <v>2.4020000000000001</v>
      </c>
      <c r="V8" s="143">
        <v>2.351</v>
      </c>
      <c r="W8" s="143">
        <v>2.3439999999999999</v>
      </c>
      <c r="X8" s="143">
        <v>2.3479999999999999</v>
      </c>
      <c r="Y8" s="143">
        <v>2.3690000000000002</v>
      </c>
      <c r="Z8" s="143">
        <v>2.383</v>
      </c>
      <c r="AA8" s="143">
        <v>2.383</v>
      </c>
      <c r="AB8" s="143">
        <v>2.3839999999999999</v>
      </c>
      <c r="AC8" s="143">
        <v>2.399</v>
      </c>
      <c r="AD8" s="143">
        <v>2.4209999999999998</v>
      </c>
      <c r="AE8" s="143">
        <v>2.4350000000000001</v>
      </c>
      <c r="AF8" s="143">
        <v>2.4780000000000002</v>
      </c>
      <c r="AG8" s="143">
        <v>2.4889999999999999</v>
      </c>
      <c r="AH8" s="143">
        <v>2.4969999999999999</v>
      </c>
      <c r="AI8" s="143">
        <v>2.5179999999999998</v>
      </c>
      <c r="AJ8" s="143">
        <v>2.5219999999999998</v>
      </c>
      <c r="AK8" s="143">
        <v>2.5289999999999999</v>
      </c>
      <c r="AL8" s="143">
        <v>2.548</v>
      </c>
      <c r="AM8" s="143">
        <v>2.5579999999999998</v>
      </c>
      <c r="AN8" s="143">
        <v>2.556</v>
      </c>
      <c r="AO8" s="143">
        <v>2.573</v>
      </c>
      <c r="AP8" s="143">
        <v>2.5880000000000001</v>
      </c>
      <c r="AQ8" s="143">
        <v>2.6</v>
      </c>
      <c r="AR8" s="143">
        <v>2.609</v>
      </c>
      <c r="AS8" s="143">
        <v>2.6139999999999999</v>
      </c>
      <c r="AT8" s="143">
        <v>2.617</v>
      </c>
      <c r="AU8" s="143">
        <v>2.617</v>
      </c>
      <c r="AV8" s="143">
        <v>2.6259999999999999</v>
      </c>
      <c r="AW8" s="143">
        <v>2.6219999999999999</v>
      </c>
      <c r="AX8" s="143">
        <v>2.6309999999999998</v>
      </c>
      <c r="AY8" s="143">
        <v>2.6309999999999998</v>
      </c>
      <c r="AZ8" s="143">
        <v>2.649</v>
      </c>
      <c r="BA8" s="143">
        <v>2.6579999999999999</v>
      </c>
      <c r="BB8" s="143">
        <v>2.681</v>
      </c>
      <c r="BC8" s="143">
        <v>2.694</v>
      </c>
      <c r="BD8" s="143">
        <v>2.7109999999999999</v>
      </c>
      <c r="BE8" s="143">
        <v>2.7330000000000001</v>
      </c>
      <c r="BF8" s="143">
        <v>2.7480000000000002</v>
      </c>
      <c r="BG8" s="143">
        <v>2.7639999999999998</v>
      </c>
      <c r="BH8" s="143">
        <v>2.7829999999999999</v>
      </c>
      <c r="BI8" s="143">
        <v>2.8</v>
      </c>
      <c r="BJ8" s="143">
        <v>2.8159999999999998</v>
      </c>
      <c r="BK8" s="143">
        <v>2.8340000000000001</v>
      </c>
      <c r="BL8" s="143">
        <v>2.851</v>
      </c>
      <c r="BM8" s="143">
        <v>2.87</v>
      </c>
      <c r="BN8" s="143">
        <v>2.8879999999999999</v>
      </c>
      <c r="BO8" s="143">
        <v>2.9060000000000001</v>
      </c>
      <c r="BP8" s="143">
        <v>2.9239999999999999</v>
      </c>
      <c r="BQ8" s="143">
        <v>2.9430000000000001</v>
      </c>
      <c r="BR8" s="143">
        <v>2.9620000000000002</v>
      </c>
      <c r="BS8" s="143">
        <v>2.9809999999999999</v>
      </c>
      <c r="BT8" s="143">
        <v>3</v>
      </c>
      <c r="BU8" s="143">
        <v>3.02</v>
      </c>
      <c r="BV8" s="143">
        <v>3.0390000000000001</v>
      </c>
    </row>
    <row r="9" spans="1:75" x14ac:dyDescent="0.2">
      <c r="A9" s="131" t="s">
        <v>147</v>
      </c>
      <c r="B9" s="131" t="s">
        <v>148</v>
      </c>
      <c r="C9" s="143">
        <v>2.0350000000000001</v>
      </c>
      <c r="D9" s="143">
        <v>2.06</v>
      </c>
      <c r="E9" s="143">
        <v>2.0640000000000001</v>
      </c>
      <c r="F9" s="143">
        <v>2.0870000000000002</v>
      </c>
      <c r="G9" s="143">
        <v>2.1040000000000001</v>
      </c>
      <c r="H9" s="143">
        <v>2.1150000000000002</v>
      </c>
      <c r="I9" s="143">
        <v>2.1480000000000001</v>
      </c>
      <c r="J9" s="143">
        <v>2.169</v>
      </c>
      <c r="K9" s="143">
        <v>2.1869999999999998</v>
      </c>
      <c r="L9" s="143">
        <v>2.214</v>
      </c>
      <c r="M9" s="143">
        <v>2.2330000000000001</v>
      </c>
      <c r="N9" s="143">
        <v>2.2210000000000001</v>
      </c>
      <c r="O9" s="143">
        <v>2.234</v>
      </c>
      <c r="P9" s="143">
        <v>2.2599999999999998</v>
      </c>
      <c r="Q9" s="143">
        <v>2.274</v>
      </c>
      <c r="R9" s="143">
        <v>2.3010000000000002</v>
      </c>
      <c r="S9" s="143">
        <v>2.3210000000000002</v>
      </c>
      <c r="T9" s="143">
        <v>2.3620000000000001</v>
      </c>
      <c r="U9" s="143">
        <v>2.4020000000000001</v>
      </c>
      <c r="V9" s="143">
        <v>2.351</v>
      </c>
      <c r="W9" s="143">
        <v>2.3439999999999999</v>
      </c>
      <c r="X9" s="143">
        <v>2.3479999999999999</v>
      </c>
      <c r="Y9" s="143">
        <v>2.3690000000000002</v>
      </c>
      <c r="Z9" s="143">
        <v>2.383</v>
      </c>
      <c r="AA9" s="143">
        <v>2.383</v>
      </c>
      <c r="AB9" s="143">
        <v>2.3839999999999999</v>
      </c>
      <c r="AC9" s="143">
        <v>2.399</v>
      </c>
      <c r="AD9" s="143">
        <v>2.4209999999999998</v>
      </c>
      <c r="AE9" s="143">
        <v>2.4350000000000001</v>
      </c>
      <c r="AF9" s="143">
        <v>2.4780000000000002</v>
      </c>
      <c r="AG9" s="143">
        <v>2.4889999999999999</v>
      </c>
      <c r="AH9" s="143">
        <v>2.4969999999999999</v>
      </c>
      <c r="AI9" s="143">
        <v>2.5179999999999998</v>
      </c>
      <c r="AJ9" s="143">
        <v>2.5219999999999998</v>
      </c>
      <c r="AK9" s="143">
        <v>2.5289999999999999</v>
      </c>
      <c r="AL9" s="143">
        <v>2.548</v>
      </c>
      <c r="AM9" s="143">
        <v>2.5579999999999998</v>
      </c>
      <c r="AN9" s="143">
        <v>2.556</v>
      </c>
      <c r="AO9" s="143">
        <v>2.573</v>
      </c>
      <c r="AP9" s="143">
        <v>2.5880000000000001</v>
      </c>
      <c r="AQ9" s="143">
        <v>2.6</v>
      </c>
      <c r="AR9" s="143">
        <v>2.609</v>
      </c>
      <c r="AS9" s="143">
        <v>2.6139999999999999</v>
      </c>
      <c r="AT9" s="143">
        <v>2.617</v>
      </c>
      <c r="AU9" s="143">
        <v>2.617</v>
      </c>
      <c r="AV9" s="143">
        <v>2.6259999999999999</v>
      </c>
      <c r="AW9" s="143">
        <v>2.6219999999999999</v>
      </c>
      <c r="AX9" s="143">
        <v>2.6309999999999998</v>
      </c>
      <c r="AY9" s="143">
        <v>2.6309999999999998</v>
      </c>
      <c r="AZ9" s="143">
        <v>2.649</v>
      </c>
      <c r="BA9" s="143">
        <v>2.6579999999999999</v>
      </c>
      <c r="BB9" s="143">
        <v>2.6789999999999998</v>
      </c>
      <c r="BC9" s="143">
        <v>2.6920000000000002</v>
      </c>
      <c r="BD9" s="143">
        <v>2.7050000000000001</v>
      </c>
      <c r="BE9" s="143">
        <v>2.7250000000000001</v>
      </c>
      <c r="BF9" s="143">
        <v>2.738</v>
      </c>
      <c r="BG9" s="143">
        <v>2.7530000000000001</v>
      </c>
      <c r="BH9" s="143">
        <v>2.7690000000000001</v>
      </c>
      <c r="BI9" s="143">
        <v>2.7839999999999998</v>
      </c>
      <c r="BJ9" s="143">
        <v>2.798</v>
      </c>
      <c r="BK9" s="143">
        <v>2.8140000000000001</v>
      </c>
      <c r="BL9" s="143">
        <v>2.8290000000000002</v>
      </c>
      <c r="BM9" s="143">
        <v>2.8450000000000002</v>
      </c>
      <c r="BN9" s="143">
        <v>2.8610000000000002</v>
      </c>
      <c r="BO9" s="143">
        <v>2.8780000000000001</v>
      </c>
      <c r="BP9" s="143">
        <v>2.8940000000000001</v>
      </c>
      <c r="BQ9" s="143">
        <v>2.91</v>
      </c>
      <c r="BR9" s="143">
        <v>2.9260000000000002</v>
      </c>
      <c r="BS9" s="143">
        <v>2.944</v>
      </c>
      <c r="BT9" s="143">
        <v>2.9609999999999999</v>
      </c>
      <c r="BU9" s="143">
        <v>2.9790000000000001</v>
      </c>
      <c r="BV9" s="143">
        <v>2.996</v>
      </c>
    </row>
    <row r="10" spans="1:75" x14ac:dyDescent="0.2">
      <c r="A10" s="131" t="s">
        <v>149</v>
      </c>
      <c r="B10" s="131" t="s">
        <v>150</v>
      </c>
      <c r="C10" s="143">
        <v>2.0350000000000001</v>
      </c>
      <c r="D10" s="143">
        <v>2.06</v>
      </c>
      <c r="E10" s="143">
        <v>2.0640000000000001</v>
      </c>
      <c r="F10" s="143">
        <v>2.0870000000000002</v>
      </c>
      <c r="G10" s="143">
        <v>2.1040000000000001</v>
      </c>
      <c r="H10" s="143">
        <v>2.1150000000000002</v>
      </c>
      <c r="I10" s="143">
        <v>2.1480000000000001</v>
      </c>
      <c r="J10" s="143">
        <v>2.169</v>
      </c>
      <c r="K10" s="143">
        <v>2.1869999999999998</v>
      </c>
      <c r="L10" s="143">
        <v>2.214</v>
      </c>
      <c r="M10" s="143">
        <v>2.2330000000000001</v>
      </c>
      <c r="N10" s="143">
        <v>2.2210000000000001</v>
      </c>
      <c r="O10" s="143">
        <v>2.234</v>
      </c>
      <c r="P10" s="143">
        <v>2.2599999999999998</v>
      </c>
      <c r="Q10" s="143">
        <v>2.274</v>
      </c>
      <c r="R10" s="143">
        <v>2.3010000000000002</v>
      </c>
      <c r="S10" s="143">
        <v>2.3210000000000002</v>
      </c>
      <c r="T10" s="143">
        <v>2.3620000000000001</v>
      </c>
      <c r="U10" s="143">
        <v>2.4020000000000001</v>
      </c>
      <c r="V10" s="143">
        <v>2.351</v>
      </c>
      <c r="W10" s="143">
        <v>2.3439999999999999</v>
      </c>
      <c r="X10" s="143">
        <v>2.3479999999999999</v>
      </c>
      <c r="Y10" s="143">
        <v>2.3690000000000002</v>
      </c>
      <c r="Z10" s="143">
        <v>2.383</v>
      </c>
      <c r="AA10" s="143">
        <v>2.383</v>
      </c>
      <c r="AB10" s="143">
        <v>2.3839999999999999</v>
      </c>
      <c r="AC10" s="143">
        <v>2.399</v>
      </c>
      <c r="AD10" s="143">
        <v>2.4209999999999998</v>
      </c>
      <c r="AE10" s="143">
        <v>2.4350000000000001</v>
      </c>
      <c r="AF10" s="143">
        <v>2.4780000000000002</v>
      </c>
      <c r="AG10" s="143">
        <v>2.4889999999999999</v>
      </c>
      <c r="AH10" s="143">
        <v>2.4969999999999999</v>
      </c>
      <c r="AI10" s="143">
        <v>2.5179999999999998</v>
      </c>
      <c r="AJ10" s="143">
        <v>2.5219999999999998</v>
      </c>
      <c r="AK10" s="143">
        <v>2.5289999999999999</v>
      </c>
      <c r="AL10" s="143">
        <v>2.548</v>
      </c>
      <c r="AM10" s="143">
        <v>2.5579999999999998</v>
      </c>
      <c r="AN10" s="143">
        <v>2.556</v>
      </c>
      <c r="AO10" s="143">
        <v>2.573</v>
      </c>
      <c r="AP10" s="143">
        <v>2.5880000000000001</v>
      </c>
      <c r="AQ10" s="143">
        <v>2.6</v>
      </c>
      <c r="AR10" s="143">
        <v>2.609</v>
      </c>
      <c r="AS10" s="143">
        <v>2.6139999999999999</v>
      </c>
      <c r="AT10" s="143">
        <v>2.617</v>
      </c>
      <c r="AU10" s="143">
        <v>2.617</v>
      </c>
      <c r="AV10" s="143">
        <v>2.6259999999999999</v>
      </c>
      <c r="AW10" s="143">
        <v>2.6219999999999999</v>
      </c>
      <c r="AX10" s="143">
        <v>2.6309999999999998</v>
      </c>
      <c r="AY10" s="143">
        <v>2.6309999999999998</v>
      </c>
      <c r="AZ10" s="143">
        <v>2.649</v>
      </c>
      <c r="BA10" s="143">
        <v>2.6579999999999999</v>
      </c>
      <c r="BB10" s="143">
        <v>2.681</v>
      </c>
      <c r="BC10" s="143">
        <v>2.6960000000000002</v>
      </c>
      <c r="BD10" s="143">
        <v>2.7149999999999999</v>
      </c>
      <c r="BE10" s="143">
        <v>2.74</v>
      </c>
      <c r="BF10" s="143">
        <v>2.758</v>
      </c>
      <c r="BG10" s="143">
        <v>2.778</v>
      </c>
      <c r="BH10" s="143">
        <v>2.8010000000000002</v>
      </c>
      <c r="BI10" s="143">
        <v>2.8220000000000001</v>
      </c>
      <c r="BJ10" s="143">
        <v>2.843</v>
      </c>
      <c r="BK10" s="143">
        <v>2.8660000000000001</v>
      </c>
      <c r="BL10" s="143">
        <v>2.8879999999999999</v>
      </c>
      <c r="BM10" s="143">
        <v>2.9119999999999999</v>
      </c>
      <c r="BN10" s="143">
        <v>2.9359999999999999</v>
      </c>
      <c r="BO10" s="143">
        <v>2.9609999999999999</v>
      </c>
      <c r="BP10" s="143">
        <v>2.9870000000000001</v>
      </c>
      <c r="BQ10" s="143">
        <v>3.0129999999999999</v>
      </c>
      <c r="BR10" s="143">
        <v>3.0390000000000001</v>
      </c>
      <c r="BS10" s="143">
        <v>3.0659999999999998</v>
      </c>
      <c r="BT10" s="143">
        <v>3.0939999999999999</v>
      </c>
      <c r="BU10" s="143">
        <v>3.1219999999999999</v>
      </c>
      <c r="BV10" s="143">
        <v>3.149</v>
      </c>
    </row>
    <row r="12" spans="1:75" x14ac:dyDescent="0.2"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</row>
    <row r="13" spans="1:75" x14ac:dyDescent="0.2"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</row>
    <row r="14" spans="1:75" hidden="1" x14ac:dyDescent="0.2"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</row>
    <row r="15" spans="1:75" hidden="1" x14ac:dyDescent="0.2"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Y15" s="145" t="s">
        <v>151</v>
      </c>
      <c r="AZ15" s="146"/>
      <c r="BA15" s="146"/>
      <c r="BB15" s="147" t="s">
        <v>152</v>
      </c>
      <c r="BC15" s="148"/>
      <c r="BD15" s="148"/>
      <c r="BE15" s="148"/>
      <c r="BF15" s="148"/>
      <c r="BG15" s="148"/>
      <c r="BH15" s="146"/>
      <c r="BI15" s="146"/>
      <c r="BJ15" s="146"/>
    </row>
    <row r="16" spans="1:75" hidden="1" x14ac:dyDescent="0.2"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Y16" s="149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1"/>
    </row>
    <row r="17" spans="3:62" hidden="1" x14ac:dyDescent="0.2"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Y17" s="153"/>
      <c r="AZ17" s="154" t="s">
        <v>153</v>
      </c>
      <c r="BA17" s="155" t="s">
        <v>154</v>
      </c>
      <c r="BB17" s="155"/>
      <c r="BC17" s="155"/>
      <c r="BD17" s="155"/>
      <c r="BE17" s="155"/>
      <c r="BF17" s="155"/>
      <c r="BG17" s="155"/>
      <c r="BH17" s="155"/>
      <c r="BI17" s="155"/>
      <c r="BJ17" s="156"/>
    </row>
    <row r="18" spans="3:62" hidden="1" x14ac:dyDescent="0.2">
      <c r="AY18" s="153"/>
      <c r="AZ18" s="155"/>
      <c r="BA18" s="131" t="s">
        <v>127</v>
      </c>
      <c r="BB18" s="155"/>
      <c r="BC18" s="155"/>
      <c r="BD18" s="155"/>
      <c r="BE18" s="155"/>
      <c r="BF18" s="155"/>
      <c r="BG18" s="155"/>
      <c r="BH18" s="155"/>
      <c r="BI18" s="155"/>
      <c r="BJ18" s="157" t="s">
        <v>16</v>
      </c>
    </row>
    <row r="19" spans="3:62" hidden="1" x14ac:dyDescent="0.2">
      <c r="AY19" s="153"/>
      <c r="AZ19" s="155"/>
      <c r="BA19" s="143">
        <v>2.738</v>
      </c>
      <c r="BB19" s="155"/>
      <c r="BC19" s="155"/>
      <c r="BD19" s="155"/>
      <c r="BE19" s="155"/>
      <c r="BF19" s="155"/>
      <c r="BG19" s="155"/>
      <c r="BH19" s="155"/>
      <c r="BI19" s="155"/>
      <c r="BJ19" s="158">
        <f>BA19</f>
        <v>2.738</v>
      </c>
    </row>
    <row r="20" spans="3:62" hidden="1" x14ac:dyDescent="0.2">
      <c r="AY20" s="153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9"/>
    </row>
    <row r="21" spans="3:62" hidden="1" x14ac:dyDescent="0.2">
      <c r="AY21" s="153"/>
      <c r="AZ21" s="154" t="s">
        <v>155</v>
      </c>
      <c r="BA21" s="155" t="s">
        <v>156</v>
      </c>
      <c r="BB21" s="155"/>
      <c r="BC21" s="155"/>
      <c r="BD21" s="155"/>
      <c r="BE21" s="155"/>
      <c r="BF21" s="155"/>
      <c r="BG21" s="155"/>
      <c r="BH21" s="155"/>
      <c r="BI21" s="155"/>
      <c r="BJ21" s="159"/>
    </row>
    <row r="22" spans="3:62" hidden="1" x14ac:dyDescent="0.2">
      <c r="AY22" s="153"/>
      <c r="AZ22" s="155"/>
      <c r="BA22" s="131" t="s">
        <v>128</v>
      </c>
      <c r="BB22" s="131" t="s">
        <v>129</v>
      </c>
      <c r="BC22" s="131" t="s">
        <v>130</v>
      </c>
      <c r="BD22" s="131" t="s">
        <v>131</v>
      </c>
      <c r="BE22" s="131" t="s">
        <v>132</v>
      </c>
      <c r="BF22" s="131" t="s">
        <v>133</v>
      </c>
      <c r="BG22" s="131" t="s">
        <v>134</v>
      </c>
      <c r="BH22" s="131" t="s">
        <v>135</v>
      </c>
      <c r="BI22" s="155"/>
      <c r="BJ22" s="159"/>
    </row>
    <row r="23" spans="3:62" hidden="1" x14ac:dyDescent="0.2">
      <c r="AY23" s="153"/>
      <c r="AZ23" s="155"/>
      <c r="BA23" s="143">
        <f>BG9</f>
        <v>2.7530000000000001</v>
      </c>
      <c r="BB23" s="143">
        <f t="shared" ref="BB23:BH23" si="0">BH9</f>
        <v>2.7690000000000001</v>
      </c>
      <c r="BC23" s="143">
        <f t="shared" si="0"/>
        <v>2.7839999999999998</v>
      </c>
      <c r="BD23" s="143">
        <f t="shared" si="0"/>
        <v>2.798</v>
      </c>
      <c r="BE23" s="143">
        <f t="shared" si="0"/>
        <v>2.8140000000000001</v>
      </c>
      <c r="BF23" s="143">
        <f t="shared" si="0"/>
        <v>2.8290000000000002</v>
      </c>
      <c r="BG23" s="143">
        <f t="shared" si="0"/>
        <v>2.8450000000000002</v>
      </c>
      <c r="BH23" s="143">
        <f t="shared" si="0"/>
        <v>2.8610000000000002</v>
      </c>
      <c r="BI23" s="155"/>
      <c r="BJ23" s="158">
        <f>AVERAGE(BA23:BH23)</f>
        <v>2.8066249999999999</v>
      </c>
    </row>
    <row r="24" spans="3:62" hidden="1" x14ac:dyDescent="0.2">
      <c r="AY24" s="153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9"/>
    </row>
    <row r="25" spans="3:62" hidden="1" x14ac:dyDescent="0.2">
      <c r="AY25" s="153"/>
      <c r="AZ25" s="155"/>
      <c r="BA25" s="155"/>
      <c r="BB25" s="155"/>
      <c r="BC25" s="155"/>
      <c r="BD25" s="155"/>
      <c r="BE25" s="155"/>
      <c r="BF25" s="155"/>
      <c r="BG25" s="155"/>
      <c r="BH25" s="155"/>
      <c r="BI25" s="160" t="s">
        <v>157</v>
      </c>
      <c r="BJ25" s="161">
        <f>(BJ23-BJ19)/BJ19</f>
        <v>2.5063915266617946E-2</v>
      </c>
    </row>
    <row r="26" spans="3:62" hidden="1" x14ac:dyDescent="0.2">
      <c r="AY26" s="162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4"/>
    </row>
    <row r="27" spans="3:62" hidden="1" x14ac:dyDescent="0.2"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</row>
    <row r="28" spans="3:62" x14ac:dyDescent="0.2"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</row>
    <row r="29" spans="3:62" x14ac:dyDescent="0.2">
      <c r="AY29" s="145" t="s">
        <v>158</v>
      </c>
      <c r="AZ29" s="146"/>
      <c r="BA29" s="146"/>
      <c r="BB29" s="147" t="s">
        <v>159</v>
      </c>
      <c r="BC29" s="148"/>
      <c r="BD29" s="148"/>
      <c r="BE29" s="148"/>
      <c r="BF29" s="148"/>
      <c r="BG29" s="148"/>
      <c r="BH29" s="146"/>
      <c r="BI29" s="146"/>
      <c r="BJ29" s="146"/>
    </row>
    <row r="30" spans="3:62" x14ac:dyDescent="0.2">
      <c r="AY30" s="149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1"/>
    </row>
    <row r="31" spans="3:62" x14ac:dyDescent="0.2">
      <c r="AY31" s="153"/>
      <c r="AZ31" s="154" t="s">
        <v>153</v>
      </c>
      <c r="BA31" s="155" t="s">
        <v>65</v>
      </c>
      <c r="BB31" s="155"/>
      <c r="BC31" s="155"/>
      <c r="BD31" s="155"/>
      <c r="BE31" s="155"/>
      <c r="BF31" s="155"/>
      <c r="BG31" s="155"/>
      <c r="BH31" s="155"/>
      <c r="BI31" s="155"/>
      <c r="BJ31" s="156"/>
    </row>
    <row r="32" spans="3:62" x14ac:dyDescent="0.2">
      <c r="AY32" s="153"/>
      <c r="AZ32" s="155"/>
      <c r="BA32" s="131" t="s">
        <v>118</v>
      </c>
      <c r="BB32" s="131" t="s">
        <v>119</v>
      </c>
      <c r="BC32" s="131" t="s">
        <v>120</v>
      </c>
      <c r="BD32" s="131" t="s">
        <v>121</v>
      </c>
      <c r="BE32" s="155"/>
      <c r="BF32" s="155"/>
      <c r="BG32" s="155"/>
      <c r="BH32" s="155"/>
      <c r="BI32" s="155"/>
      <c r="BJ32" s="157" t="s">
        <v>16</v>
      </c>
    </row>
    <row r="33" spans="51:62" x14ac:dyDescent="0.2">
      <c r="AY33" s="153"/>
      <c r="AZ33" s="155"/>
      <c r="BA33" s="143">
        <v>2.6219999999999999</v>
      </c>
      <c r="BB33" s="143">
        <v>2.6309999999999998</v>
      </c>
      <c r="BC33" s="143">
        <v>2.6309999999999998</v>
      </c>
      <c r="BD33" s="143">
        <v>2.649</v>
      </c>
      <c r="BE33" s="155"/>
      <c r="BF33" s="155"/>
      <c r="BG33" s="155"/>
      <c r="BH33" s="155"/>
      <c r="BI33" s="155"/>
      <c r="BJ33" s="158">
        <f>AVERAGE(BA33:BD33)</f>
        <v>2.6332500000000003</v>
      </c>
    </row>
    <row r="34" spans="51:62" x14ac:dyDescent="0.2">
      <c r="AY34" s="153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9"/>
    </row>
    <row r="35" spans="51:62" x14ac:dyDescent="0.2">
      <c r="AY35" s="153"/>
      <c r="AZ35" s="154" t="s">
        <v>155</v>
      </c>
      <c r="BA35" s="155" t="s">
        <v>160</v>
      </c>
      <c r="BB35" s="155"/>
      <c r="BC35" s="155"/>
      <c r="BD35" s="155"/>
      <c r="BE35" s="155"/>
      <c r="BF35" s="155"/>
      <c r="BG35" s="155"/>
      <c r="BH35" s="155"/>
      <c r="BI35" s="155"/>
      <c r="BJ35" s="159"/>
    </row>
    <row r="36" spans="51:62" x14ac:dyDescent="0.2">
      <c r="AY36" s="153"/>
      <c r="AZ36" s="155"/>
      <c r="BA36" s="165" t="s">
        <v>126</v>
      </c>
      <c r="BB36" s="165" t="s">
        <v>127</v>
      </c>
      <c r="BC36" s="165" t="s">
        <v>128</v>
      </c>
      <c r="BD36" s="165" t="s">
        <v>129</v>
      </c>
      <c r="BE36" s="165" t="s">
        <v>130</v>
      </c>
      <c r="BF36" s="165" t="s">
        <v>131</v>
      </c>
      <c r="BG36" s="165" t="s">
        <v>132</v>
      </c>
      <c r="BH36" s="165" t="s">
        <v>133</v>
      </c>
      <c r="BI36" s="155"/>
      <c r="BJ36" s="159"/>
    </row>
    <row r="37" spans="51:62" x14ac:dyDescent="0.2">
      <c r="AY37" s="153"/>
      <c r="AZ37" s="155"/>
      <c r="BA37" s="166">
        <f>BE9</f>
        <v>2.7250000000000001</v>
      </c>
      <c r="BB37" s="166">
        <f t="shared" ref="BB37:BH37" si="1">BF9</f>
        <v>2.738</v>
      </c>
      <c r="BC37" s="166">
        <f t="shared" si="1"/>
        <v>2.7530000000000001</v>
      </c>
      <c r="BD37" s="166">
        <f t="shared" si="1"/>
        <v>2.7690000000000001</v>
      </c>
      <c r="BE37" s="166">
        <f t="shared" si="1"/>
        <v>2.7839999999999998</v>
      </c>
      <c r="BF37" s="166">
        <f t="shared" si="1"/>
        <v>2.798</v>
      </c>
      <c r="BG37" s="166">
        <f t="shared" si="1"/>
        <v>2.8140000000000001</v>
      </c>
      <c r="BH37" s="166">
        <f t="shared" si="1"/>
        <v>2.8290000000000002</v>
      </c>
      <c r="BI37" s="155"/>
      <c r="BJ37" s="158">
        <f>AVERAGE(BA37:BH37)</f>
        <v>2.7762500000000001</v>
      </c>
    </row>
    <row r="38" spans="51:62" x14ac:dyDescent="0.2">
      <c r="AY38" s="153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9"/>
    </row>
    <row r="39" spans="51:62" x14ac:dyDescent="0.2">
      <c r="AY39" s="153"/>
      <c r="AZ39" s="155"/>
      <c r="BA39" s="155"/>
      <c r="BB39" s="155"/>
      <c r="BC39" s="155"/>
      <c r="BD39" s="155"/>
      <c r="BE39" s="155"/>
      <c r="BF39" s="155"/>
      <c r="BG39" s="155"/>
      <c r="BH39" s="155"/>
      <c r="BI39" s="160" t="s">
        <v>157</v>
      </c>
      <c r="BJ39" s="161">
        <f>(BJ37-BJ33)/BJ33</f>
        <v>5.4305515997341604E-2</v>
      </c>
    </row>
    <row r="40" spans="51:62" x14ac:dyDescent="0.2">
      <c r="AY40" s="162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4"/>
    </row>
    <row r="43" spans="51:62" x14ac:dyDescent="0.2">
      <c r="AY43" s="192" t="s">
        <v>174</v>
      </c>
    </row>
    <row r="44" spans="51:62" x14ac:dyDescent="0.2">
      <c r="AY44" s="149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1"/>
    </row>
    <row r="45" spans="51:62" x14ac:dyDescent="0.2">
      <c r="AY45" s="153"/>
      <c r="AZ45" s="154" t="s">
        <v>153</v>
      </c>
      <c r="BA45" s="155" t="s">
        <v>177</v>
      </c>
      <c r="BB45" s="155"/>
      <c r="BC45" s="155"/>
      <c r="BD45" s="155"/>
      <c r="BE45" s="155"/>
      <c r="BF45" s="155"/>
      <c r="BG45" s="155"/>
      <c r="BH45" s="155"/>
      <c r="BI45" s="155"/>
      <c r="BJ45" s="156"/>
    </row>
    <row r="46" spans="51:62" x14ac:dyDescent="0.2">
      <c r="AY46" s="153"/>
      <c r="AZ46" s="155"/>
      <c r="BA46" s="142" t="str">
        <f>AG7</f>
        <v>2011Q3</v>
      </c>
      <c r="BB46" s="142" t="str">
        <f t="shared" ref="BB46:BD46" si="2">AH7</f>
        <v>2011Q4</v>
      </c>
      <c r="BC46" s="142" t="str">
        <f t="shared" si="2"/>
        <v>2012Q1</v>
      </c>
      <c r="BD46" s="142" t="str">
        <f t="shared" si="2"/>
        <v>2012Q2</v>
      </c>
      <c r="BE46" s="155"/>
      <c r="BF46" s="155"/>
      <c r="BG46" s="155"/>
      <c r="BH46" s="155"/>
      <c r="BI46" s="155"/>
      <c r="BJ46" s="157" t="s">
        <v>16</v>
      </c>
    </row>
    <row r="47" spans="51:62" x14ac:dyDescent="0.2">
      <c r="AY47" s="153"/>
      <c r="AZ47" s="155"/>
      <c r="BA47" s="143">
        <f>AG9</f>
        <v>2.4889999999999999</v>
      </c>
      <c r="BB47" s="143">
        <f t="shared" ref="BB47:BD47" si="3">AH9</f>
        <v>2.4969999999999999</v>
      </c>
      <c r="BC47" s="143">
        <f t="shared" si="3"/>
        <v>2.5179999999999998</v>
      </c>
      <c r="BD47" s="143">
        <f t="shared" si="3"/>
        <v>2.5219999999999998</v>
      </c>
      <c r="BE47" s="155"/>
      <c r="BF47" s="155"/>
      <c r="BG47" s="155"/>
      <c r="BH47" s="155"/>
      <c r="BI47" s="155"/>
      <c r="BJ47" s="158">
        <f>AVERAGE(BA47:BD47)</f>
        <v>2.5065</v>
      </c>
    </row>
    <row r="48" spans="51:62" x14ac:dyDescent="0.2">
      <c r="AY48" s="153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9"/>
    </row>
    <row r="49" spans="51:62" x14ac:dyDescent="0.2">
      <c r="AY49" s="153"/>
      <c r="AZ49" s="154" t="s">
        <v>155</v>
      </c>
      <c r="BA49" s="155" t="s">
        <v>178</v>
      </c>
      <c r="BB49" s="155"/>
      <c r="BC49" s="155"/>
      <c r="BD49" s="155"/>
      <c r="BE49" s="155"/>
      <c r="BF49" s="155"/>
      <c r="BG49" s="155"/>
      <c r="BH49" s="155"/>
      <c r="BI49" s="155"/>
      <c r="BJ49" s="159"/>
    </row>
    <row r="50" spans="51:62" x14ac:dyDescent="0.2">
      <c r="AY50" s="153"/>
      <c r="AZ50" s="155"/>
      <c r="BA50" s="191" t="str">
        <f>AO7</f>
        <v>2013Q3</v>
      </c>
      <c r="BB50" s="191" t="str">
        <f t="shared" ref="BB50:BH50" si="4">AP7</f>
        <v>2013Q4</v>
      </c>
      <c r="BC50" s="191" t="str">
        <f t="shared" si="4"/>
        <v>2014Q1</v>
      </c>
      <c r="BD50" s="191" t="str">
        <f t="shared" si="4"/>
        <v>2014Q2</v>
      </c>
      <c r="BE50" s="191" t="str">
        <f t="shared" si="4"/>
        <v>2014Q3</v>
      </c>
      <c r="BF50" s="191" t="str">
        <f t="shared" si="4"/>
        <v>2014Q4</v>
      </c>
      <c r="BG50" s="191" t="str">
        <f t="shared" si="4"/>
        <v>2015Q1</v>
      </c>
      <c r="BH50" s="191" t="str">
        <f t="shared" si="4"/>
        <v>2015Q2</v>
      </c>
      <c r="BI50" s="155"/>
      <c r="BJ50" s="159"/>
    </row>
    <row r="51" spans="51:62" x14ac:dyDescent="0.2">
      <c r="AY51" s="153"/>
      <c r="AZ51" s="155"/>
      <c r="BA51" s="166">
        <f>AO9</f>
        <v>2.573</v>
      </c>
      <c r="BB51" s="166">
        <f t="shared" ref="BB51:BH51" si="5">AP9</f>
        <v>2.5880000000000001</v>
      </c>
      <c r="BC51" s="166">
        <f t="shared" si="5"/>
        <v>2.6</v>
      </c>
      <c r="BD51" s="166">
        <f t="shared" si="5"/>
        <v>2.609</v>
      </c>
      <c r="BE51" s="166">
        <f t="shared" si="5"/>
        <v>2.6139999999999999</v>
      </c>
      <c r="BF51" s="166">
        <f t="shared" si="5"/>
        <v>2.617</v>
      </c>
      <c r="BG51" s="166">
        <f t="shared" si="5"/>
        <v>2.617</v>
      </c>
      <c r="BH51" s="166">
        <f t="shared" si="5"/>
        <v>2.6259999999999999</v>
      </c>
      <c r="BI51" s="155"/>
      <c r="BJ51" s="158">
        <f>AVERAGE(BA51:BH51)</f>
        <v>2.6055000000000001</v>
      </c>
    </row>
    <row r="52" spans="51:62" x14ac:dyDescent="0.2">
      <c r="AY52" s="153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9"/>
    </row>
    <row r="53" spans="51:62" x14ac:dyDescent="0.2">
      <c r="AY53" s="153"/>
      <c r="AZ53" s="155"/>
      <c r="BA53" s="155"/>
      <c r="BB53" s="155"/>
      <c r="BC53" s="155"/>
      <c r="BD53" s="155"/>
      <c r="BE53" s="155"/>
      <c r="BF53" s="155"/>
      <c r="BG53" s="155"/>
      <c r="BH53" s="155"/>
      <c r="BI53" s="160" t="s">
        <v>157</v>
      </c>
      <c r="BJ53" s="161">
        <f>(BJ51-BJ47)/BJ47</f>
        <v>3.9497307001795413E-2</v>
      </c>
    </row>
    <row r="54" spans="51:62" x14ac:dyDescent="0.2">
      <c r="AY54" s="162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4"/>
    </row>
  </sheetData>
  <mergeCells count="3">
    <mergeCell ref="A1:B1"/>
    <mergeCell ref="A2:B2"/>
    <mergeCell ref="A3:B3"/>
  </mergeCells>
  <pageMargins left="0.25" right="0.2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35"/>
  <sheetViews>
    <sheetView showGridLines="0" showRowColHeaders="0" workbookViewId="0">
      <selection activeCell="M24" sqref="M24"/>
    </sheetView>
  </sheetViews>
  <sheetFormatPr defaultRowHeight="15" x14ac:dyDescent="0.25"/>
  <cols>
    <col min="1" max="1" width="1.140625" customWidth="1"/>
    <col min="2" max="2" width="26.7109375" customWidth="1"/>
    <col min="4" max="4" width="8.42578125" bestFit="1" customWidth="1"/>
    <col min="9" max="9" width="10" bestFit="1" customWidth="1"/>
    <col min="14" max="14" width="14.85546875" customWidth="1"/>
    <col min="15" max="15" width="14.7109375" style="170" customWidth="1"/>
  </cols>
  <sheetData>
    <row r="3" spans="2:14" thickBot="1" x14ac:dyDescent="0.35"/>
    <row r="4" spans="2:14" ht="14.45" customHeight="1" x14ac:dyDescent="0.25">
      <c r="B4" s="363" t="s">
        <v>196</v>
      </c>
      <c r="C4" s="363" t="s">
        <v>17</v>
      </c>
      <c r="D4" s="232">
        <v>0.22500000000000001</v>
      </c>
      <c r="E4" s="232">
        <v>0.12</v>
      </c>
      <c r="F4" s="233">
        <f>'Master Lookup'!C17</f>
        <v>2.3531493276716206E-2</v>
      </c>
      <c r="G4" s="265">
        <v>6.3E-3</v>
      </c>
      <c r="H4" s="234">
        <v>2080</v>
      </c>
      <c r="I4" s="234" t="s">
        <v>236</v>
      </c>
      <c r="J4" s="366" t="s">
        <v>197</v>
      </c>
      <c r="K4" s="367"/>
      <c r="L4" s="367"/>
      <c r="M4" s="367"/>
      <c r="N4" s="368"/>
    </row>
    <row r="5" spans="2:14" ht="15.75" thickBot="1" x14ac:dyDescent="0.3">
      <c r="B5" s="365"/>
      <c r="C5" s="364"/>
      <c r="D5" s="295" t="s">
        <v>198</v>
      </c>
      <c r="E5" s="295" t="s">
        <v>199</v>
      </c>
      <c r="F5" s="294" t="s">
        <v>164</v>
      </c>
      <c r="G5" s="266" t="s">
        <v>212</v>
      </c>
      <c r="H5" s="237" t="s">
        <v>200</v>
      </c>
      <c r="I5" s="248" t="s">
        <v>235</v>
      </c>
      <c r="J5" s="369"/>
      <c r="K5" s="370"/>
      <c r="L5" s="370"/>
      <c r="M5" s="370"/>
      <c r="N5" s="371"/>
    </row>
    <row r="6" spans="2:14" thickBot="1" x14ac:dyDescent="0.35">
      <c r="B6" s="244" t="s">
        <v>201</v>
      </c>
      <c r="C6" s="245">
        <f>36114*(7.68%+1)</f>
        <v>38887.555200000003</v>
      </c>
      <c r="D6" s="245">
        <f>C6*$D$4</f>
        <v>8749.6999200000009</v>
      </c>
      <c r="E6" s="245">
        <f>(C6+D6)*$E$4</f>
        <v>5716.4706144000002</v>
      </c>
      <c r="F6" s="306">
        <f>SUM(C6+D6+E6)*($F$4+1)</f>
        <v>54609.218572806793</v>
      </c>
      <c r="G6" s="303">
        <f>C6*($F$4+1)*$G$4</f>
        <v>250.75661589554139</v>
      </c>
      <c r="H6" s="309">
        <f t="shared" ref="H6" si="0">(F6+G6)/2080</f>
        <v>26.374988071491504</v>
      </c>
      <c r="I6" s="303">
        <f>(F6+G6)/12</f>
        <v>4571.6645990585275</v>
      </c>
      <c r="J6" s="296" t="s">
        <v>203</v>
      </c>
      <c r="K6" s="246"/>
      <c r="L6" s="246"/>
      <c r="M6" s="246"/>
      <c r="N6" s="247"/>
    </row>
    <row r="7" spans="2:14" thickBot="1" x14ac:dyDescent="0.35"/>
    <row r="8" spans="2:14" x14ac:dyDescent="0.25">
      <c r="B8" s="363" t="s">
        <v>196</v>
      </c>
      <c r="C8" s="363" t="s">
        <v>17</v>
      </c>
      <c r="D8" s="232">
        <v>0.22500000000000001</v>
      </c>
      <c r="E8" s="232">
        <v>0.12</v>
      </c>
      <c r="F8" s="233">
        <f>'Master Lookup'!C17</f>
        <v>2.3531493276716206E-2</v>
      </c>
      <c r="G8" s="265">
        <f>G4</f>
        <v>6.3E-3</v>
      </c>
      <c r="H8" s="234">
        <v>2080</v>
      </c>
      <c r="I8" s="301" t="s">
        <v>236</v>
      </c>
      <c r="J8" s="366" t="s">
        <v>197</v>
      </c>
      <c r="K8" s="367"/>
      <c r="L8" s="367"/>
      <c r="M8" s="367"/>
      <c r="N8" s="368"/>
    </row>
    <row r="9" spans="2:14" ht="15.75" thickBot="1" x14ac:dyDescent="0.3">
      <c r="B9" s="365"/>
      <c r="C9" s="365"/>
      <c r="D9" s="235" t="s">
        <v>198</v>
      </c>
      <c r="E9" s="235" t="s">
        <v>199</v>
      </c>
      <c r="F9" s="236" t="s">
        <v>164</v>
      </c>
      <c r="G9" s="266" t="str">
        <f>G5</f>
        <v>PFMLA</v>
      </c>
      <c r="H9" s="237" t="s">
        <v>200</v>
      </c>
      <c r="I9" s="302" t="s">
        <v>235</v>
      </c>
      <c r="J9" s="372"/>
      <c r="K9" s="373"/>
      <c r="L9" s="373"/>
      <c r="M9" s="373"/>
      <c r="N9" s="374"/>
    </row>
    <row r="10" spans="2:14" thickBot="1" x14ac:dyDescent="0.35">
      <c r="B10" s="238" t="s">
        <v>230</v>
      </c>
      <c r="C10" s="297">
        <v>48715</v>
      </c>
      <c r="D10" s="297">
        <f t="shared" ref="D10" si="1">C10*$D$4</f>
        <v>10960.875</v>
      </c>
      <c r="E10" s="297">
        <f>(C10+D10)*$E$4</f>
        <v>7161.1049999999996</v>
      </c>
      <c r="F10" s="307">
        <f>SUM(C10+D10+E10)*($F$4+1)</f>
        <v>68409.753945506003</v>
      </c>
      <c r="G10" s="308">
        <f>C10*($F$8+1)*$G$8</f>
        <v>314.12642117834389</v>
      </c>
      <c r="H10" s="310">
        <f t="shared" ref="H10" si="2">(F10+G10)/2080</f>
        <v>33.040327099367474</v>
      </c>
      <c r="I10" s="304">
        <f>(F10+G10)/12</f>
        <v>5726.9900305570291</v>
      </c>
      <c r="J10" s="298" t="s">
        <v>237</v>
      </c>
      <c r="K10" s="299"/>
      <c r="L10" s="299"/>
      <c r="M10" s="299"/>
      <c r="N10" s="300"/>
    </row>
    <row r="11" spans="2:14" thickBot="1" x14ac:dyDescent="0.35"/>
    <row r="12" spans="2:14" ht="14.45" customHeight="1" x14ac:dyDescent="0.25">
      <c r="B12" s="363" t="s">
        <v>196</v>
      </c>
      <c r="C12" s="363" t="s">
        <v>17</v>
      </c>
      <c r="D12" s="232">
        <v>0.22500000000000001</v>
      </c>
      <c r="E12" s="232">
        <v>0.12</v>
      </c>
      <c r="F12" s="233">
        <f>'Master Lookup'!C17</f>
        <v>2.3531493276716206E-2</v>
      </c>
      <c r="G12" s="263">
        <f>G8</f>
        <v>6.3E-3</v>
      </c>
      <c r="H12" s="234">
        <v>2080</v>
      </c>
      <c r="I12" s="301" t="s">
        <v>236</v>
      </c>
      <c r="J12" s="366" t="s">
        <v>197</v>
      </c>
      <c r="K12" s="367"/>
      <c r="L12" s="367"/>
      <c r="M12" s="367"/>
      <c r="N12" s="368"/>
    </row>
    <row r="13" spans="2:14" ht="15.75" thickBot="1" x14ac:dyDescent="0.3">
      <c r="B13" s="365"/>
      <c r="C13" s="365"/>
      <c r="D13" s="235" t="s">
        <v>198</v>
      </c>
      <c r="E13" s="235" t="s">
        <v>199</v>
      </c>
      <c r="F13" s="236" t="s">
        <v>164</v>
      </c>
      <c r="G13" s="264" t="str">
        <f>G9</f>
        <v>PFMLA</v>
      </c>
      <c r="H13" s="237" t="s">
        <v>200</v>
      </c>
      <c r="I13" s="302" t="s">
        <v>235</v>
      </c>
      <c r="J13" s="372"/>
      <c r="K13" s="373"/>
      <c r="L13" s="373"/>
      <c r="M13" s="373"/>
      <c r="N13" s="374"/>
    </row>
    <row r="14" spans="2:14" thickBot="1" x14ac:dyDescent="0.35">
      <c r="B14" s="238" t="s">
        <v>231</v>
      </c>
      <c r="C14" s="239">
        <f>32899*(2.39%+1)</f>
        <v>33685.286099999998</v>
      </c>
      <c r="D14" s="239">
        <f>C14*$D$4</f>
        <v>7579.1893725</v>
      </c>
      <c r="E14" s="239">
        <f>(C14+D14)*$E$4</f>
        <v>4951.7370566999989</v>
      </c>
      <c r="F14" s="262">
        <f>SUM(C14+D14+E14)*($F$4+1)</f>
        <v>47303.749023606142</v>
      </c>
      <c r="G14" s="303">
        <f>C14*($F$12+1)*$G$12</f>
        <v>217.21109245533438</v>
      </c>
      <c r="H14" s="309">
        <f t="shared" ref="H14" si="3">(F14+G14)/2080</f>
        <v>22.846615440414173</v>
      </c>
      <c r="I14" s="303">
        <f>(F14+G14)/12</f>
        <v>3960.0800096717899</v>
      </c>
      <c r="J14" s="249" t="s">
        <v>202</v>
      </c>
      <c r="K14" s="242"/>
      <c r="L14" s="242"/>
      <c r="M14" s="242"/>
      <c r="N14" s="243"/>
    </row>
    <row r="15" spans="2:14" thickBot="1" x14ac:dyDescent="0.35"/>
    <row r="16" spans="2:14" x14ac:dyDescent="0.25">
      <c r="B16" s="363" t="s">
        <v>196</v>
      </c>
      <c r="C16" s="363" t="s">
        <v>17</v>
      </c>
      <c r="D16" s="232">
        <v>0.22500000000000001</v>
      </c>
      <c r="E16" s="232">
        <v>0.12</v>
      </c>
      <c r="F16" s="232">
        <f>'Master Lookup'!C17</f>
        <v>2.3531493276716206E-2</v>
      </c>
      <c r="G16" s="265">
        <f>G12</f>
        <v>6.3E-3</v>
      </c>
      <c r="H16" s="234">
        <v>2080</v>
      </c>
      <c r="I16" s="301" t="s">
        <v>236</v>
      </c>
      <c r="J16" s="366" t="s">
        <v>197</v>
      </c>
      <c r="K16" s="367"/>
      <c r="L16" s="367"/>
      <c r="M16" s="367"/>
      <c r="N16" s="368"/>
    </row>
    <row r="17" spans="2:14" ht="15.75" thickBot="1" x14ac:dyDescent="0.3">
      <c r="B17" s="364"/>
      <c r="C17" s="365"/>
      <c r="D17" s="276" t="s">
        <v>198</v>
      </c>
      <c r="E17" s="276" t="s">
        <v>199</v>
      </c>
      <c r="F17" s="276" t="s">
        <v>164</v>
      </c>
      <c r="G17" s="266" t="str">
        <f>G13</f>
        <v>PFMLA</v>
      </c>
      <c r="H17" s="248" t="s">
        <v>200</v>
      </c>
      <c r="I17" s="302" t="s">
        <v>235</v>
      </c>
      <c r="J17" s="369"/>
      <c r="K17" s="370"/>
      <c r="L17" s="370"/>
      <c r="M17" s="370"/>
      <c r="N17" s="371"/>
    </row>
    <row r="18" spans="2:14" thickBot="1" x14ac:dyDescent="0.35">
      <c r="B18" s="238" t="s">
        <v>20</v>
      </c>
      <c r="C18" s="239">
        <f>'Master Lookup'!C10</f>
        <v>30485</v>
      </c>
      <c r="D18" s="239">
        <f>C18*$D$4</f>
        <v>6859.125</v>
      </c>
      <c r="E18" s="239">
        <f>(C18+D18)*$E$4</f>
        <v>4481.2950000000001</v>
      </c>
      <c r="F18" s="262">
        <f>SUM(C18+D18+E18)*($F$4+1)</f>
        <v>42809.634589525827</v>
      </c>
      <c r="G18" s="303">
        <f>C18*($F$16+1)*$G$16</f>
        <v>196.57485270700636</v>
      </c>
      <c r="H18" s="311">
        <f t="shared" ref="H18" si="4">(F18+G18)/2080</f>
        <v>20.67606223184271</v>
      </c>
      <c r="I18" s="305">
        <f>(F18+G18)/12</f>
        <v>3583.8507868527363</v>
      </c>
      <c r="J18" s="240" t="s">
        <v>232</v>
      </c>
      <c r="K18" s="241"/>
      <c r="L18" s="242"/>
      <c r="M18" s="242"/>
      <c r="N18" s="243"/>
    </row>
    <row r="19" spans="2:14" ht="15" customHeight="1" thickBot="1" x14ac:dyDescent="0.35"/>
    <row r="20" spans="2:14" x14ac:dyDescent="0.25">
      <c r="B20" s="363" t="s">
        <v>196</v>
      </c>
      <c r="C20" s="363" t="s">
        <v>17</v>
      </c>
      <c r="D20" s="232">
        <v>0.22500000000000001</v>
      </c>
      <c r="E20" s="232">
        <v>0.12</v>
      </c>
      <c r="F20" s="232">
        <f>'Master Lookup'!C17</f>
        <v>2.3531493276716206E-2</v>
      </c>
      <c r="G20" s="265">
        <f>G12</f>
        <v>6.3E-3</v>
      </c>
      <c r="H20" s="234">
        <v>2080</v>
      </c>
      <c r="I20" s="301" t="s">
        <v>236</v>
      </c>
      <c r="J20" s="366" t="s">
        <v>197</v>
      </c>
      <c r="K20" s="367"/>
      <c r="L20" s="367"/>
      <c r="M20" s="367"/>
      <c r="N20" s="368"/>
    </row>
    <row r="21" spans="2:14" ht="19.899999999999999" customHeight="1" thickBot="1" x14ac:dyDescent="0.3">
      <c r="B21" s="364"/>
      <c r="C21" s="365"/>
      <c r="D21" s="276" t="s">
        <v>198</v>
      </c>
      <c r="E21" s="276" t="s">
        <v>199</v>
      </c>
      <c r="F21" s="276" t="s">
        <v>164</v>
      </c>
      <c r="G21" s="266" t="str">
        <f>G13</f>
        <v>PFMLA</v>
      </c>
      <c r="H21" s="248" t="s">
        <v>200</v>
      </c>
      <c r="I21" s="302" t="s">
        <v>235</v>
      </c>
      <c r="J21" s="369"/>
      <c r="K21" s="370"/>
      <c r="L21" s="370"/>
      <c r="M21" s="370"/>
      <c r="N21" s="371"/>
    </row>
    <row r="22" spans="2:14" ht="19.899999999999999" customHeight="1" thickBot="1" x14ac:dyDescent="0.35">
      <c r="B22" s="238" t="s">
        <v>233</v>
      </c>
      <c r="C22" s="239">
        <f>'Master Lookup'!C14</f>
        <v>30485</v>
      </c>
      <c r="D22" s="239">
        <f>C22*$D$4</f>
        <v>6859.125</v>
      </c>
      <c r="E22" s="239">
        <f t="shared" ref="E22" si="5">(C22+D22)*$E$4</f>
        <v>4481.2950000000001</v>
      </c>
      <c r="F22" s="262">
        <f t="shared" ref="F22" si="6">SUM(C22+D22+E22)*($F$4+1)</f>
        <v>42809.634589525827</v>
      </c>
      <c r="G22" s="303">
        <f>C22*($F$20+1)*$G$20</f>
        <v>196.57485270700636</v>
      </c>
      <c r="H22" s="311">
        <f t="shared" ref="H22" si="7">(F22+G22)/2080</f>
        <v>20.67606223184271</v>
      </c>
      <c r="I22" s="305">
        <f>(F22+G22)/12</f>
        <v>3583.8507868527363</v>
      </c>
      <c r="J22" s="240" t="s">
        <v>234</v>
      </c>
      <c r="K22" s="242"/>
      <c r="L22" s="242"/>
      <c r="M22" s="242"/>
      <c r="N22" s="243"/>
    </row>
    <row r="23" spans="2:14" ht="21" customHeight="1" x14ac:dyDescent="0.3"/>
    <row r="25" spans="2:14" ht="14.45" customHeight="1" x14ac:dyDescent="0.3"/>
    <row r="31" spans="2:14" ht="18" customHeight="1" x14ac:dyDescent="0.25"/>
    <row r="33" ht="23.45" customHeight="1" x14ac:dyDescent="0.25"/>
    <row r="34" ht="23.45" customHeight="1" x14ac:dyDescent="0.25"/>
    <row r="35" ht="23.45" customHeight="1" x14ac:dyDescent="0.25"/>
  </sheetData>
  <mergeCells count="15">
    <mergeCell ref="B4:B5"/>
    <mergeCell ref="C4:C5"/>
    <mergeCell ref="J4:N5"/>
    <mergeCell ref="B8:B9"/>
    <mergeCell ref="C8:C9"/>
    <mergeCell ref="J8:N9"/>
    <mergeCell ref="B20:B21"/>
    <mergeCell ref="C20:C21"/>
    <mergeCell ref="J20:N21"/>
    <mergeCell ref="B12:B13"/>
    <mergeCell ref="C12:C13"/>
    <mergeCell ref="J12:N13"/>
    <mergeCell ref="B16:B17"/>
    <mergeCell ref="C16:C17"/>
    <mergeCell ref="J16:N17"/>
  </mergeCells>
  <pageMargins left="0.7" right="0.7" top="0.75" bottom="0.75" header="0.3" footer="0.3"/>
  <pageSetup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CAF Fall 2018</vt:lpstr>
      <vt:lpstr>Master Lookup</vt:lpstr>
      <vt:lpstr>Rate Review FY20 TEA Models</vt:lpstr>
      <vt:lpstr>Source Data</vt:lpstr>
      <vt:lpstr>CAF Fall 2016</vt:lpstr>
      <vt:lpstr>Engagemnt staffing</vt:lpstr>
      <vt:lpstr>'CAF Fall 2018'!Print_Area</vt:lpstr>
      <vt:lpstr>'Engagemnt staffing'!Print_Area</vt:lpstr>
      <vt:lpstr>'Master Lookup'!Print_Area</vt:lpstr>
      <vt:lpstr>'Rate Review FY20 TEA Models'!Print_Area</vt:lpstr>
      <vt:lpstr>'Source Data'!Print_Area</vt:lpstr>
      <vt:lpstr>'CAF Fall 2016'!Print_Titles</vt:lpstr>
      <vt:lpstr>'CAF Fall 2018'!Print_Titles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2019-03-20T12:44:10Z</cp:lastPrinted>
  <dcterms:created xsi:type="dcterms:W3CDTF">2017-01-04T18:43:46Z</dcterms:created>
  <dcterms:modified xsi:type="dcterms:W3CDTF">2019-03-21T16:47:51Z</dcterms:modified>
</cp:coreProperties>
</file>