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tac-gfs/Shared Documents/DTC Docket/23-3/"/>
    </mc:Choice>
  </mc:AlternateContent>
  <xr:revisionPtr revIDLastSave="0" documentId="8_{6D818449-F57A-43A2-A078-35D99751D5FF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FY23-27 Budgets" sheetId="2" r:id="rId1"/>
  </sheets>
  <definedNames>
    <definedName name="_xlnm.Print_Area" localSheetId="0">'FY23-27 Budgets'!$B$1:$G$63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E35" i="2"/>
  <c r="F34" i="2"/>
  <c r="E34" i="2"/>
  <c r="F33" i="2"/>
  <c r="E33" i="2"/>
  <c r="F32" i="2"/>
  <c r="E32" i="2"/>
  <c r="F31" i="2"/>
  <c r="E31" i="2"/>
  <c r="G29" i="2"/>
  <c r="F29" i="2"/>
  <c r="E29" i="2"/>
  <c r="E27" i="2"/>
  <c r="F25" i="2" l="1"/>
  <c r="E25" i="2"/>
  <c r="F27" i="2" l="1"/>
  <c r="D58" i="2" l="1"/>
  <c r="E58" i="2" s="1"/>
  <c r="F58" i="2" s="1"/>
  <c r="G58" i="2" s="1"/>
  <c r="D57" i="2"/>
  <c r="E57" i="2" s="1"/>
  <c r="F57" i="2" s="1"/>
  <c r="G57" i="2" s="1"/>
  <c r="D56" i="2"/>
  <c r="E56" i="2" s="1"/>
  <c r="F56" i="2" s="1"/>
  <c r="G56" i="2" s="1"/>
  <c r="D47" i="2"/>
  <c r="E47" i="2" s="1"/>
  <c r="F47" i="2" s="1"/>
  <c r="G47" i="2" s="1"/>
  <c r="D46" i="2"/>
  <c r="E46" i="2" s="1"/>
  <c r="F46" i="2" s="1"/>
  <c r="G46" i="2" s="1"/>
  <c r="D44" i="2" l="1"/>
  <c r="E44" i="2" s="1"/>
  <c r="F44" i="2" s="1"/>
  <c r="G44" i="2" s="1"/>
  <c r="E39" i="2"/>
  <c r="F39" i="2"/>
  <c r="D39" i="2"/>
  <c r="D54" i="2" l="1"/>
  <c r="E54" i="2" s="1"/>
  <c r="F54" i="2" s="1"/>
  <c r="G54" i="2" s="1"/>
  <c r="D49" i="2"/>
  <c r="E49" i="2" s="1"/>
  <c r="G49" i="2" s="1"/>
  <c r="D22" i="2"/>
  <c r="F48" i="2" l="1"/>
  <c r="F49" i="2"/>
  <c r="D18" i="2"/>
  <c r="D15" i="2"/>
  <c r="D14" i="2"/>
  <c r="D13" i="2"/>
  <c r="D12" i="2"/>
  <c r="E12" i="2" s="1"/>
  <c r="F12" i="2" s="1"/>
  <c r="G12" i="2" s="1"/>
  <c r="F5" i="2"/>
  <c r="G34" i="2" l="1"/>
  <c r="G32" i="2"/>
  <c r="G31" i="2"/>
  <c r="G33" i="2"/>
  <c r="G35" i="2"/>
  <c r="G25" i="2"/>
  <c r="G27" i="2"/>
  <c r="G5" i="2"/>
  <c r="G48" i="2"/>
  <c r="C59" i="2"/>
  <c r="G39" i="2" l="1"/>
  <c r="F15" i="2"/>
  <c r="C39" i="2" l="1"/>
  <c r="C4" i="2" l="1"/>
  <c r="C7" i="2" s="1"/>
  <c r="C43" i="2"/>
  <c r="C52" i="2" s="1"/>
  <c r="G15" i="2" l="1"/>
  <c r="D50" i="2" l="1"/>
  <c r="E15" i="2"/>
  <c r="D21" i="2"/>
  <c r="D20" i="2"/>
  <c r="D17" i="2"/>
  <c r="D19" i="2"/>
  <c r="F14" i="2"/>
  <c r="G59" i="2" l="1"/>
  <c r="E50" i="2"/>
  <c r="G50" i="2" s="1"/>
  <c r="F50" i="2"/>
  <c r="E21" i="2"/>
  <c r="G21" i="2" s="1"/>
  <c r="F21" i="2"/>
  <c r="E20" i="2"/>
  <c r="G20" i="2" s="1"/>
  <c r="F20" i="2"/>
  <c r="E19" i="2"/>
  <c r="G19" i="2" s="1"/>
  <c r="F19" i="2"/>
  <c r="E18" i="2"/>
  <c r="G18" i="2" s="1"/>
  <c r="F18" i="2"/>
  <c r="E17" i="2"/>
  <c r="G17" i="2" s="1"/>
  <c r="F17" i="2"/>
  <c r="E13" i="2"/>
  <c r="G13" i="2" s="1"/>
  <c r="F13" i="2"/>
  <c r="D42" i="2"/>
  <c r="D52" i="2" s="1"/>
  <c r="D59" i="2"/>
  <c r="D10" i="2"/>
  <c r="F10" i="2" s="1"/>
  <c r="E14" i="2"/>
  <c r="G14" i="2" s="1"/>
  <c r="D11" i="2"/>
  <c r="C11" i="2"/>
  <c r="C23" i="2" s="1"/>
  <c r="C61" i="2" s="1"/>
  <c r="E59" i="2" l="1"/>
  <c r="F11" i="2"/>
  <c r="G11" i="2"/>
  <c r="F59" i="2"/>
  <c r="F23" i="2"/>
  <c r="E42" i="2"/>
  <c r="E11" i="2"/>
  <c r="E10" i="2"/>
  <c r="D23" i="2"/>
  <c r="D61" i="2" s="1"/>
  <c r="C63" i="2"/>
  <c r="D4" i="2" s="1"/>
  <c r="F42" i="2" l="1"/>
  <c r="E52" i="2"/>
  <c r="E61" i="2" s="1"/>
  <c r="G10" i="2"/>
  <c r="G23" i="2" s="1"/>
  <c r="E23" i="2"/>
  <c r="D7" i="2"/>
  <c r="G42" i="2" l="1"/>
  <c r="G52" i="2" s="1"/>
  <c r="G61" i="2" s="1"/>
  <c r="F52" i="2"/>
  <c r="F61" i="2" s="1"/>
  <c r="D63" i="2"/>
  <c r="E4" i="2" s="1"/>
  <c r="E7" i="2" l="1"/>
  <c r="E63" i="2" s="1"/>
  <c r="F4" i="2" l="1"/>
  <c r="F7" i="2" s="1"/>
  <c r="F63" i="2" s="1"/>
  <c r="G4" i="2" s="1"/>
  <c r="G7" i="2" s="1"/>
  <c r="G63" i="2" s="1"/>
</calcChain>
</file>

<file path=xl/sharedStrings.xml><?xml version="1.0" encoding="utf-8"?>
<sst xmlns="http://schemas.openxmlformats.org/spreadsheetml/2006/main" count="74" uniqueCount="66">
  <si>
    <t>ESTIMATED FUND REVENUE</t>
  </si>
  <si>
    <t>FY2023</t>
  </si>
  <si>
    <t>FY2024</t>
  </si>
  <si>
    <t>FY2025</t>
  </si>
  <si>
    <t>FY2026</t>
  </si>
  <si>
    <t xml:space="preserve"> </t>
  </si>
  <si>
    <t>Beginning Balance</t>
  </si>
  <si>
    <t xml:space="preserve"> Revenue                                                                                                             </t>
  </si>
  <si>
    <t>Interest</t>
  </si>
  <si>
    <t>TOTAL FUND REVENUE</t>
  </si>
  <si>
    <t>EXPENSES</t>
  </si>
  <si>
    <t>TOTALS</t>
  </si>
  <si>
    <t>Administration</t>
  </si>
  <si>
    <t xml:space="preserve">Salary Costs </t>
  </si>
  <si>
    <t xml:space="preserve">Agency Expenses </t>
  </si>
  <si>
    <t>Employee Reimbursements</t>
  </si>
  <si>
    <t>Administrative Expenses(EE)</t>
  </si>
  <si>
    <t>Operational Supplies(FF)</t>
  </si>
  <si>
    <t>Utilities/Space Rental(GG)</t>
  </si>
  <si>
    <t>Consultant Services (HH)</t>
  </si>
  <si>
    <t>Operational Services(JJ)</t>
  </si>
  <si>
    <t>Equipment Purchases(KK)</t>
  </si>
  <si>
    <t>Lease, Maintenance, Repair Services(LL)</t>
  </si>
  <si>
    <t>Bldg. Maintenance, Repairs (NN)</t>
  </si>
  <si>
    <t>IT Services, Equipment(UU)</t>
  </si>
  <si>
    <t>TOTAL Administration</t>
  </si>
  <si>
    <t>Grant Programs</t>
  </si>
  <si>
    <t>Training Grant   ( Deficiency Payments)</t>
  </si>
  <si>
    <t>EMD  Grant  (Deficiency Payments)</t>
  </si>
  <si>
    <t>Support Grant  (Deficiency Payments - includes incentive)</t>
  </si>
  <si>
    <t>Development Grant</t>
  </si>
  <si>
    <t>Development Grant (Roll Over)</t>
  </si>
  <si>
    <t>TOTAL Grant Programs</t>
  </si>
  <si>
    <t>9-1-1 Administration &amp; Operation</t>
  </si>
  <si>
    <t>Map Data</t>
  </si>
  <si>
    <t>NG 911 - Non-Recurring</t>
  </si>
  <si>
    <t>NG 911 - Recurring</t>
  </si>
  <si>
    <t>Radio Infrastructure Project</t>
  </si>
  <si>
    <t xml:space="preserve">Wireless Center </t>
  </si>
  <si>
    <t xml:space="preserve">Interpretive Services  </t>
  </si>
  <si>
    <t>Mobile PSAP</t>
  </si>
  <si>
    <t>TOTAL 9-1-1 Administration &amp; Operation</t>
  </si>
  <si>
    <t>Programs</t>
  </si>
  <si>
    <t xml:space="preserve">Training Program </t>
  </si>
  <si>
    <t>Public Education</t>
  </si>
  <si>
    <t xml:space="preserve">Specialized Customer Premise Equipment </t>
  </si>
  <si>
    <t xml:space="preserve">TRS </t>
  </si>
  <si>
    <t>CapTEL</t>
  </si>
  <si>
    <t xml:space="preserve">TOTAL Programs                                                                                  </t>
  </si>
  <si>
    <t>TOTAL ESTIMATED EXPENSES</t>
  </si>
  <si>
    <t xml:space="preserve">ESTIMATED FUND BALANCES </t>
  </si>
  <si>
    <t>FY2027</t>
  </si>
  <si>
    <t xml:space="preserve"> STATE 911 DEPARTMENT BUDGET PROJECTIONS: FY2023 - FY2027</t>
  </si>
  <si>
    <t>Telecommunicator Emergency Response Task Force (TERT) Program</t>
  </si>
  <si>
    <t>Telecommunicator Emergency Response Task Force (TERT) Grant</t>
  </si>
  <si>
    <t>Capital Project (FY23 Consolettes, vehicle; FY24 Relocation of wireless and Training Centers; Fire alarming and Radio equipment 911 call center)</t>
  </si>
  <si>
    <t>911 Call Center (North Shore)</t>
  </si>
  <si>
    <t>911 Call Center (Western Ma)</t>
  </si>
  <si>
    <t>Training Grant  ( FY23 -24 - 3.75%; FY25 -4.0835%; FY 26 - FY27 - 4.56%)</t>
  </si>
  <si>
    <t xml:space="preserve">EMD Grant  (FY23- FY 24 1.4%; FY25 - 1.5045%; FY 26 - FY 27 - 1.68%) </t>
  </si>
  <si>
    <t>Support Grant  (FY23 - 22.75%; FY24 - 27.1%; FY 25 - 29.41254%; FY26 - FY27 - 32.844%)</t>
  </si>
  <si>
    <t>Incentive  Grant (2 Communities)   (FY23 - FY 24 0.5%; FY25 -0.548%; FY 26 - FY 27 - 0.612%)</t>
  </si>
  <si>
    <t>Incentive Grant (3-9 Communities)  (FY23 -24- 3%; FY25 - 3.25612% FY26 - FY27 - 3.636% )</t>
  </si>
  <si>
    <t>Incentive  Grant (10+ Communities)    (FY 23 - 24 - 1.5%; FY25 - 1.612%; FY26 - FY27 - 1.8% )</t>
  </si>
  <si>
    <t>Incentive Grant (RECC)    (FY23 - FY 24 - 12%; FY25 - 12.896%; FY26 - FY 27 -14.4% )</t>
  </si>
  <si>
    <t>Wireless State Police PSAP Grant  (FY23 - FY24 - 2%; FY 25 - 2.203%; FY 26 -  FY 27 2.46%)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</si>
</sst>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double">
        <color theme="3" tint="-0.249977111117893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theme="4" tint="-0.249977111117893"/>
      </left>
      <right style="double">
        <color theme="3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theme="4" tint="-0.249977111117893"/>
      </left>
      <right style="double">
        <color theme="3" tint="-0.249977111117893"/>
      </right>
      <top/>
      <bottom style="double">
        <color theme="4" tint="-0.249977111117893"/>
      </bottom>
      <diagonal/>
    </border>
    <border>
      <left style="double">
        <color theme="3" tint="-0.249977111117893"/>
      </left>
      <right style="double">
        <color theme="4" tint="-0.249977111117893"/>
      </right>
      <top/>
      <bottom style="double">
        <color theme="4" tint="-0.249977111117893"/>
      </bottom>
      <diagonal/>
    </border>
    <border>
      <left style="double">
        <color indexed="64"/>
      </left>
      <right style="double">
        <color theme="4" tint="-0.249977111117893"/>
      </right>
      <top/>
      <bottom style="double">
        <color theme="4" tint="-0.249977111117893"/>
      </bottom>
      <diagonal/>
    </border>
    <border>
      <left style="double">
        <color indexed="64"/>
      </left>
      <right style="double">
        <color theme="4" tint="-0.249977111117893"/>
      </right>
      <top style="double">
        <color theme="4" tint="-0.249977111117893"/>
      </top>
      <bottom style="double">
        <color indexed="64"/>
      </bottom>
      <diagonal/>
    </border>
    <border>
      <left style="medium">
        <color indexed="64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theme="4" tint="-0.249977111117893"/>
      </left>
      <right style="medium">
        <color indexed="64"/>
      </right>
      <top/>
      <bottom style="double">
        <color theme="4" tint="-0.249977111117893"/>
      </bottom>
      <diagonal/>
    </border>
    <border>
      <left style="double">
        <color theme="4" tint="-0.249977111117893"/>
      </left>
      <right/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theme="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4" tint="-0.249977111117893"/>
      </left>
      <right style="double">
        <color theme="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indexed="64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 tint="-0.249977111117893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/>
      <bottom/>
      <diagonal/>
    </border>
    <border>
      <left style="double">
        <color theme="3" tint="-0.249977111117893"/>
      </left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/>
      <diagonal/>
    </border>
    <border>
      <left style="medium">
        <color indexed="64"/>
      </left>
      <right style="double">
        <color theme="3"/>
      </right>
      <top/>
      <bottom style="double">
        <color theme="3"/>
      </bottom>
      <diagonal/>
    </border>
    <border>
      <left style="double">
        <color theme="3" tint="-0.249977111117893"/>
      </left>
      <right style="double">
        <color theme="4" tint="-0.249977111117893"/>
      </right>
      <top style="double">
        <color theme="4" tint="-0.249977111117893"/>
      </top>
      <bottom/>
      <diagonal/>
    </border>
    <border>
      <left style="double">
        <color theme="4" tint="-0.249977111117893"/>
      </left>
      <right style="double">
        <color theme="3" tint="-0.249977111117893"/>
      </right>
      <top style="double">
        <color theme="4" tint="-0.249977111117893"/>
      </top>
      <bottom/>
      <diagonal/>
    </border>
    <border>
      <left style="medium">
        <color indexed="64"/>
      </left>
      <right style="double">
        <color theme="4" tint="-0.249977111117893"/>
      </right>
      <top style="double">
        <color theme="4" tint="-0.249977111117893"/>
      </top>
      <bottom/>
      <diagonal/>
    </border>
    <border>
      <left style="medium">
        <color indexed="64"/>
      </left>
      <right style="double">
        <color theme="4" tint="-0.249977111117893"/>
      </right>
      <top/>
      <bottom style="double">
        <color theme="4" tint="-0.249977111117893"/>
      </bottom>
      <diagonal/>
    </border>
    <border>
      <left style="double">
        <color theme="3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theme="3"/>
      </left>
      <right style="double">
        <color theme="4" tint="-0.249977111117893"/>
      </right>
      <top/>
      <bottom style="double">
        <color theme="4" tint="-0.249977111117893"/>
      </bottom>
      <diagonal/>
    </border>
    <border>
      <left style="double">
        <color theme="3"/>
      </left>
      <right style="double">
        <color theme="4" tint="-0.249977111117893"/>
      </right>
      <top style="double">
        <color theme="4" tint="-0.249977111117893"/>
      </top>
      <bottom/>
      <diagonal/>
    </border>
    <border>
      <left style="double">
        <color theme="3" tint="-0.249977111117893"/>
      </left>
      <right style="double">
        <color theme="4" tint="-0.249977111117893"/>
      </right>
      <top style="double">
        <color theme="3"/>
      </top>
      <bottom style="double">
        <color theme="4" tint="-0.249977111117893"/>
      </bottom>
      <diagonal/>
    </border>
    <border>
      <left style="double">
        <color theme="4" tint="-0.249977111117893"/>
      </left>
      <right style="double">
        <color theme="3" tint="-0.249977111117893"/>
      </right>
      <top style="double">
        <color theme="3"/>
      </top>
      <bottom style="double">
        <color theme="4" tint="-0.249977111117893"/>
      </bottom>
      <diagonal/>
    </border>
    <border>
      <left style="double">
        <color theme="4" tint="-0.249977111117893"/>
      </left>
      <right style="double">
        <color theme="3"/>
      </right>
      <top style="double">
        <color theme="3"/>
      </top>
      <bottom style="double">
        <color theme="4" tint="-0.249977111117893"/>
      </bottom>
      <diagonal/>
    </border>
    <border>
      <left style="medium">
        <color indexed="64"/>
      </left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double">
        <color theme="4" tint="-0.249977111117893"/>
      </right>
      <top style="double">
        <color theme="3"/>
      </top>
      <bottom style="double">
        <color theme="4" tint="-0.249977111117893"/>
      </bottom>
      <diagonal/>
    </border>
    <border>
      <left style="double">
        <color indexed="64"/>
      </left>
      <right style="double">
        <color theme="4" tint="-0.249977111117893"/>
      </right>
      <top/>
      <bottom style="double">
        <color indexed="64"/>
      </bottom>
      <diagonal/>
    </border>
    <border>
      <left style="double">
        <color theme="3"/>
      </left>
      <right style="double">
        <color theme="4" tint="-0.249977111117893"/>
      </right>
      <top style="double">
        <color theme="4" tint="-0.249977111117893"/>
      </top>
      <bottom style="double">
        <color theme="3"/>
      </bottom>
      <diagonal/>
    </border>
    <border>
      <left style="double">
        <color theme="4" tint="-0.249977111117893"/>
      </left>
      <right style="double">
        <color theme="3" tint="-0.249977111117893"/>
      </right>
      <top style="double">
        <color theme="4" tint="-0.249977111117893"/>
      </top>
      <bottom style="double">
        <color theme="3"/>
      </bottom>
      <diagonal/>
    </border>
    <border>
      <left style="double">
        <color theme="4" tint="-0.249977111117893"/>
      </left>
      <right style="double">
        <color theme="3"/>
      </right>
      <top style="double">
        <color theme="4" tint="-0.249977111117893"/>
      </top>
      <bottom style="double">
        <color theme="3"/>
      </bottom>
      <diagonal/>
    </border>
    <border>
      <left style="double">
        <color theme="3"/>
      </left>
      <right style="double">
        <color theme="3"/>
      </right>
      <top style="double">
        <color theme="4" tint="-0.249977111117893"/>
      </top>
      <bottom style="double">
        <color theme="3"/>
      </bottom>
      <diagonal/>
    </border>
    <border>
      <left style="double">
        <color theme="3"/>
      </left>
      <right style="double">
        <color theme="4" tint="-0.249977111117893"/>
      </right>
      <top style="double">
        <color theme="3"/>
      </top>
      <bottom/>
      <diagonal/>
    </border>
    <border>
      <left style="double">
        <color theme="4" tint="-0.249977111117893"/>
      </left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 style="double">
        <color theme="4" tint="-0.249977111117893"/>
      </right>
      <top style="double">
        <color theme="3"/>
      </top>
      <bottom style="double">
        <color theme="3"/>
      </bottom>
      <diagonal/>
    </border>
    <border>
      <left style="double">
        <color theme="4" tint="-0.249977111117893"/>
      </left>
      <right style="double">
        <color theme="4" tint="-0.24997711111789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4" tint="-0.249977111117893"/>
      </right>
      <top style="double">
        <color theme="4" tint="-0.249977111117893"/>
      </top>
      <bottom style="medium">
        <color indexed="64"/>
      </bottom>
      <diagonal/>
    </border>
    <border>
      <left style="double">
        <color theme="4" tint="-0.249977111117893"/>
      </left>
      <right style="medium">
        <color indexed="64"/>
      </right>
      <top style="double">
        <color theme="4" tint="-0.249977111117893"/>
      </top>
      <bottom style="medium">
        <color indexed="64"/>
      </bottom>
      <diagonal/>
    </border>
    <border>
      <left style="double">
        <color theme="4" tint="-0.249977111117893"/>
      </left>
      <right style="double">
        <color theme="3"/>
      </right>
      <top style="double">
        <color theme="4" tint="-0.249977111117893"/>
      </top>
      <bottom style="medium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 style="double">
        <color theme="3" tint="-0.249977111117893"/>
      </left>
      <right style="double">
        <color theme="3"/>
      </right>
      <top style="double">
        <color theme="4" tint="-0.249977111117893"/>
      </top>
      <bottom style="double">
        <color theme="3"/>
      </bottom>
      <diagonal/>
    </border>
    <border>
      <left style="medium">
        <color indexed="64"/>
      </left>
      <right style="double">
        <color theme="3"/>
      </right>
      <top style="double">
        <color theme="3"/>
      </top>
      <bottom style="double">
        <color theme="3"/>
      </bottom>
      <diagonal/>
    </border>
    <border>
      <left style="medium">
        <color indexed="64"/>
      </left>
      <right style="double">
        <color theme="3"/>
      </right>
      <top/>
      <bottom style="double">
        <color theme="4" tint="-0.249977111117893"/>
      </bottom>
      <diagonal/>
    </border>
    <border>
      <left style="double">
        <color theme="3"/>
      </left>
      <right style="double">
        <color theme="3"/>
      </right>
      <top/>
      <bottom style="double">
        <color theme="3"/>
      </bottom>
      <diagonal/>
    </border>
    <border>
      <left style="double">
        <color theme="4" tint="-0.249977111117893"/>
      </left>
      <right/>
      <top style="double">
        <color theme="4" tint="-0.249977111117893"/>
      </top>
      <bottom/>
      <diagonal/>
    </border>
    <border>
      <left/>
      <right/>
      <top style="double">
        <color theme="4" tint="-0.249977111117893"/>
      </top>
      <bottom/>
      <diagonal/>
    </border>
    <border>
      <left/>
      <right style="double">
        <color theme="4" tint="-0.249977111117893"/>
      </right>
      <top style="double">
        <color theme="4" tint="-0.249977111117893"/>
      </top>
      <bottom/>
      <diagonal/>
    </border>
    <border>
      <left style="double">
        <color theme="4" tint="-0.249977111117893"/>
      </left>
      <right/>
      <top/>
      <bottom style="double">
        <color theme="4" tint="-0.249977111117893"/>
      </bottom>
      <diagonal/>
    </border>
    <border>
      <left/>
      <right/>
      <top/>
      <bottom style="double">
        <color theme="4" tint="-0.249977111117893"/>
      </bottom>
      <diagonal/>
    </border>
    <border>
      <left/>
      <right style="double">
        <color theme="4" tint="-0.249977111117893"/>
      </right>
      <top/>
      <bottom style="double">
        <color theme="4" tint="-0.249977111117893"/>
      </bottom>
      <diagonal/>
    </border>
    <border>
      <left/>
      <right/>
      <top style="double">
        <color theme="4" tint="-0.249977111117893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theme="3"/>
      </left>
      <right/>
      <top style="double">
        <color theme="3"/>
      </top>
      <bottom style="double">
        <color theme="3"/>
      </bottom>
      <diagonal/>
    </border>
    <border>
      <left/>
      <right/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 style="double">
        <color theme="3"/>
      </bottom>
      <diagonal/>
    </border>
    <border>
      <left style="double">
        <color theme="3"/>
      </left>
      <right style="double">
        <color theme="4" tint="-0.249977111117893"/>
      </right>
      <top/>
      <bottom/>
      <diagonal/>
    </border>
    <border>
      <left style="double">
        <color theme="4" tint="-0.249977111117893"/>
      </left>
      <right/>
      <top/>
      <bottom/>
      <diagonal/>
    </border>
    <border>
      <left style="double">
        <color theme="3" tint="-0.249977111117893"/>
      </left>
      <right style="double">
        <color theme="4" tint="-0.249977111117893"/>
      </right>
      <top style="double">
        <color theme="3" tint="-0.249977111117893"/>
      </top>
      <bottom style="double">
        <color theme="3" tint="-0.249977111117893"/>
      </bottom>
      <diagonal/>
    </border>
    <border>
      <left style="double">
        <color theme="4" tint="-0.249977111117893"/>
      </left>
      <right style="double">
        <color theme="3" tint="-0.249977111117893"/>
      </right>
      <top style="double">
        <color theme="3" tint="-0.249977111117893"/>
      </top>
      <bottom style="double">
        <color theme="3" tint="-0.249977111117893"/>
      </bottom>
      <diagonal/>
    </border>
    <border>
      <left style="double">
        <color theme="4" tint="-0.249977111117893"/>
      </left>
      <right style="double">
        <color theme="3" tint="-0.249977111117893"/>
      </right>
      <top style="double">
        <color theme="3" tint="-0.249977111117893"/>
      </top>
      <bottom/>
      <diagonal/>
    </border>
    <border>
      <left style="double">
        <color theme="4" tint="-0.249977111117893"/>
      </left>
      <right style="double">
        <color theme="3" tint="-0.249977111117893"/>
      </right>
      <top style="double">
        <color theme="3"/>
      </top>
      <bottom style="double">
        <color theme="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right"/>
    </xf>
    <xf numFmtId="164" fontId="3" fillId="0" borderId="2" xfId="1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164" fontId="3" fillId="0" borderId="3" xfId="1" applyNumberFormat="1" applyFont="1" applyBorder="1"/>
    <xf numFmtId="0" fontId="3" fillId="0" borderId="1" xfId="0" applyFont="1" applyBorder="1" applyAlignment="1">
      <alignment horizontal="right" wrapText="1"/>
    </xf>
    <xf numFmtId="164" fontId="3" fillId="0" borderId="2" xfId="1" applyNumberFormat="1" applyFont="1" applyFill="1" applyBorder="1"/>
    <xf numFmtId="0" fontId="3" fillId="0" borderId="4" xfId="0" applyFont="1" applyBorder="1" applyAlignment="1">
      <alignment horizontal="right" wrapText="1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3" fillId="0" borderId="7" xfId="0" applyFont="1" applyBorder="1"/>
    <xf numFmtId="164" fontId="3" fillId="0" borderId="8" xfId="1" applyNumberFormat="1" applyFont="1" applyBorder="1"/>
    <xf numFmtId="164" fontId="3" fillId="0" borderId="10" xfId="1" applyNumberFormat="1" applyFont="1" applyBorder="1"/>
    <xf numFmtId="164" fontId="4" fillId="0" borderId="11" xfId="1" applyNumberFormat="1" applyFont="1" applyBorder="1"/>
    <xf numFmtId="164" fontId="3" fillId="0" borderId="12" xfId="1" applyNumberFormat="1" applyFont="1" applyBorder="1"/>
    <xf numFmtId="164" fontId="3" fillId="0" borderId="13" xfId="1" applyNumberFormat="1" applyFont="1" applyBorder="1"/>
    <xf numFmtId="164" fontId="3" fillId="2" borderId="14" xfId="1" applyNumberFormat="1" applyFont="1" applyFill="1" applyBorder="1"/>
    <xf numFmtId="164" fontId="3" fillId="0" borderId="15" xfId="1" applyNumberFormat="1" applyFont="1" applyBorder="1"/>
    <xf numFmtId="164" fontId="3" fillId="2" borderId="13" xfId="1" applyNumberFormat="1" applyFont="1" applyFill="1" applyBorder="1"/>
    <xf numFmtId="164" fontId="3" fillId="0" borderId="10" xfId="1" applyNumberFormat="1" applyFont="1" applyFill="1" applyBorder="1"/>
    <xf numFmtId="164" fontId="3" fillId="2" borderId="16" xfId="1" applyNumberFormat="1" applyFont="1" applyFill="1" applyBorder="1"/>
    <xf numFmtId="164" fontId="3" fillId="0" borderId="17" xfId="1" applyNumberFormat="1" applyFont="1" applyBorder="1"/>
    <xf numFmtId="0" fontId="3" fillId="0" borderId="18" xfId="0" applyFont="1" applyBorder="1" applyAlignment="1">
      <alignment horizontal="right" wrapText="1"/>
    </xf>
    <xf numFmtId="164" fontId="3" fillId="2" borderId="19" xfId="1" applyNumberFormat="1" applyFont="1" applyFill="1" applyBorder="1"/>
    <xf numFmtId="164" fontId="3" fillId="0" borderId="19" xfId="1" applyNumberFormat="1" applyFont="1" applyBorder="1"/>
    <xf numFmtId="0" fontId="3" fillId="0" borderId="21" xfId="0" applyFont="1" applyBorder="1" applyAlignment="1">
      <alignment horizontal="left"/>
    </xf>
    <xf numFmtId="0" fontId="3" fillId="0" borderId="14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5" fillId="0" borderId="23" xfId="0" applyFont="1" applyBorder="1" applyAlignment="1">
      <alignment horizontal="right" wrapText="1"/>
    </xf>
    <xf numFmtId="0" fontId="4" fillId="0" borderId="22" xfId="0" applyFont="1" applyBorder="1" applyAlignment="1">
      <alignment horizontal="right"/>
    </xf>
    <xf numFmtId="0" fontId="3" fillId="0" borderId="25" xfId="0" applyFont="1" applyBorder="1" applyAlignment="1">
      <alignment wrapText="1"/>
    </xf>
    <xf numFmtId="164" fontId="4" fillId="0" borderId="27" xfId="1" applyNumberFormat="1" applyFont="1" applyFill="1" applyBorder="1"/>
    <xf numFmtId="0" fontId="3" fillId="0" borderId="29" xfId="0" applyFont="1" applyBorder="1"/>
    <xf numFmtId="164" fontId="3" fillId="0" borderId="26" xfId="1" applyNumberFormat="1" applyFont="1" applyFill="1" applyBorder="1"/>
    <xf numFmtId="164" fontId="3" fillId="0" borderId="27" xfId="1" applyNumberFormat="1" applyFont="1" applyFill="1" applyBorder="1"/>
    <xf numFmtId="164" fontId="3" fillId="0" borderId="11" xfId="1" applyNumberFormat="1" applyFont="1" applyFill="1" applyBorder="1"/>
    <xf numFmtId="0" fontId="4" fillId="0" borderId="30" xfId="0" applyFont="1" applyBorder="1"/>
    <xf numFmtId="0" fontId="4" fillId="0" borderId="1" xfId="0" applyFont="1" applyBorder="1" applyAlignment="1">
      <alignment horizontal="left"/>
    </xf>
    <xf numFmtId="164" fontId="4" fillId="0" borderId="2" xfId="1" applyNumberFormat="1" applyFont="1" applyFill="1" applyBorder="1"/>
    <xf numFmtId="164" fontId="4" fillId="0" borderId="11" xfId="1" applyNumberFormat="1" applyFont="1" applyFill="1" applyBorder="1"/>
    <xf numFmtId="0" fontId="4" fillId="0" borderId="31" xfId="0" applyFont="1" applyBorder="1" applyAlignment="1">
      <alignment horizontal="left"/>
    </xf>
    <xf numFmtId="164" fontId="4" fillId="0" borderId="33" xfId="1" applyNumberFormat="1" applyFont="1" applyFill="1" applyBorder="1" applyAlignment="1">
      <alignment horizontal="center"/>
    </xf>
    <xf numFmtId="164" fontId="4" fillId="0" borderId="34" xfId="1" applyNumberFormat="1" applyFont="1" applyFill="1" applyBorder="1" applyAlignment="1">
      <alignment horizontal="center"/>
    </xf>
    <xf numFmtId="0" fontId="6" fillId="0" borderId="18" xfId="0" applyFont="1" applyBorder="1" applyAlignment="1">
      <alignment horizontal="right"/>
    </xf>
    <xf numFmtId="164" fontId="6" fillId="0" borderId="19" xfId="1" applyNumberFormat="1" applyFont="1" applyFill="1" applyBorder="1"/>
    <xf numFmtId="0" fontId="6" fillId="0" borderId="35" xfId="0" applyFont="1" applyBorder="1" applyAlignment="1">
      <alignment horizontal="right"/>
    </xf>
    <xf numFmtId="164" fontId="4" fillId="0" borderId="36" xfId="1" applyNumberFormat="1" applyFont="1" applyFill="1" applyBorder="1"/>
    <xf numFmtId="0" fontId="6" fillId="0" borderId="37" xfId="0" applyFont="1" applyBorder="1" applyAlignment="1">
      <alignment horizontal="right"/>
    </xf>
    <xf numFmtId="164" fontId="4" fillId="0" borderId="38" xfId="1" applyNumberFormat="1" applyFont="1" applyFill="1" applyBorder="1"/>
    <xf numFmtId="0" fontId="6" fillId="0" borderId="39" xfId="0" applyFont="1" applyBorder="1" applyAlignment="1">
      <alignment horizontal="right" wrapText="1"/>
    </xf>
    <xf numFmtId="164" fontId="4" fillId="0" borderId="40" xfId="1" applyNumberFormat="1" applyFont="1" applyFill="1" applyBorder="1"/>
    <xf numFmtId="164" fontId="4" fillId="0" borderId="41" xfId="1" applyNumberFormat="1" applyFont="1" applyFill="1" applyBorder="1"/>
    <xf numFmtId="0" fontId="4" fillId="0" borderId="22" xfId="0" applyFont="1" applyBorder="1" applyAlignment="1">
      <alignment horizontal="left"/>
    </xf>
    <xf numFmtId="164" fontId="4" fillId="0" borderId="32" xfId="1" applyNumberFormat="1" applyFont="1" applyFill="1" applyBorder="1"/>
    <xf numFmtId="0" fontId="6" fillId="0" borderId="42" xfId="0" applyFont="1" applyBorder="1" applyAlignment="1">
      <alignment horizontal="right"/>
    </xf>
    <xf numFmtId="164" fontId="4" fillId="0" borderId="43" xfId="1" applyNumberFormat="1" applyFont="1" applyFill="1" applyBorder="1"/>
    <xf numFmtId="164" fontId="4" fillId="0" borderId="16" xfId="1" applyNumberFormat="1" applyFont="1" applyFill="1" applyBorder="1"/>
    <xf numFmtId="164" fontId="3" fillId="0" borderId="17" xfId="1" applyNumberFormat="1" applyFont="1" applyFill="1" applyBorder="1"/>
    <xf numFmtId="164" fontId="3" fillId="0" borderId="44" xfId="1" applyNumberFormat="1" applyFont="1" applyFill="1" applyBorder="1"/>
    <xf numFmtId="164" fontId="3" fillId="0" borderId="45" xfId="1" applyNumberFormat="1" applyFont="1" applyFill="1" applyBorder="1"/>
    <xf numFmtId="164" fontId="3" fillId="0" borderId="14" xfId="1" applyNumberFormat="1" applyFont="1" applyFill="1" applyBorder="1"/>
    <xf numFmtId="164" fontId="6" fillId="0" borderId="11" xfId="1" applyNumberFormat="1" applyFont="1" applyFill="1" applyBorder="1"/>
    <xf numFmtId="164" fontId="6" fillId="0" borderId="27" xfId="1" applyNumberFormat="1" applyFont="1" applyFill="1" applyBorder="1"/>
    <xf numFmtId="164" fontId="5" fillId="0" borderId="44" xfId="1" applyNumberFormat="1" applyFont="1" applyFill="1" applyBorder="1"/>
    <xf numFmtId="164" fontId="5" fillId="0" borderId="2" xfId="1" applyNumberFormat="1" applyFont="1" applyBorder="1"/>
    <xf numFmtId="164" fontId="5" fillId="0" borderId="27" xfId="1" applyNumberFormat="1" applyFont="1" applyFill="1" applyBorder="1"/>
    <xf numFmtId="164" fontId="5" fillId="0" borderId="11" xfId="1" applyNumberFormat="1" applyFont="1" applyFill="1" applyBorder="1"/>
    <xf numFmtId="164" fontId="5" fillId="0" borderId="17" xfId="1" applyNumberFormat="1" applyFont="1" applyBorder="1"/>
    <xf numFmtId="164" fontId="7" fillId="2" borderId="13" xfId="1" applyNumberFormat="1" applyFont="1" applyFill="1" applyBorder="1"/>
    <xf numFmtId="164" fontId="7" fillId="2" borderId="14" xfId="1" applyNumberFormat="1" applyFont="1" applyFill="1" applyBorder="1"/>
    <xf numFmtId="164" fontId="8" fillId="0" borderId="16" xfId="1" applyNumberFormat="1" applyFont="1" applyFill="1" applyBorder="1"/>
    <xf numFmtId="0" fontId="7" fillId="0" borderId="14" xfId="0" applyFont="1" applyBorder="1"/>
    <xf numFmtId="0" fontId="7" fillId="0" borderId="0" xfId="0" applyFont="1"/>
    <xf numFmtId="164" fontId="4" fillId="0" borderId="47" xfId="1" applyNumberFormat="1" applyFont="1" applyFill="1" applyBorder="1" applyAlignment="1">
      <alignment horizontal="center"/>
    </xf>
    <xf numFmtId="164" fontId="6" fillId="0" borderId="47" xfId="1" applyNumberFormat="1" applyFont="1" applyFill="1" applyBorder="1" applyAlignment="1">
      <alignment horizontal="center"/>
    </xf>
    <xf numFmtId="164" fontId="6" fillId="0" borderId="34" xfId="1" applyNumberFormat="1" applyFont="1" applyFill="1" applyBorder="1" applyAlignment="1">
      <alignment horizontal="center"/>
    </xf>
    <xf numFmtId="164" fontId="6" fillId="0" borderId="11" xfId="1" applyNumberFormat="1" applyFont="1" applyBorder="1"/>
    <xf numFmtId="164" fontId="5" fillId="0" borderId="13" xfId="1" applyNumberFormat="1" applyFont="1" applyBorder="1"/>
    <xf numFmtId="164" fontId="5" fillId="0" borderId="19" xfId="1" applyNumberFormat="1" applyFont="1" applyBorder="1"/>
    <xf numFmtId="164" fontId="5" fillId="2" borderId="16" xfId="1" applyNumberFormat="1" applyFont="1" applyFill="1" applyBorder="1"/>
    <xf numFmtId="164" fontId="5" fillId="0" borderId="15" xfId="1" applyNumberFormat="1" applyFont="1" applyBorder="1"/>
    <xf numFmtId="0" fontId="3" fillId="0" borderId="4" xfId="0" applyFont="1" applyBorder="1" applyAlignment="1">
      <alignment wrapText="1"/>
    </xf>
    <xf numFmtId="164" fontId="5" fillId="0" borderId="17" xfId="1" applyNumberFormat="1" applyFont="1" applyFill="1" applyBorder="1"/>
    <xf numFmtId="164" fontId="6" fillId="0" borderId="36" xfId="1" applyNumberFormat="1" applyFont="1" applyFill="1" applyBorder="1"/>
    <xf numFmtId="0" fontId="3" fillId="0" borderId="20" xfId="0" applyFont="1" applyBorder="1"/>
    <xf numFmtId="164" fontId="3" fillId="0" borderId="28" xfId="1" applyNumberFormat="1" applyFont="1" applyFill="1" applyBorder="1"/>
    <xf numFmtId="164" fontId="6" fillId="0" borderId="41" xfId="1" applyNumberFormat="1" applyFont="1" applyFill="1" applyBorder="1"/>
    <xf numFmtId="164" fontId="5" fillId="0" borderId="10" xfId="1" applyNumberFormat="1" applyFont="1" applyBorder="1"/>
    <xf numFmtId="164" fontId="5" fillId="0" borderId="10" xfId="1" applyNumberFormat="1" applyFont="1" applyFill="1" applyBorder="1"/>
    <xf numFmtId="164" fontId="3" fillId="0" borderId="46" xfId="1" applyNumberFormat="1" applyFont="1" applyBorder="1"/>
    <xf numFmtId="164" fontId="5" fillId="0" borderId="46" xfId="1" applyNumberFormat="1" applyFont="1" applyBorder="1"/>
    <xf numFmtId="164" fontId="3" fillId="0" borderId="0" xfId="0" applyNumberFormat="1" applyFont="1"/>
    <xf numFmtId="164" fontId="5" fillId="0" borderId="45" xfId="1" applyNumberFormat="1" applyFont="1" applyFill="1" applyBorder="1"/>
    <xf numFmtId="0" fontId="3" fillId="0" borderId="18" xfId="0" applyFont="1" applyBorder="1" applyAlignment="1">
      <alignment horizontal="left" wrapText="1"/>
    </xf>
    <xf numFmtId="0" fontId="3" fillId="0" borderId="59" xfId="0" applyFont="1" applyBorder="1"/>
    <xf numFmtId="164" fontId="3" fillId="0" borderId="60" xfId="1" applyNumberFormat="1" applyFont="1" applyBorder="1"/>
    <xf numFmtId="164" fontId="3" fillId="2" borderId="60" xfId="1" applyNumberFormat="1" applyFont="1" applyFill="1" applyBorder="1"/>
    <xf numFmtId="164" fontId="3" fillId="2" borderId="10" xfId="1" applyNumberFormat="1" applyFont="1" applyFill="1" applyBorder="1"/>
    <xf numFmtId="0" fontId="3" fillId="0" borderId="61" xfId="0" applyFont="1" applyBorder="1"/>
    <xf numFmtId="164" fontId="3" fillId="0" borderId="62" xfId="1" applyNumberFormat="1" applyFont="1" applyBorder="1"/>
    <xf numFmtId="164" fontId="3" fillId="2" borderId="63" xfId="1" applyNumberFormat="1" applyFont="1" applyFill="1" applyBorder="1"/>
    <xf numFmtId="164" fontId="4" fillId="0" borderId="64" xfId="1" applyNumberFormat="1" applyFont="1" applyFill="1" applyBorder="1"/>
    <xf numFmtId="164" fontId="3" fillId="0" borderId="48" xfId="1" applyNumberFormat="1" applyFont="1" applyFill="1" applyBorder="1"/>
    <xf numFmtId="164" fontId="7" fillId="2" borderId="28" xfId="1" applyNumberFormat="1" applyFont="1" applyFill="1" applyBorder="1"/>
    <xf numFmtId="164" fontId="5" fillId="0" borderId="28" xfId="1" applyNumberFormat="1" applyFont="1" applyFill="1" applyBorder="1"/>
    <xf numFmtId="164" fontId="4" fillId="0" borderId="33" xfId="1" applyNumberFormat="1" applyFont="1" applyFill="1" applyBorder="1"/>
    <xf numFmtId="164" fontId="6" fillId="0" borderId="33" xfId="1" applyNumberFormat="1" applyFont="1" applyFill="1" applyBorder="1"/>
    <xf numFmtId="164" fontId="3" fillId="0" borderId="12" xfId="1" applyNumberFormat="1" applyFont="1" applyFill="1" applyBorder="1"/>
    <xf numFmtId="164" fontId="5" fillId="0" borderId="12" xfId="1" applyNumberFormat="1" applyFont="1" applyFill="1" applyBorder="1"/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5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tabSelected="1" view="pageLayout" topLeftCell="B1" zoomScale="120" zoomScaleNormal="125" zoomScalePageLayoutView="120" workbookViewId="0">
      <selection activeCell="B3" sqref="B3"/>
    </sheetView>
  </sheetViews>
  <sheetFormatPr defaultColWidth="9.15234375" defaultRowHeight="14.6" x14ac:dyDescent="0.4"/>
  <cols>
    <col min="1" max="1" width="9.15234375" style="1"/>
    <col min="2" max="2" width="54.69140625" style="1" customWidth="1"/>
    <col min="3" max="3" width="16.69140625" style="1" bestFit="1" customWidth="1"/>
    <col min="4" max="4" width="15.69140625" style="1" customWidth="1"/>
    <col min="5" max="6" width="16" style="1" bestFit="1" customWidth="1"/>
    <col min="7" max="7" width="15.69140625" style="76" bestFit="1" customWidth="1"/>
    <col min="8" max="8" width="11.3046875" style="1" bestFit="1" customWidth="1"/>
    <col min="9" max="9" width="9.15234375" style="1"/>
    <col min="10" max="10" width="15.3046875" style="1" bestFit="1" customWidth="1"/>
    <col min="11" max="16384" width="9.15234375" style="1"/>
  </cols>
  <sheetData>
    <row r="1" spans="1:8" ht="15" customHeight="1" thickTop="1" x14ac:dyDescent="0.4">
      <c r="B1" s="113" t="s">
        <v>52</v>
      </c>
      <c r="C1" s="114"/>
      <c r="D1" s="114"/>
      <c r="E1" s="114"/>
      <c r="F1" s="114"/>
      <c r="G1" s="115"/>
    </row>
    <row r="2" spans="1:8" ht="15" thickBot="1" x14ac:dyDescent="0.45">
      <c r="B2" s="116"/>
      <c r="C2" s="117"/>
      <c r="D2" s="117"/>
      <c r="E2" s="117"/>
      <c r="F2" s="117"/>
      <c r="G2" s="118"/>
    </row>
    <row r="3" spans="1:8" ht="24" customHeight="1" thickTop="1" thickBot="1" x14ac:dyDescent="0.45">
      <c r="B3" s="40" t="s">
        <v>0</v>
      </c>
      <c r="C3" s="77" t="s">
        <v>1</v>
      </c>
      <c r="D3" s="77" t="s">
        <v>2</v>
      </c>
      <c r="E3" s="77" t="s">
        <v>3</v>
      </c>
      <c r="F3" s="78" t="s">
        <v>4</v>
      </c>
      <c r="G3" s="78" t="s">
        <v>51</v>
      </c>
    </row>
    <row r="4" spans="1:8" ht="15.45" thickTop="1" thickBot="1" x14ac:dyDescent="0.45">
      <c r="A4" s="1" t="s">
        <v>5</v>
      </c>
      <c r="B4" s="10" t="s">
        <v>6</v>
      </c>
      <c r="C4" s="16">
        <f>175293645.73+75569398.82</f>
        <v>250863044.54999998</v>
      </c>
      <c r="D4" s="111">
        <f>C63</f>
        <v>198643814.54999995</v>
      </c>
      <c r="E4" s="111">
        <f>D63</f>
        <v>123919751.16999999</v>
      </c>
      <c r="F4" s="112">
        <f>E63</f>
        <v>58490260.209501773</v>
      </c>
      <c r="G4" s="112">
        <f>F63</f>
        <v>-21057807.349008262</v>
      </c>
    </row>
    <row r="5" spans="1:8" ht="15.45" thickTop="1" thickBot="1" x14ac:dyDescent="0.45">
      <c r="B5" s="11" t="s">
        <v>7</v>
      </c>
      <c r="C5" s="21">
        <v>171435510</v>
      </c>
      <c r="D5" s="21">
        <v>152828852</v>
      </c>
      <c r="E5" s="21">
        <v>136861659</v>
      </c>
      <c r="F5" s="21">
        <f>E5</f>
        <v>136861659</v>
      </c>
      <c r="G5" s="21">
        <f>F5</f>
        <v>136861659</v>
      </c>
    </row>
    <row r="6" spans="1:8" ht="15.45" thickTop="1" thickBot="1" x14ac:dyDescent="0.45">
      <c r="B6" s="9" t="s">
        <v>8</v>
      </c>
      <c r="C6" s="64">
        <v>4112968</v>
      </c>
      <c r="D6" s="64">
        <v>5336948</v>
      </c>
      <c r="E6" s="64">
        <v>2822875</v>
      </c>
      <c r="F6" s="64">
        <v>1277276.73</v>
      </c>
      <c r="G6" s="64">
        <v>266144</v>
      </c>
    </row>
    <row r="7" spans="1:8" ht="24" customHeight="1" thickTop="1" thickBot="1" x14ac:dyDescent="0.45">
      <c r="B7" s="41" t="s">
        <v>9</v>
      </c>
      <c r="C7" s="43">
        <f>SUM(C4:C6)</f>
        <v>426411522.54999995</v>
      </c>
      <c r="D7" s="43">
        <f>SUM(D4:D6)</f>
        <v>356809614.54999995</v>
      </c>
      <c r="E7" s="43">
        <f>SUM(E4:E6)</f>
        <v>263604285.16999999</v>
      </c>
      <c r="F7" s="65">
        <f>SUM(F4:F6)</f>
        <v>196629195.93950176</v>
      </c>
      <c r="G7" s="65">
        <f>SUM(G4:G6)</f>
        <v>116069995.65099174</v>
      </c>
    </row>
    <row r="8" spans="1:8" ht="24" customHeight="1" thickTop="1" thickBot="1" x14ac:dyDescent="0.45">
      <c r="A8" s="28"/>
      <c r="B8" s="44" t="s">
        <v>10</v>
      </c>
      <c r="C8" s="45" t="s">
        <v>11</v>
      </c>
      <c r="D8" s="46" t="s">
        <v>11</v>
      </c>
      <c r="E8" s="46" t="s">
        <v>11</v>
      </c>
      <c r="F8" s="79" t="s">
        <v>11</v>
      </c>
      <c r="G8" s="79" t="s">
        <v>11</v>
      </c>
    </row>
    <row r="9" spans="1:8" ht="27" customHeight="1" thickTop="1" thickBot="1" x14ac:dyDescent="0.45">
      <c r="A9" s="28"/>
      <c r="B9" s="122" t="s">
        <v>12</v>
      </c>
      <c r="C9" s="123"/>
      <c r="D9" s="123"/>
      <c r="E9" s="123"/>
      <c r="F9" s="123"/>
      <c r="G9" s="123"/>
      <c r="H9" s="95" t="s">
        <v>5</v>
      </c>
    </row>
    <row r="10" spans="1:8" ht="15.45" thickTop="1" thickBot="1" x14ac:dyDescent="0.45">
      <c r="B10" s="34" t="s">
        <v>13</v>
      </c>
      <c r="C10" s="35">
        <v>5995641</v>
      </c>
      <c r="D10" s="35">
        <f>(C10*3%)+C10</f>
        <v>6175510.2300000004</v>
      </c>
      <c r="E10" s="35">
        <f>(D10*3%)+D10</f>
        <v>6360775.5369000006</v>
      </c>
      <c r="F10" s="66">
        <f>(D10*3%)+D10</f>
        <v>6360775.5369000006</v>
      </c>
      <c r="G10" s="66">
        <f>(E10*3%)+E10</f>
        <v>6551598.8030070011</v>
      </c>
    </row>
    <row r="11" spans="1:8" ht="19.5" customHeight="1" thickTop="1" thickBot="1" x14ac:dyDescent="0.45">
      <c r="B11" s="5" t="s">
        <v>14</v>
      </c>
      <c r="C11" s="15">
        <f>SUM(C12:C21)</f>
        <v>1303566</v>
      </c>
      <c r="D11" s="15">
        <f>SUM(D12:D21)</f>
        <v>1316938.5</v>
      </c>
      <c r="E11" s="15">
        <f>SUM(E12:E21)</f>
        <v>1325957.6668750001</v>
      </c>
      <c r="F11" s="80">
        <f>SUM(F12:F21)</f>
        <v>1375771.9068750001</v>
      </c>
      <c r="G11" s="80">
        <f>SUM(G12:G21)</f>
        <v>1385459.8480468751</v>
      </c>
    </row>
    <row r="12" spans="1:8" ht="19.5" customHeight="1" thickTop="1" thickBot="1" x14ac:dyDescent="0.45">
      <c r="B12" s="2" t="s">
        <v>15</v>
      </c>
      <c r="C12" s="62">
        <v>57500</v>
      </c>
      <c r="D12" s="62">
        <f>C12</f>
        <v>57500</v>
      </c>
      <c r="E12" s="62">
        <f>D12</f>
        <v>57500</v>
      </c>
      <c r="F12" s="67">
        <f>E12</f>
        <v>57500</v>
      </c>
      <c r="G12" s="67">
        <f>F12</f>
        <v>57500</v>
      </c>
    </row>
    <row r="13" spans="1:8" ht="19.5" customHeight="1" thickTop="1" thickBot="1" x14ac:dyDescent="0.45">
      <c r="B13" s="2" t="s">
        <v>16</v>
      </c>
      <c r="C13" s="3">
        <v>55000</v>
      </c>
      <c r="D13" s="3">
        <f>(C13*2.5%)+C13</f>
        <v>56375</v>
      </c>
      <c r="E13" s="3">
        <f t="shared" ref="E13:E14" si="0">(D13*2.5%)+C13</f>
        <v>56409.375</v>
      </c>
      <c r="F13" s="68">
        <f>(D13*2.5%)+C13</f>
        <v>56409.375</v>
      </c>
      <c r="G13" s="68">
        <f>(E13*2.5%)+D13</f>
        <v>57785.234375</v>
      </c>
    </row>
    <row r="14" spans="1:8" ht="19.5" customHeight="1" thickTop="1" thickBot="1" x14ac:dyDescent="0.45">
      <c r="B14" s="2" t="s">
        <v>17</v>
      </c>
      <c r="C14" s="3">
        <v>2500</v>
      </c>
      <c r="D14" s="3">
        <f>(C14*2.5%)+C14</f>
        <v>2562.5</v>
      </c>
      <c r="E14" s="3">
        <f t="shared" si="0"/>
        <v>2564.0625</v>
      </c>
      <c r="F14" s="68">
        <f>(D14*2.5%)+C14</f>
        <v>2564.0625</v>
      </c>
      <c r="G14" s="68">
        <f>(E14*2.5%)+D14</f>
        <v>2626.6015625</v>
      </c>
    </row>
    <row r="15" spans="1:8" ht="19.5" customHeight="1" thickTop="1" thickBot="1" x14ac:dyDescent="0.45">
      <c r="B15" s="2" t="s">
        <v>18</v>
      </c>
      <c r="C15" s="21">
        <v>729631</v>
      </c>
      <c r="D15" s="21">
        <f>((13865*2.5%)+13865)+719631</f>
        <v>733842.625</v>
      </c>
      <c r="E15" s="21">
        <f>((14709*3%)+14709)+719631</f>
        <v>734781.27</v>
      </c>
      <c r="F15" s="21">
        <f>((13865*3%)+13865)+518443.75+251870.81</f>
        <v>784595.51</v>
      </c>
      <c r="G15" s="21">
        <f>((13865*3%)+13865)+518443.75+251870.81</f>
        <v>784595.51</v>
      </c>
    </row>
    <row r="16" spans="1:8" ht="19.5" customHeight="1" thickTop="1" thickBot="1" x14ac:dyDescent="0.45">
      <c r="B16" s="2" t="s">
        <v>19</v>
      </c>
      <c r="C16" s="3">
        <v>150000</v>
      </c>
      <c r="D16" s="3">
        <v>150000</v>
      </c>
      <c r="E16" s="3">
        <v>150000</v>
      </c>
      <c r="F16" s="68">
        <v>150000</v>
      </c>
      <c r="G16" s="68">
        <v>150000</v>
      </c>
    </row>
    <row r="17" spans="2:7" ht="19.5" customHeight="1" thickTop="1" thickBot="1" x14ac:dyDescent="0.45">
      <c r="B17" s="2" t="s">
        <v>20</v>
      </c>
      <c r="C17" s="3">
        <v>5000</v>
      </c>
      <c r="D17" s="3">
        <f>(C17*2.5%)+C17</f>
        <v>5125</v>
      </c>
      <c r="E17" s="3">
        <f>(D17*2.5%)+D17</f>
        <v>5253.125</v>
      </c>
      <c r="F17" s="68">
        <f>(D17*2.5%)+D17</f>
        <v>5253.125</v>
      </c>
      <c r="G17" s="68">
        <f>(E17*2.5%)+E17</f>
        <v>5384.453125</v>
      </c>
    </row>
    <row r="18" spans="2:7" ht="19.5" customHeight="1" thickTop="1" thickBot="1" x14ac:dyDescent="0.45">
      <c r="B18" s="2" t="s">
        <v>21</v>
      </c>
      <c r="C18" s="17">
        <v>25000</v>
      </c>
      <c r="D18" s="17">
        <f>(C18*2.5%)+C18</f>
        <v>25625</v>
      </c>
      <c r="E18" s="17">
        <f>(D18*3%)+D18</f>
        <v>26393.75</v>
      </c>
      <c r="F18" s="17">
        <f>(D18*3%)+D18</f>
        <v>26393.75</v>
      </c>
      <c r="G18" s="17">
        <f>(E18*3%)+E18</f>
        <v>27185.5625</v>
      </c>
    </row>
    <row r="19" spans="2:7" ht="19.5" customHeight="1" thickTop="1" thickBot="1" x14ac:dyDescent="0.45">
      <c r="B19" s="2" t="s">
        <v>22</v>
      </c>
      <c r="C19" s="3">
        <v>18935</v>
      </c>
      <c r="D19" s="3">
        <f t="shared" ref="D19:E21" si="1">(C19*2.5%)+C19</f>
        <v>19408.375</v>
      </c>
      <c r="E19" s="3">
        <f t="shared" si="1"/>
        <v>19893.584374999999</v>
      </c>
      <c r="F19" s="3">
        <f t="shared" ref="F19:G21" si="2">(D19*2.5%)+D19</f>
        <v>19893.584374999999</v>
      </c>
      <c r="G19" s="3">
        <f t="shared" si="2"/>
        <v>20390.923984375</v>
      </c>
    </row>
    <row r="20" spans="2:7" ht="19.5" customHeight="1" thickTop="1" thickBot="1" x14ac:dyDescent="0.45">
      <c r="B20" s="2" t="s">
        <v>23</v>
      </c>
      <c r="C20" s="3">
        <v>10000</v>
      </c>
      <c r="D20" s="3">
        <f t="shared" si="1"/>
        <v>10250</v>
      </c>
      <c r="E20" s="3">
        <f t="shared" si="1"/>
        <v>10506.25</v>
      </c>
      <c r="F20" s="3">
        <f t="shared" si="2"/>
        <v>10506.25</v>
      </c>
      <c r="G20" s="3">
        <f t="shared" si="2"/>
        <v>10768.90625</v>
      </c>
    </row>
    <row r="21" spans="2:7" ht="19.5" customHeight="1" thickTop="1" thickBot="1" x14ac:dyDescent="0.45">
      <c r="B21" s="2" t="s">
        <v>24</v>
      </c>
      <c r="C21" s="3">
        <v>250000</v>
      </c>
      <c r="D21" s="3">
        <f t="shared" si="1"/>
        <v>256250</v>
      </c>
      <c r="E21" s="3">
        <f t="shared" si="1"/>
        <v>262656.25</v>
      </c>
      <c r="F21" s="3">
        <f t="shared" si="2"/>
        <v>262656.25</v>
      </c>
      <c r="G21" s="3">
        <f t="shared" si="2"/>
        <v>269222.65625</v>
      </c>
    </row>
    <row r="22" spans="2:7" ht="49.2" customHeight="1" thickTop="1" thickBot="1" x14ac:dyDescent="0.45">
      <c r="B22" s="97" t="s">
        <v>55</v>
      </c>
      <c r="C22" s="26">
        <v>516000</v>
      </c>
      <c r="D22" s="26">
        <f>5297595+1000000+1500000</f>
        <v>7797595</v>
      </c>
      <c r="E22" s="26">
        <v>0</v>
      </c>
      <c r="F22" s="82">
        <v>0</v>
      </c>
      <c r="G22" s="82">
        <v>0</v>
      </c>
    </row>
    <row r="23" spans="2:7" ht="15.45" thickTop="1" thickBot="1" x14ac:dyDescent="0.45">
      <c r="B23" s="47" t="s">
        <v>25</v>
      </c>
      <c r="C23" s="48">
        <f>C10+C11+C22</f>
        <v>7815207</v>
      </c>
      <c r="D23" s="48">
        <f>SUM(D12:D21)+D10+D22</f>
        <v>15290043.73</v>
      </c>
      <c r="E23" s="48">
        <f>SUM(E12:E21)+E10+E22</f>
        <v>7686733.2037750008</v>
      </c>
      <c r="F23" s="48">
        <f>SUM(F12:F21)+F10+F22</f>
        <v>7736547.443775001</v>
      </c>
      <c r="G23" s="48">
        <f>SUM(G12:G21)+G10+G22</f>
        <v>7937058.6510538757</v>
      </c>
    </row>
    <row r="24" spans="2:7" ht="15.45" thickTop="1" thickBot="1" x14ac:dyDescent="0.45">
      <c r="B24" s="119" t="s">
        <v>26</v>
      </c>
      <c r="C24" s="120"/>
      <c r="D24" s="120"/>
      <c r="E24" s="120"/>
      <c r="F24" s="120"/>
      <c r="G24" s="121"/>
    </row>
    <row r="25" spans="2:7" ht="30" thickTop="1" thickBot="1" x14ac:dyDescent="0.45">
      <c r="B25" s="85" t="s">
        <v>58</v>
      </c>
      <c r="C25" s="19">
        <v>6063936</v>
      </c>
      <c r="D25" s="19">
        <v>6219809</v>
      </c>
      <c r="E25" s="19">
        <f>D5*4.0835%</f>
        <v>6240766.1714199996</v>
      </c>
      <c r="F25" s="84">
        <f>E5*4.56%</f>
        <v>6240891.6503999997</v>
      </c>
      <c r="G25" s="84">
        <f>F5*4.56%</f>
        <v>6240891.6503999997</v>
      </c>
    </row>
    <row r="26" spans="2:7" ht="15.45" thickTop="1" thickBot="1" x14ac:dyDescent="0.45">
      <c r="B26" s="2" t="s">
        <v>27</v>
      </c>
      <c r="C26" s="20">
        <v>1080967</v>
      </c>
      <c r="D26" s="20"/>
      <c r="E26" s="20"/>
      <c r="F26" s="72"/>
      <c r="G26" s="72"/>
    </row>
    <row r="27" spans="2:7" ht="30" thickTop="1" thickBot="1" x14ac:dyDescent="0.45">
      <c r="B27" s="4" t="s">
        <v>59</v>
      </c>
      <c r="C27" s="17">
        <v>2263870</v>
      </c>
      <c r="D27" s="17">
        <v>2264010</v>
      </c>
      <c r="E27" s="17">
        <f>D5*1.5045%</f>
        <v>2299310.07834</v>
      </c>
      <c r="F27" s="81">
        <f>E5*1.68%</f>
        <v>2299275.8711999999</v>
      </c>
      <c r="G27" s="81">
        <f>F5*1.68%</f>
        <v>2299275.8711999999</v>
      </c>
    </row>
    <row r="28" spans="2:7" ht="15.45" thickTop="1" thickBot="1" x14ac:dyDescent="0.45">
      <c r="B28" s="7" t="s">
        <v>28</v>
      </c>
      <c r="C28" s="20">
        <v>155030</v>
      </c>
      <c r="D28" s="20"/>
      <c r="E28" s="20"/>
      <c r="F28" s="72"/>
      <c r="G28" s="72"/>
    </row>
    <row r="29" spans="2:7" ht="30" thickTop="1" thickBot="1" x14ac:dyDescent="0.45">
      <c r="B29" s="4" t="s">
        <v>60</v>
      </c>
      <c r="C29" s="17">
        <v>36787881</v>
      </c>
      <c r="D29" s="17">
        <v>44948486</v>
      </c>
      <c r="E29" s="17">
        <f>D5*29.41254%</f>
        <v>44950847.226040795</v>
      </c>
      <c r="F29" s="81">
        <f>E5*32.844%</f>
        <v>44950843.281960003</v>
      </c>
      <c r="G29" s="81">
        <f>E5*32.844%</f>
        <v>44950843.281960003</v>
      </c>
    </row>
    <row r="30" spans="2:7" ht="21.75" customHeight="1" thickTop="1" thickBot="1" x14ac:dyDescent="0.45">
      <c r="B30" s="7" t="s">
        <v>29</v>
      </c>
      <c r="C30" s="18">
        <v>4227508</v>
      </c>
      <c r="D30" s="18"/>
      <c r="E30" s="18"/>
      <c r="F30" s="73"/>
      <c r="G30" s="73"/>
    </row>
    <row r="31" spans="2:7" ht="30" thickTop="1" thickBot="1" x14ac:dyDescent="0.45">
      <c r="B31" s="4" t="s">
        <v>61</v>
      </c>
      <c r="C31" s="14">
        <v>808525</v>
      </c>
      <c r="D31" s="14">
        <v>829308</v>
      </c>
      <c r="E31" s="14">
        <f>D5*0.548%</f>
        <v>837502.1089600001</v>
      </c>
      <c r="F31" s="91">
        <f>E5*0.612%</f>
        <v>837593.35307999991</v>
      </c>
      <c r="G31" s="91">
        <f>F5*0.612%</f>
        <v>837593.35307999991</v>
      </c>
    </row>
    <row r="32" spans="2:7" ht="30" thickTop="1" thickBot="1" x14ac:dyDescent="0.45">
      <c r="B32" s="4" t="s">
        <v>62</v>
      </c>
      <c r="C32" s="14">
        <v>4851149</v>
      </c>
      <c r="D32" s="14">
        <v>4975847</v>
      </c>
      <c r="E32" s="14">
        <f>D5*3.25612%</f>
        <v>4976290.8157423995</v>
      </c>
      <c r="F32" s="91">
        <f>E5*3.636%</f>
        <v>4976289.9212400001</v>
      </c>
      <c r="G32" s="91">
        <f>F5*3.636%</f>
        <v>4976289.9212400001</v>
      </c>
    </row>
    <row r="33" spans="2:7" ht="30" thickTop="1" thickBot="1" x14ac:dyDescent="0.45">
      <c r="B33" s="4" t="s">
        <v>63</v>
      </c>
      <c r="C33" s="14">
        <v>2425575</v>
      </c>
      <c r="D33" s="14">
        <v>2487924</v>
      </c>
      <c r="E33" s="14">
        <f>D5*1.612%</f>
        <v>2463601.0942400005</v>
      </c>
      <c r="F33" s="91">
        <f>E5*1.8%</f>
        <v>2463509.8620000002</v>
      </c>
      <c r="G33" s="91">
        <f>F5*1.8%</f>
        <v>2463509.8620000002</v>
      </c>
    </row>
    <row r="34" spans="2:7" ht="30" thickTop="1" thickBot="1" x14ac:dyDescent="0.45">
      <c r="B34" s="4" t="s">
        <v>64</v>
      </c>
      <c r="C34" s="14">
        <v>19404596</v>
      </c>
      <c r="D34" s="14">
        <v>19903389</v>
      </c>
      <c r="E34" s="14">
        <f>D5*12.896%</f>
        <v>19708808.753920004</v>
      </c>
      <c r="F34" s="91">
        <f>E5*14.4%</f>
        <v>19708078.896000002</v>
      </c>
      <c r="G34" s="91">
        <f>F5*14.4%</f>
        <v>19708078.896000002</v>
      </c>
    </row>
    <row r="35" spans="2:7" ht="37.200000000000003" customHeight="1" thickTop="1" thickBot="1" x14ac:dyDescent="0.45">
      <c r="B35" s="4" t="s">
        <v>65</v>
      </c>
      <c r="C35" s="21">
        <v>3234099</v>
      </c>
      <c r="D35" s="21">
        <v>3317231</v>
      </c>
      <c r="E35" s="21">
        <f>D5*2.203%</f>
        <v>3366819.6095599998</v>
      </c>
      <c r="F35" s="92">
        <f>E5*2.46%</f>
        <v>3366796.8114</v>
      </c>
      <c r="G35" s="92">
        <f>F5*2.46%</f>
        <v>3366796.8114</v>
      </c>
    </row>
    <row r="36" spans="2:7" ht="15.45" thickTop="1" thickBot="1" x14ac:dyDescent="0.45">
      <c r="B36" s="98" t="s">
        <v>54</v>
      </c>
      <c r="C36" s="101"/>
      <c r="D36" s="21">
        <v>280000</v>
      </c>
      <c r="E36" s="21">
        <v>280000</v>
      </c>
      <c r="F36" s="92">
        <v>280000</v>
      </c>
      <c r="G36" s="92">
        <v>280000</v>
      </c>
    </row>
    <row r="37" spans="2:7" ht="15.45" thickTop="1" thickBot="1" x14ac:dyDescent="0.45">
      <c r="B37" s="4" t="s">
        <v>30</v>
      </c>
      <c r="C37" s="21">
        <v>30000000</v>
      </c>
      <c r="D37" s="21">
        <v>40000000</v>
      </c>
      <c r="E37" s="21">
        <v>30000000</v>
      </c>
      <c r="F37" s="21">
        <v>30000000</v>
      </c>
      <c r="G37" s="21">
        <v>30000000</v>
      </c>
    </row>
    <row r="38" spans="2:7" ht="15.45" thickTop="1" thickBot="1" x14ac:dyDescent="0.45">
      <c r="B38" s="24" t="s">
        <v>31</v>
      </c>
      <c r="C38" s="22">
        <v>10215069</v>
      </c>
      <c r="D38" s="22">
        <v>0</v>
      </c>
      <c r="E38" s="22">
        <v>0</v>
      </c>
      <c r="F38" s="83">
        <v>0</v>
      </c>
      <c r="G38" s="83">
        <v>0</v>
      </c>
    </row>
    <row r="39" spans="2:7" ht="20.25" customHeight="1" thickTop="1" thickBot="1" x14ac:dyDescent="0.45">
      <c r="B39" s="49" t="s">
        <v>32</v>
      </c>
      <c r="C39" s="50">
        <f>SUM(C25:C38)</f>
        <v>121518205</v>
      </c>
      <c r="D39" s="50">
        <f>SUM(D25:D38)</f>
        <v>125226004</v>
      </c>
      <c r="E39" s="50">
        <f>SUM(E25:E38)</f>
        <v>115123945.85822321</v>
      </c>
      <c r="F39" s="87">
        <f>SUM(F25:F38)</f>
        <v>115123279.64728001</v>
      </c>
      <c r="G39" s="87">
        <f>SUM(G25:G38)</f>
        <v>115123279.64728001</v>
      </c>
    </row>
    <row r="40" spans="2:7" ht="20.25" customHeight="1" thickTop="1" thickBot="1" x14ac:dyDescent="0.45">
      <c r="B40" s="58"/>
      <c r="C40" s="59"/>
      <c r="D40" s="59"/>
      <c r="E40" s="60"/>
      <c r="F40" s="60"/>
      <c r="G40" s="74"/>
    </row>
    <row r="41" spans="2:7" ht="15.45" thickTop="1" thickBot="1" x14ac:dyDescent="0.45">
      <c r="B41" s="124" t="s">
        <v>33</v>
      </c>
      <c r="C41" s="124"/>
      <c r="D41" s="124"/>
      <c r="E41" s="124"/>
      <c r="F41" s="124"/>
      <c r="G41" s="124"/>
    </row>
    <row r="42" spans="2:7" ht="20.25" customHeight="1" thickTop="1" thickBot="1" x14ac:dyDescent="0.45">
      <c r="B42" s="27" t="s">
        <v>34</v>
      </c>
      <c r="C42" s="13">
        <v>2416476</v>
      </c>
      <c r="D42" s="13">
        <f>(C42*3%)+C42</f>
        <v>2488970.2799999998</v>
      </c>
      <c r="E42" s="13">
        <f>(D42*3%)+D42</f>
        <v>2563639.3883999996</v>
      </c>
      <c r="F42" s="13">
        <f>(E42*3%)+E42</f>
        <v>2640548.5700519998</v>
      </c>
      <c r="G42" s="6">
        <f>(F42*3%)+F42</f>
        <v>2719765.02715356</v>
      </c>
    </row>
    <row r="43" spans="2:7" ht="20.25" customHeight="1" thickTop="1" thickBot="1" x14ac:dyDescent="0.45">
      <c r="B43" s="12" t="s">
        <v>35</v>
      </c>
      <c r="C43" s="63">
        <f>2460353+2542538+2000000</f>
        <v>7002891</v>
      </c>
      <c r="D43" s="63">
        <v>3313040</v>
      </c>
      <c r="E43" s="63">
        <v>19182600</v>
      </c>
      <c r="F43" s="63">
        <v>27082712</v>
      </c>
      <c r="G43" s="63">
        <v>7575251</v>
      </c>
    </row>
    <row r="44" spans="2:7" ht="20.25" customHeight="1" thickTop="1" thickBot="1" x14ac:dyDescent="0.45">
      <c r="B44" s="12" t="s">
        <v>36</v>
      </c>
      <c r="C44" s="63">
        <v>29050137</v>
      </c>
      <c r="D44" s="63">
        <f>(C44*10%)+C44</f>
        <v>31955150.699999999</v>
      </c>
      <c r="E44" s="63">
        <f>D44</f>
        <v>31955150.699999999</v>
      </c>
      <c r="F44" s="96">
        <f>E44</f>
        <v>31955150.699999999</v>
      </c>
      <c r="G44" s="96">
        <f>F44</f>
        <v>31955150.699999999</v>
      </c>
    </row>
    <row r="45" spans="2:7" ht="20.25" customHeight="1" thickTop="1" thickBot="1" x14ac:dyDescent="0.45">
      <c r="B45" s="88" t="s">
        <v>37</v>
      </c>
      <c r="C45" s="89">
        <v>46112303</v>
      </c>
      <c r="D45" s="89">
        <v>40161550</v>
      </c>
      <c r="E45" s="89">
        <v>11359029</v>
      </c>
      <c r="F45" s="108">
        <v>15443886</v>
      </c>
      <c r="G45" s="107" t="s">
        <v>5</v>
      </c>
    </row>
    <row r="46" spans="2:7" ht="20.25" customHeight="1" thickTop="1" thickBot="1" x14ac:dyDescent="0.45">
      <c r="B46" s="36" t="s">
        <v>38</v>
      </c>
      <c r="C46" s="37">
        <v>4862653</v>
      </c>
      <c r="D46" s="38">
        <f>(C46*3%)+C46+481241</f>
        <v>5489773.5899999999</v>
      </c>
      <c r="E46" s="38">
        <f>(D46*3%)+D46+343744</f>
        <v>5998210.7977</v>
      </c>
      <c r="F46" s="69">
        <f>(E46*3%)+E46</f>
        <v>6178157.1216310002</v>
      </c>
      <c r="G46" s="69">
        <f>(F46*3%)+F46</f>
        <v>6363501.8352799304</v>
      </c>
    </row>
    <row r="47" spans="2:7" ht="20.25" customHeight="1" thickTop="1" thickBot="1" x14ac:dyDescent="0.45">
      <c r="B47" s="29" t="s">
        <v>56</v>
      </c>
      <c r="C47" s="8">
        <v>6918836</v>
      </c>
      <c r="D47" s="39">
        <f>(C47*3%)+C47</f>
        <v>7126401.0800000001</v>
      </c>
      <c r="E47" s="39">
        <f>(D47*3%)+D47</f>
        <v>7340193.1124</v>
      </c>
      <c r="F47" s="70">
        <f>(E47*3%)+E47</f>
        <v>7560398.9057719996</v>
      </c>
      <c r="G47" s="70">
        <f>(F47*3%)+F47</f>
        <v>7787210.8729451597</v>
      </c>
    </row>
    <row r="48" spans="2:7" ht="20.25" customHeight="1" thickTop="1" thickBot="1" x14ac:dyDescent="0.45">
      <c r="B48" s="31" t="s">
        <v>57</v>
      </c>
      <c r="C48" s="25"/>
      <c r="D48" s="25"/>
      <c r="E48" s="106">
        <v>2060000</v>
      </c>
      <c r="F48" s="106">
        <f t="shared" ref="F48:G48" si="3">(E48*3%)+E48</f>
        <v>2121800</v>
      </c>
      <c r="G48" s="106">
        <f t="shared" si="3"/>
        <v>2185454</v>
      </c>
    </row>
    <row r="49" spans="2:8" ht="20.25" customHeight="1" thickTop="1" thickBot="1" x14ac:dyDescent="0.45">
      <c r="B49" s="31" t="s">
        <v>39</v>
      </c>
      <c r="C49" s="26">
        <v>140000</v>
      </c>
      <c r="D49" s="26">
        <f t="shared" ref="D49:E50" si="4">(C49*3%)+C49</f>
        <v>144200</v>
      </c>
      <c r="E49" s="26">
        <f t="shared" si="4"/>
        <v>148526</v>
      </c>
      <c r="F49" s="26">
        <f>(D49*3%)+D49</f>
        <v>148526</v>
      </c>
      <c r="G49" s="26">
        <f>(E49*3%)+E49</f>
        <v>152981.78</v>
      </c>
    </row>
    <row r="50" spans="2:8" ht="20.25" customHeight="1" thickTop="1" thickBot="1" x14ac:dyDescent="0.45">
      <c r="B50" s="102" t="s">
        <v>40</v>
      </c>
      <c r="C50" s="103">
        <v>41000</v>
      </c>
      <c r="D50" s="103">
        <f t="shared" si="4"/>
        <v>42230</v>
      </c>
      <c r="E50" s="103">
        <f t="shared" si="4"/>
        <v>43496.9</v>
      </c>
      <c r="F50" s="103">
        <f>(D50*3%)+D50</f>
        <v>43496.9</v>
      </c>
      <c r="G50" s="103">
        <f>(E50*3%)+E50</f>
        <v>44801.807000000001</v>
      </c>
    </row>
    <row r="51" spans="2:8" ht="20.25" customHeight="1" thickTop="1" thickBot="1" x14ac:dyDescent="0.45">
      <c r="B51" s="98" t="s">
        <v>53</v>
      </c>
      <c r="C51" s="99">
        <v>290000</v>
      </c>
      <c r="D51" s="100"/>
      <c r="E51" s="100"/>
      <c r="F51" s="100"/>
      <c r="G51" s="104"/>
    </row>
    <row r="52" spans="2:8" ht="15.45" thickTop="1" thickBot="1" x14ac:dyDescent="0.45">
      <c r="B52" s="51" t="s">
        <v>41</v>
      </c>
      <c r="C52" s="52">
        <f>SUM(C42:C51)</f>
        <v>96834296</v>
      </c>
      <c r="D52" s="52">
        <f>SUM(D42:D51)</f>
        <v>90721315.649999991</v>
      </c>
      <c r="E52" s="52">
        <f>SUM(E42:E51)</f>
        <v>80650845.898499995</v>
      </c>
      <c r="F52" s="52">
        <f>SUM(F42:F51)</f>
        <v>93174676.197455004</v>
      </c>
      <c r="G52" s="105">
        <f>SUM(G42:G51)</f>
        <v>58784117.022378638</v>
      </c>
    </row>
    <row r="53" spans="2:8" ht="15.45" thickTop="1" thickBot="1" x14ac:dyDescent="0.45">
      <c r="B53" s="122" t="s">
        <v>42</v>
      </c>
      <c r="C53" s="123"/>
      <c r="D53" s="123"/>
      <c r="E53" s="123"/>
      <c r="F53" s="123"/>
      <c r="G53" s="125"/>
    </row>
    <row r="54" spans="2:8" ht="20.25" customHeight="1" thickTop="1" thickBot="1" x14ac:dyDescent="0.45">
      <c r="B54" s="30" t="s">
        <v>43</v>
      </c>
      <c r="C54" s="23">
        <v>500000</v>
      </c>
      <c r="D54" s="23">
        <f>C54</f>
        <v>500000</v>
      </c>
      <c r="E54" s="23">
        <f>D54</f>
        <v>500000</v>
      </c>
      <c r="F54" s="71">
        <f>E54</f>
        <v>500000</v>
      </c>
      <c r="G54" s="71">
        <f>F54</f>
        <v>500000</v>
      </c>
    </row>
    <row r="55" spans="2:8" ht="15.45" thickTop="1" thickBot="1" x14ac:dyDescent="0.45">
      <c r="B55" s="29" t="s">
        <v>44</v>
      </c>
      <c r="C55" s="61">
        <v>50000</v>
      </c>
      <c r="D55" s="61">
        <v>50000</v>
      </c>
      <c r="E55" s="61">
        <v>50000</v>
      </c>
      <c r="F55" s="86">
        <v>50000</v>
      </c>
      <c r="G55" s="86">
        <v>50000</v>
      </c>
    </row>
    <row r="56" spans="2:8" ht="20.25" customHeight="1" thickTop="1" thickBot="1" x14ac:dyDescent="0.45">
      <c r="B56" s="30" t="s">
        <v>45</v>
      </c>
      <c r="C56" s="23">
        <v>350000</v>
      </c>
      <c r="D56" s="23">
        <f>(C56*5%)+C56</f>
        <v>367500</v>
      </c>
      <c r="E56" s="23">
        <f t="shared" ref="E56:G58" si="5">D56</f>
        <v>367500</v>
      </c>
      <c r="F56" s="71">
        <f t="shared" si="5"/>
        <v>367500</v>
      </c>
      <c r="G56" s="71">
        <f t="shared" si="5"/>
        <v>367500</v>
      </c>
    </row>
    <row r="57" spans="2:8" ht="20.25" customHeight="1" thickTop="1" thickBot="1" x14ac:dyDescent="0.45">
      <c r="B57" s="29" t="s">
        <v>46</v>
      </c>
      <c r="C57" s="23">
        <v>500000</v>
      </c>
      <c r="D57" s="23">
        <f>(C57*5%)+C57</f>
        <v>525000</v>
      </c>
      <c r="E57" s="23">
        <f t="shared" si="5"/>
        <v>525000</v>
      </c>
      <c r="F57" s="71">
        <f t="shared" si="5"/>
        <v>525000</v>
      </c>
      <c r="G57" s="71">
        <f t="shared" si="5"/>
        <v>525000</v>
      </c>
    </row>
    <row r="58" spans="2:8" ht="15.45" thickTop="1" thickBot="1" x14ac:dyDescent="0.45">
      <c r="B58" s="29" t="s">
        <v>47</v>
      </c>
      <c r="C58" s="93">
        <v>200000</v>
      </c>
      <c r="D58" s="93">
        <f>(C58*5%)+C58</f>
        <v>210000</v>
      </c>
      <c r="E58" s="93">
        <f t="shared" si="5"/>
        <v>210000</v>
      </c>
      <c r="F58" s="94">
        <f t="shared" si="5"/>
        <v>210000</v>
      </c>
      <c r="G58" s="94">
        <f t="shared" si="5"/>
        <v>210000</v>
      </c>
    </row>
    <row r="59" spans="2:8" ht="15.45" thickTop="1" thickBot="1" x14ac:dyDescent="0.45">
      <c r="B59" s="53" t="s">
        <v>48</v>
      </c>
      <c r="C59" s="54">
        <f>SUM(C54:C58)</f>
        <v>1600000</v>
      </c>
      <c r="D59" s="54">
        <f>SUM(D54:D58)</f>
        <v>1652500</v>
      </c>
      <c r="E59" s="55">
        <f>SUM(E54:E58)</f>
        <v>1652500</v>
      </c>
      <c r="F59" s="90">
        <f>SUM(F54:F58)</f>
        <v>1652500</v>
      </c>
      <c r="G59" s="90">
        <f>SUM(G54:G58)</f>
        <v>1652500</v>
      </c>
      <c r="H59" s="1" t="s">
        <v>5</v>
      </c>
    </row>
    <row r="60" spans="2:8" ht="15" thickBot="1" x14ac:dyDescent="0.45">
      <c r="B60" s="32"/>
      <c r="E60" s="28"/>
      <c r="F60" s="75"/>
      <c r="G60" s="75"/>
    </row>
    <row r="61" spans="2:8" ht="15.45" thickTop="1" thickBot="1" x14ac:dyDescent="0.45">
      <c r="B61" s="56" t="s">
        <v>49</v>
      </c>
      <c r="C61" s="42">
        <f>C59+C52+C39+C23</f>
        <v>227767708</v>
      </c>
      <c r="D61" s="42">
        <f t="shared" ref="D61:G61" si="6">D59+D52+D39+D23</f>
        <v>232889863.37999997</v>
      </c>
      <c r="E61" s="42">
        <f t="shared" si="6"/>
        <v>205114024.96049821</v>
      </c>
      <c r="F61" s="42">
        <f t="shared" si="6"/>
        <v>217687003.28851002</v>
      </c>
      <c r="G61" s="42">
        <f t="shared" si="6"/>
        <v>183496955.32071254</v>
      </c>
    </row>
    <row r="62" spans="2:8" ht="15.45" thickTop="1" thickBot="1" x14ac:dyDescent="0.45">
      <c r="B62" s="33" t="s">
        <v>5</v>
      </c>
      <c r="E62" s="28"/>
      <c r="F62" s="75"/>
      <c r="G62" s="75"/>
    </row>
    <row r="63" spans="2:8" ht="15.45" thickTop="1" thickBot="1" x14ac:dyDescent="0.45">
      <c r="B63" s="44" t="s">
        <v>50</v>
      </c>
      <c r="C63" s="57">
        <f>C7-C61</f>
        <v>198643814.54999995</v>
      </c>
      <c r="D63" s="57">
        <f>D7-D61</f>
        <v>123919751.16999999</v>
      </c>
      <c r="E63" s="109">
        <f>E7-E61</f>
        <v>58490260.209501773</v>
      </c>
      <c r="F63" s="110">
        <f>F7-F61</f>
        <v>-21057807.349008262</v>
      </c>
      <c r="G63" s="110">
        <f>G7-G61</f>
        <v>-67426959.669720799</v>
      </c>
    </row>
    <row r="64" spans="2:8" ht="15" thickTop="1" x14ac:dyDescent="0.4"/>
  </sheetData>
  <mergeCells count="5">
    <mergeCell ref="B1:G2"/>
    <mergeCell ref="B24:G24"/>
    <mergeCell ref="B9:G9"/>
    <mergeCell ref="B41:G41"/>
    <mergeCell ref="B53:G53"/>
  </mergeCells>
  <phoneticPr fontId="2" type="noConversion"/>
  <printOptions horizontalCentered="1"/>
  <pageMargins left="0.22" right="0.22" top="0.5" bottom="0.5" header="0.2" footer="0.2"/>
  <pageSetup scale="88" fitToHeight="0" orientation="landscape" r:id="rId1"/>
  <headerFooter alignWithMargins="0">
    <oddHeader xml:space="preserve">&amp;C&amp;"Calibri,Bold"&amp;16D.T.C.  1-1 Attachment B-$1.25 Surcharge
</oddHead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FY23-27 Budgets</vt:lpstr>
      <vt:lpstr>'FY23-27 Budgets'!Print_Area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maura.mcmillan</dc:creator>
  <cp:keywords/>
  <dc:description/>
  <cp:lastModifiedBy>Green, Shonda (DTC)</cp:lastModifiedBy>
  <cp:revision/>
  <cp:lastPrinted>2022-12-06T19:42:19Z</cp:lastPrinted>
  <dcterms:created xsi:type="dcterms:W3CDTF">2007-06-15T13:28:22Z</dcterms:created>
  <dcterms:modified xsi:type="dcterms:W3CDTF">2023-10-13T11:55:00Z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