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40" windowWidth="15060" windowHeight="7650" tabRatio="848" activeTab="0"/>
  </bookViews>
  <sheets>
    <sheet name="Summary" sheetId="1" r:id="rId1"/>
    <sheet name="Cap" sheetId="2" r:id="rId2"/>
    <sheet name="Actuals" sheetId="3" r:id="rId3"/>
    <sheet name="SNCP" sheetId="4" r:id="rId4"/>
    <sheet name="CMS-64" sheetId="5" r:id="rId5"/>
    <sheet name="Adjustments" sheetId="6" r:id="rId6"/>
    <sheet name="Hypotheticals" sheetId="7" r:id="rId7"/>
    <sheet name="CH Demonstration" sheetId="8" r:id="rId8"/>
  </sheets>
  <externalReferences>
    <externalReference r:id="rId11"/>
  </externalReferences>
  <definedNames>
    <definedName name="NDCPRACT" localSheetId="2">#REF!+#REF!</definedName>
    <definedName name="NDCPRACT" localSheetId="0">#REF!+#REF!</definedName>
    <definedName name="NDCPRACT">#REF!+#REF!</definedName>
    <definedName name="_xlnm.Print_Area" localSheetId="2">'Actuals'!$A$1:$L$35</definedName>
    <definedName name="_xlnm.Print_Area" localSheetId="5">'Adjustments'!$A$1:$J$125</definedName>
    <definedName name="_xlnm.Print_Area" localSheetId="1">'Cap'!$A$1:$R$58</definedName>
    <definedName name="_xlnm.Print_Area" localSheetId="0">'Summary'!$B$1:$E$43</definedName>
    <definedName name="_xlnm.Print_Titles" localSheetId="2">'Actuals'!$A:$A</definedName>
    <definedName name="_xlnm.Print_Titles" localSheetId="1">'Cap'!$A:$A</definedName>
    <definedName name="Z_5F5CC6D9_DB99_46E1_85E8_FA7FF0E82527_.wvu.Cols" localSheetId="1" hidden="1">'Cap'!#REF!,'Cap'!#REF!</definedName>
    <definedName name="Z_5F5CC6D9_DB99_46E1_85E8_FA7FF0E82527_.wvu.Cols" localSheetId="0" hidden="1">'Summary'!#REF!</definedName>
    <definedName name="Z_5F5CC6D9_DB99_46E1_85E8_FA7FF0E82527_.wvu.PrintArea" localSheetId="2" hidden="1">'Actuals'!$A$1:$S$35</definedName>
    <definedName name="Z_5F5CC6D9_DB99_46E1_85E8_FA7FF0E82527_.wvu.PrintArea" localSheetId="1" hidden="1">'Cap'!$A$1:$S$59</definedName>
    <definedName name="Z_5F5CC6D9_DB99_46E1_85E8_FA7FF0E82527_.wvu.PrintArea" localSheetId="0" hidden="1">'Summary'!$B$1:$E$45</definedName>
    <definedName name="Z_5F5CC6D9_DB99_46E1_85E8_FA7FF0E82527_.wvu.PrintTitles" localSheetId="2" hidden="1">'Actuals'!$A:$A</definedName>
    <definedName name="Z_5F5CC6D9_DB99_46E1_85E8_FA7FF0E82527_.wvu.PrintTitles" localSheetId="1" hidden="1">'Cap'!$A:$A</definedName>
  </definedNames>
  <calcPr fullCalcOnLoad="1"/>
</workbook>
</file>

<file path=xl/comments6.xml><?xml version="1.0" encoding="utf-8"?>
<comments xmlns="http://schemas.openxmlformats.org/spreadsheetml/2006/main">
  <authors>
    <author>Aron I Boros</author>
  </authors>
  <commentList>
    <comment ref="E15" authorId="0">
      <text>
        <r>
          <rPr>
            <sz val="10"/>
            <rFont val="Tahoma"/>
            <family val="0"/>
          </rPr>
          <t>Completion Factor not applied to IRP</t>
        </r>
      </text>
    </comment>
    <comment ref="E16" authorId="0">
      <text>
        <r>
          <rPr>
            <sz val="10"/>
            <rFont val="Tahoma"/>
            <family val="0"/>
          </rPr>
          <t>Completion Factor not applied to IRP</t>
        </r>
      </text>
    </comment>
  </commentList>
</comments>
</file>

<file path=xl/comments8.xml><?xml version="1.0" encoding="utf-8"?>
<comments xmlns="http://schemas.openxmlformats.org/spreadsheetml/2006/main">
  <authors>
    <author>Aron I Boros</author>
  </authors>
  <commentList>
    <comment ref="B21" authorId="0">
      <text>
        <r>
          <rPr>
            <b/>
            <sz val="10"/>
            <rFont val="Tahoma"/>
            <family val="0"/>
          </rPr>
          <t>Aron I Boros:</t>
        </r>
        <r>
          <rPr>
            <sz val="10"/>
            <rFont val="Tahoma"/>
            <family val="0"/>
          </rPr>
          <t xml:space="preserve">
Updated 6/30/09 from elig &amp; enrollment cube</t>
        </r>
      </text>
    </comment>
  </commentList>
</comments>
</file>

<file path=xl/sharedStrings.xml><?xml version="1.0" encoding="utf-8"?>
<sst xmlns="http://schemas.openxmlformats.org/spreadsheetml/2006/main" count="600" uniqueCount="261">
  <si>
    <t xml:space="preserve">Projected PMPM </t>
  </si>
  <si>
    <t>See CH Demonstration Tab</t>
  </si>
  <si>
    <t>Actual / Projected total expenditures</t>
  </si>
  <si>
    <t xml:space="preserve">Trended PMPM </t>
  </si>
  <si>
    <t>approved trend</t>
  </si>
  <si>
    <t>Trended total expenditures</t>
  </si>
  <si>
    <t>Best total expenditures</t>
  </si>
  <si>
    <t>Best CH Spending</t>
  </si>
  <si>
    <t>Federal Budget Neutrality - Cap</t>
  </si>
  <si>
    <t>Waiver Demonstration</t>
  </si>
  <si>
    <t>Total</t>
  </si>
  <si>
    <t>WY1-SFY98</t>
  </si>
  <si>
    <t>WY02-SFY99</t>
  </si>
  <si>
    <t>WY03-SFY00</t>
  </si>
  <si>
    <t>WY04-SFY01</t>
  </si>
  <si>
    <t>WY05-SFY02</t>
  </si>
  <si>
    <t>WY06-SFY03</t>
  </si>
  <si>
    <t>WY07-SFY04</t>
  </si>
  <si>
    <t>WY08-SFY05</t>
  </si>
  <si>
    <t>WY09-SFY06</t>
  </si>
  <si>
    <t>WY10-SFY07</t>
  </si>
  <si>
    <t>WY11-SFY08</t>
  </si>
  <si>
    <t>MEMBER MONTHS</t>
  </si>
  <si>
    <t>Base Populations Member Months (1)</t>
  </si>
  <si>
    <t>Total Base</t>
  </si>
  <si>
    <t>1902(r)(2) Expansion Member Months (2)</t>
  </si>
  <si>
    <t>Breast and Cervical Cancer Treatment Program</t>
  </si>
  <si>
    <t>Total 1902(r)(2)</t>
  </si>
  <si>
    <t>PER MEMBER PER MONTH COSTS (PMPM)</t>
  </si>
  <si>
    <t>Base Population PMPM</t>
  </si>
  <si>
    <t>1902(r)(2) Population PMPM</t>
  </si>
  <si>
    <t xml:space="preserve">TOTAL EXPENDITURES ( Member Months x PMPM) </t>
  </si>
  <si>
    <t>Base Population Expenditures</t>
  </si>
  <si>
    <t>1902(r)(2) Population Expenditures</t>
  </si>
  <si>
    <t>Total Base + 1902 (r)(2) Expenditures</t>
  </si>
  <si>
    <t>CommonHealth hypothetical</t>
  </si>
  <si>
    <t>DSH</t>
  </si>
  <si>
    <t>TOTAL EXPENDITURES WITH DSH</t>
  </si>
  <si>
    <t>Federal Budget Neutrality Summary</t>
  </si>
  <si>
    <t>State Fiscal Year</t>
  </si>
  <si>
    <t>Date of Service Budget Neutrality Ceiling</t>
  </si>
  <si>
    <t>CMS 64 Waiver Date of Service Expenditures</t>
  </si>
  <si>
    <t>Variance</t>
  </si>
  <si>
    <t>Original Waiver Period</t>
  </si>
  <si>
    <t>SFY98</t>
  </si>
  <si>
    <t>SFY99</t>
  </si>
  <si>
    <t xml:space="preserve">SFY00 </t>
  </si>
  <si>
    <t xml:space="preserve">SFY01 </t>
  </si>
  <si>
    <t>WY1-4</t>
  </si>
  <si>
    <t xml:space="preserve">SFY02 </t>
  </si>
  <si>
    <t>Total -- Original Waiver Period</t>
  </si>
  <si>
    <t>Waiver Extension Period</t>
  </si>
  <si>
    <t>SFY03</t>
  </si>
  <si>
    <t>SFY04</t>
  </si>
  <si>
    <t>SFY05</t>
  </si>
  <si>
    <t>Total -- Waiver Extension</t>
  </si>
  <si>
    <t>Total -- Original Waiver Period Plus First Extension</t>
  </si>
  <si>
    <t>SFY06 Estimated</t>
  </si>
  <si>
    <t>SFY07 Projected</t>
  </si>
  <si>
    <t>SFY08 Projected</t>
  </si>
  <si>
    <t>Remaining "Room"</t>
  </si>
  <si>
    <t>Massachusetts Waiver Expenditures</t>
  </si>
  <si>
    <t>OLD MEGS</t>
  </si>
  <si>
    <t>Actual</t>
  </si>
  <si>
    <t>ACTUAL</t>
  </si>
  <si>
    <t>Projected</t>
  </si>
  <si>
    <t>CATEGORY OF</t>
  </si>
  <si>
    <t>SERVICE</t>
  </si>
  <si>
    <t>WY7 - SFY 2004</t>
  </si>
  <si>
    <t>WY8-SFY2005</t>
  </si>
  <si>
    <t>WY9-SFY2006</t>
  </si>
  <si>
    <t>WY10-SFY2007</t>
  </si>
  <si>
    <t>WY11-SFY2008</t>
  </si>
  <si>
    <t>Standard</t>
  </si>
  <si>
    <t>CommonHealth</t>
  </si>
  <si>
    <t>Basic</t>
  </si>
  <si>
    <t>Limited</t>
  </si>
  <si>
    <t>Boston Pub Hlth Comm</t>
  </si>
  <si>
    <t>Cambridge Pub Hlth Comm</t>
  </si>
  <si>
    <t>Det - MSP</t>
  </si>
  <si>
    <t>MHSPY</t>
  </si>
  <si>
    <t>IRP</t>
  </si>
  <si>
    <t>Essential</t>
  </si>
  <si>
    <t>Breast &amp; Cervical Cancer</t>
  </si>
  <si>
    <t>Subtotal of old MEGs</t>
  </si>
  <si>
    <t>NEW MEGS</t>
  </si>
  <si>
    <t>1902 (r) (2) Children</t>
  </si>
  <si>
    <t>1902 (r) (2) Disabled</t>
  </si>
  <si>
    <t>Base Disabled</t>
  </si>
  <si>
    <t>Base Families</t>
  </si>
  <si>
    <t>Base MCB</t>
  </si>
  <si>
    <t>E - Family Assistance</t>
  </si>
  <si>
    <t>E - HIV/FA</t>
  </si>
  <si>
    <t>BCCTP</t>
  </si>
  <si>
    <t>MSP</t>
  </si>
  <si>
    <t>Subtotal of new MEGs</t>
  </si>
  <si>
    <t>SNCP</t>
  </si>
  <si>
    <t>Second Waiver Extension Period</t>
  </si>
  <si>
    <t>Third Waiver Extension Period</t>
  </si>
  <si>
    <t>SFY09 Projected</t>
  </si>
  <si>
    <t>SFY10 Projected</t>
  </si>
  <si>
    <t>SFY11 Projected</t>
  </si>
  <si>
    <t>Total -- Original Waiver Period Plus First and Second Extensions</t>
  </si>
  <si>
    <t>WY12-SFY09</t>
  </si>
  <si>
    <t>WY13-SFY10</t>
  </si>
  <si>
    <t>WY14-SFY11</t>
  </si>
  <si>
    <t>Trend Rates</t>
  </si>
  <si>
    <t>WY12-SFY2009</t>
  </si>
  <si>
    <t>WY13-SFY2010</t>
  </si>
  <si>
    <t>WY14-SFY2011</t>
  </si>
  <si>
    <t>SFY 2006</t>
  </si>
  <si>
    <t>PMPM</t>
  </si>
  <si>
    <t>SFY 2007</t>
  </si>
  <si>
    <t>SFY 2008</t>
  </si>
  <si>
    <t>SFY 2009</t>
  </si>
  <si>
    <t>Member months</t>
  </si>
  <si>
    <t>SFY 2010</t>
  </si>
  <si>
    <t>SFY 2011</t>
  </si>
  <si>
    <t>Total Base + 1902 (r)(2) + hypotheticals</t>
  </si>
  <si>
    <t>Parents</t>
  </si>
  <si>
    <t>Total spending</t>
  </si>
  <si>
    <t>WY01-SFY98</t>
  </si>
  <si>
    <t>Trended baseline CommonHealth costs</t>
  </si>
  <si>
    <t>Base year: SFY 2006</t>
  </si>
  <si>
    <t>Approved trend rates: 7.0% through SFY 2008, 7.61% through SFY 2011</t>
  </si>
  <si>
    <t>Part D spending</t>
  </si>
  <si>
    <t>This calculation is based on the same data used for the adjustment from the 2006 amendment</t>
  </si>
  <si>
    <t>Net spending</t>
  </si>
  <si>
    <t>Trend through SFY 2011</t>
  </si>
  <si>
    <t>Projected spending using PMPM</t>
  </si>
  <si>
    <t>Actual CommonHealth per member per month cost experience</t>
  </si>
  <si>
    <t>Actual/projected spending</t>
  </si>
  <si>
    <t>CommCare</t>
  </si>
  <si>
    <t>Individuals aged 19 and 20</t>
  </si>
  <si>
    <t>These individuals are currently found in Commonwealth Care and MassHealth Essential</t>
  </si>
  <si>
    <t>Projected member months, using Commonwealth Care/Essential trend factors</t>
  </si>
  <si>
    <t>Projected total expenditures</t>
  </si>
  <si>
    <t>These individuals are currently found in Commonwealth Care</t>
  </si>
  <si>
    <t>STC language</t>
  </si>
  <si>
    <t>DSHP</t>
  </si>
  <si>
    <t>3-yr SNCP</t>
  </si>
  <si>
    <t>CommCare Parents hypothetical</t>
  </si>
  <si>
    <t>Essential 19-20 hypothetical</t>
  </si>
  <si>
    <t>CommCare 19-20 hypothetical</t>
  </si>
  <si>
    <t>CommCare Parents</t>
  </si>
  <si>
    <t>CommCare 19-20</t>
  </si>
  <si>
    <t>Essential 19-20</t>
  </si>
  <si>
    <t>#</t>
  </si>
  <si>
    <t>Type</t>
  </si>
  <si>
    <t>Eligible providers</t>
  </si>
  <si>
    <t>Total SNCP expenditure per SFY</t>
  </si>
  <si>
    <t>total</t>
  </si>
  <si>
    <t>3-year</t>
  </si>
  <si>
    <t>footnotes</t>
  </si>
  <si>
    <t>Applicable</t>
  </si>
  <si>
    <t>State law or</t>
  </si>
  <si>
    <t>regulation</t>
  </si>
  <si>
    <t>caps</t>
  </si>
  <si>
    <t>Public Service Hospital Safety
Net Care Payment</t>
  </si>
  <si>
    <t>Provider</t>
  </si>
  <si>
    <t>Boston Medical Center
Cambridge Health Alliance</t>
  </si>
  <si>
    <t>(1)</t>
  </si>
  <si>
    <t>Health Safety Net Trust Fund
Safety Net Care Payment</t>
  </si>
  <si>
    <t>114.6 CMR
13.00, 
14.00</t>
  </si>
  <si>
    <t>All acute hospitals</t>
  </si>
  <si>
    <t>(2)</t>
  </si>
  <si>
    <t>Section 122 of Chapter 58
Safety Net Health System
Payments</t>
  </si>
  <si>
    <t>S. 122 of C.
58 (2006)</t>
  </si>
  <si>
    <t>(3)</t>
  </si>
  <si>
    <t>(4)</t>
  </si>
  <si>
    <t>Institutions for Mental Disease
(IMD)</t>
  </si>
  <si>
    <t>130 CMR
425.408,
114.3 CMR
46.04</t>
  </si>
  <si>
    <t>Psychiatric Inpatient Hospitals
Community-based detoxification
centers</t>
  </si>
  <si>
    <t>Special Population State-Owned
Non-Acute Hospitals Operated
by the Department of Public
Health</t>
  </si>
  <si>
    <t>Shattuck Hospital
Tewksbury Hospital
Massachusetts Hospital School
Western Massachusetts Hospital</t>
  </si>
  <si>
    <t>(5)</t>
  </si>
  <si>
    <t>State-Owned Non-Acute
Hospitals Operated by the
Department of Mental Health</t>
  </si>
  <si>
    <t>Cape Cod and Islands Mental
Health Center
Corrigan Mental Health Center
Lindemann Mental Health Center
Quincy Mental Health Center
SC Fuller Mental Health Center
Taunton State Hospital
Westborough State Hospital
Worcester State Hospital</t>
  </si>
  <si>
    <t>(6)</t>
  </si>
  <si>
    <t>Designated State Health
Programs</t>
  </si>
  <si>
    <t>n/a</t>
  </si>
  <si>
    <t>Commonwealth Care</t>
  </si>
  <si>
    <t>C. 58
(2006)</t>
  </si>
  <si>
    <t>See 'SNCP' tab</t>
  </si>
  <si>
    <t>Cap</t>
  </si>
  <si>
    <t>Over/under</t>
  </si>
  <si>
    <t>WY 11</t>
  </si>
  <si>
    <t>WY 09</t>
  </si>
  <si>
    <t xml:space="preserve">WY 10 </t>
  </si>
  <si>
    <t>2.  Reclass Aid Cat 53 (CH non-working) as BD</t>
  </si>
  <si>
    <t>Correction</t>
  </si>
  <si>
    <t>Member Months</t>
  </si>
  <si>
    <t>N/A</t>
  </si>
  <si>
    <t>Projected / Actual member months</t>
  </si>
  <si>
    <t>1</t>
  </si>
  <si>
    <t>2</t>
  </si>
  <si>
    <t>3</t>
  </si>
  <si>
    <t>4</t>
  </si>
  <si>
    <t>5</t>
  </si>
  <si>
    <t>6</t>
  </si>
  <si>
    <t>7</t>
  </si>
  <si>
    <t>8</t>
  </si>
  <si>
    <t>9</t>
  </si>
  <si>
    <t>10</t>
  </si>
  <si>
    <t>11</t>
  </si>
  <si>
    <t>12</t>
  </si>
  <si>
    <t>13</t>
  </si>
  <si>
    <t>Old MEGs Subtotal</t>
  </si>
  <si>
    <t>New MEGs Subtotal</t>
  </si>
  <si>
    <t>Total (everything)</t>
  </si>
  <si>
    <t>DSH/SNCP Subtotal</t>
  </si>
  <si>
    <t>Subtotal (non-DSH)</t>
  </si>
  <si>
    <t>MEGs</t>
  </si>
  <si>
    <t>WY 12</t>
  </si>
  <si>
    <t>Supps</t>
  </si>
  <si>
    <t>Apply Completion</t>
  </si>
  <si>
    <t>1.  SFY2009: Remove supps; apply Completion Factor</t>
  </si>
  <si>
    <t>MEG</t>
  </si>
  <si>
    <t>WY11-SFY2010</t>
  </si>
  <si>
    <t>WY11-SFY2011</t>
  </si>
  <si>
    <t>WY12-SFY2009 excl. supps</t>
  </si>
  <si>
    <t>As of Period Ended 09/30/2009</t>
  </si>
  <si>
    <t>Reported/Projected on CMS-64.9W</t>
  </si>
  <si>
    <t>Actuals</t>
  </si>
  <si>
    <t>Total Waiver Member Months</t>
  </si>
  <si>
    <t>Hypothetical Population Expenditures</t>
  </si>
  <si>
    <t>Disabled</t>
  </si>
  <si>
    <t>Kids</t>
  </si>
  <si>
    <t>Families</t>
  </si>
  <si>
    <t>Disabled/MCB</t>
  </si>
  <si>
    <t>MCB</t>
  </si>
  <si>
    <t>Room Under the Budget Neutrality Cap</t>
  </si>
  <si>
    <t>Current Demonstration Period</t>
  </si>
  <si>
    <t>Tie to MBES</t>
  </si>
  <si>
    <t>WY 12 SNCP Payments not included here (see SNCP tab)</t>
  </si>
  <si>
    <t>Adjusted MBES</t>
  </si>
  <si>
    <t>2009 Completion Percentage</t>
  </si>
  <si>
    <t>Adjusted Actuals</t>
  </si>
  <si>
    <t>Difference</t>
  </si>
  <si>
    <t>Expenditures Reported on CMS-64.9W</t>
  </si>
  <si>
    <t>Adjustments to CMS-64 to reflect actual/projected expenditures</t>
  </si>
  <si>
    <t>Hypothetical Population Analysis</t>
  </si>
  <si>
    <t>As of Period Ended 9/30/09</t>
  </si>
  <si>
    <t>Outstanding Hospital Payments</t>
  </si>
  <si>
    <t>QE 12/09 correction to QE 6/09 recert</t>
  </si>
  <si>
    <t>Forthcoming SNCP reconciliation adjustments</t>
  </si>
  <si>
    <t>CommCare hypothetical populations</t>
  </si>
  <si>
    <t>Infrastructure and Capacity-Building for Acute Hospitals and Community Health Centers</t>
  </si>
  <si>
    <t>Transitional Relief for Private Hospitals</t>
  </si>
  <si>
    <t>Infrastructure</t>
  </si>
  <si>
    <t>4000-0500</t>
  </si>
  <si>
    <t>TBD</t>
  </si>
  <si>
    <t>Acute hospitals and community health centers</t>
  </si>
  <si>
    <t>All private acute hospitals</t>
  </si>
  <si>
    <t>(7)</t>
  </si>
  <si>
    <t>(8)</t>
  </si>
  <si>
    <t>Chart A: Approved SNCP expenditures for dates of service in SFY 2009-2011 (projected and rounded)</t>
  </si>
  <si>
    <t>3.  Add correction for QE 6/09 recert</t>
  </si>
  <si>
    <t>4.  Trend to future years</t>
  </si>
  <si>
    <t>3. Add Outstanding SFY 2007-2009 State Plan supplemental payments plus payments removed in step 1</t>
  </si>
  <si>
    <t>Projected member months, using overall Comm Care trend - these parents are related to already-eligible MassHealth children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</si>
</sst>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_);_(* \(#,##0\);_(* &quot;-&quot;??_);_(@_)"/>
    <numFmt numFmtId="168" formatCode="&quot;$&quot;#,##0"/>
    <numFmt numFmtId="169" formatCode="&quot;$&quot;#,##0.00"/>
    <numFmt numFmtId="170" formatCode="&quot;$&quot;#,##0.0"/>
    <numFmt numFmtId="171" formatCode="_(&quot;$&quot;* #,##0.0_);_(&quot;$&quot;* \(#,##0.0\);_(&quot;$&quot;* &quot;-&quot;?_);_(@_)"/>
    <numFmt numFmtId="172" formatCode="[$$-409]#,##0.00;\([$$-409]#,##0.00\)"/>
    <numFmt numFmtId="173" formatCode="mmm\ d\,\ yyyy;@"/>
    <numFmt numFmtId="174" formatCode="h\:mm\:ss\ AM/PM;@"/>
    <numFmt numFmtId="175" formatCode="#0"/>
    <numFmt numFmtId="176" formatCode="#,##0.000"/>
    <numFmt numFmtId="177" formatCode="0.00000%"/>
    <numFmt numFmtId="178" formatCode="[$$-409]#,##0.00_);\([$$-409]#,##0.00\)"/>
    <numFmt numFmtId="179" formatCode="[$-409]mmmm\-yy;@"/>
    <numFmt numFmtId="180" formatCode="_(* #,##0.0_);_(* \(#,##0.0\);_(* &quot;-&quot;??_);_(@_)"/>
    <numFmt numFmtId="181" formatCode="[$-409]mmm\-yy;@"/>
    <numFmt numFmtId="182" formatCode="[$-409]d\-mmm\-yyyy;@"/>
    <numFmt numFmtId="183" formatCode="#,##0.000000000_);\(#,##0.000000000\)"/>
    <numFmt numFmtId="184" formatCode="_(&quot;$&quot;* #,##0.000000000_);_(&quot;$&quot;* \(#,##0.000000000\);_(&quot;$&quot;* &quot;-&quot;?????????_);_(@_)"/>
    <numFmt numFmtId="185" formatCode="_(&quot;$&quot;* #,##0.0000000_);_(&quot;$&quot;* \(#,##0.0000000\);_(&quot;$&quot;* &quot;-&quot;???????_);_(@_)"/>
    <numFmt numFmtId="186" formatCode="_(&quot;$&quot;* #,##0.00000000000_);_(&quot;$&quot;* \(#,##0.00000000000\);_(&quot;$&quot;* &quot;-&quot;???????????_);_(@_)"/>
    <numFmt numFmtId="187" formatCode="_(&quot;$&quot;* #,##0.0000000000_);_(&quot;$&quot;* \(#,##0.0000000000\);_(&quot;$&quot;* &quot;-&quot;??????????_);_(@_)"/>
    <numFmt numFmtId="188" formatCode="_(&quot;$&quot;* #,##0.00000000_);_(&quot;$&quot;* \(#,##0.00000000\);_(&quot;$&quot;* &quot;-&quot;????????_);_(@_)"/>
  </numFmts>
  <fonts count="21">
    <font>
      <sz val="10"/>
      <name val="Arial"/>
      <family val="0"/>
    </font>
    <font>
      <u val="single"/>
      <sz val="7.5"/>
      <color indexed="36"/>
      <name val="Helv"/>
      <family val="0"/>
    </font>
    <font>
      <u val="single"/>
      <sz val="7.5"/>
      <color indexed="12"/>
      <name val="Helv"/>
      <family val="0"/>
    </font>
    <font>
      <b/>
      <sz val="11"/>
      <name val="Arial"/>
      <family val="2"/>
    </font>
    <font>
      <sz val="11"/>
      <name val="Arial"/>
      <family val="2"/>
    </font>
    <font>
      <u val="single"/>
      <sz val="11"/>
      <name val="Arial"/>
      <family val="2"/>
    </font>
    <font>
      <b/>
      <u val="single"/>
      <sz val="11"/>
      <name val="Arial"/>
      <family val="2"/>
    </font>
    <font>
      <u val="singleAccounting"/>
      <sz val="11"/>
      <name val="Arial"/>
      <family val="2"/>
    </font>
    <font>
      <sz val="10"/>
      <name val="Helv"/>
      <family val="0"/>
    </font>
    <font>
      <b/>
      <sz val="10"/>
      <name val="Arial"/>
      <family val="2"/>
    </font>
    <font>
      <sz val="8"/>
      <name val="Arial"/>
      <family val="0"/>
    </font>
    <font>
      <u val="single"/>
      <sz val="10"/>
      <name val="Arial"/>
      <family val="0"/>
    </font>
    <font>
      <b/>
      <sz val="14"/>
      <name val="Arial"/>
      <family val="2"/>
    </font>
    <font>
      <b/>
      <u val="single"/>
      <sz val="10"/>
      <name val="Arial"/>
      <family val="2"/>
    </font>
    <font>
      <b/>
      <sz val="10"/>
      <color indexed="23"/>
      <name val="Arial"/>
      <family val="2"/>
    </font>
    <font>
      <sz val="10"/>
      <color indexed="23"/>
      <name val="Arial"/>
      <family val="2"/>
    </font>
    <font>
      <sz val="10"/>
      <name val="Tahoma"/>
      <family val="0"/>
    </font>
    <font>
      <b/>
      <sz val="10"/>
      <name val="Tahoma"/>
      <family val="0"/>
    </font>
    <font>
      <sz val="10"/>
      <color indexed="8"/>
      <name val="Arial"/>
      <family val="0"/>
    </font>
    <font>
      <b/>
      <sz val="12"/>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4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medium"/>
    </border>
    <border>
      <left style="thin"/>
      <right style="medium"/>
      <top style="thin"/>
      <bottom style="medium"/>
    </border>
    <border>
      <left style="medium"/>
      <right style="thin"/>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color indexed="63"/>
      </left>
      <right style="medium"/>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medium"/>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37" fontId="8" fillId="0" borderId="0">
      <alignment/>
      <protection/>
    </xf>
    <xf numFmtId="0" fontId="18" fillId="0" borderId="0">
      <alignment/>
      <protection/>
    </xf>
    <xf numFmtId="37" fontId="8" fillId="0" borderId="0">
      <alignment/>
      <protection/>
    </xf>
    <xf numFmtId="9" fontId="0" fillId="0" borderId="0" applyFont="0" applyFill="0" applyBorder="0" applyAlignment="0" applyProtection="0"/>
  </cellStyleXfs>
  <cellXfs count="453">
    <xf numFmtId="0" fontId="0" fillId="0" borderId="0" xfId="0" applyAlignment="1">
      <alignment/>
    </xf>
    <xf numFmtId="0" fontId="4" fillId="0" borderId="0" xfId="22" applyFont="1" applyBorder="1">
      <alignment/>
      <protection/>
    </xf>
    <xf numFmtId="0" fontId="4" fillId="0" borderId="0" xfId="22" applyFont="1" applyFill="1" applyBorder="1">
      <alignment/>
      <protection/>
    </xf>
    <xf numFmtId="0" fontId="3" fillId="0" borderId="0" xfId="22" applyFont="1" applyBorder="1" applyAlignment="1">
      <alignment horizontal="left"/>
      <protection/>
    </xf>
    <xf numFmtId="0" fontId="4" fillId="0" borderId="0" xfId="22" applyFont="1" applyBorder="1" applyAlignment="1">
      <alignment/>
      <protection/>
    </xf>
    <xf numFmtId="0" fontId="3" fillId="0" borderId="0" xfId="22" applyFont="1" applyBorder="1" applyAlignment="1">
      <alignment horizontal="center"/>
      <protection/>
    </xf>
    <xf numFmtId="0" fontId="3" fillId="0" borderId="0" xfId="22" applyFont="1" applyBorder="1">
      <alignment/>
      <protection/>
    </xf>
    <xf numFmtId="0" fontId="3" fillId="0" borderId="0" xfId="22" applyFont="1" applyFill="1" applyBorder="1" applyAlignment="1">
      <alignment horizontal="right"/>
      <protection/>
    </xf>
    <xf numFmtId="0" fontId="4" fillId="0" borderId="0" xfId="22" applyFont="1" applyFill="1" applyBorder="1" applyAlignment="1">
      <alignment horizontal="center"/>
      <protection/>
    </xf>
    <xf numFmtId="167" fontId="3" fillId="2" borderId="0" xfId="15" applyNumberFormat="1" applyFont="1" applyFill="1" applyBorder="1" applyAlignment="1">
      <alignment horizontal="right"/>
    </xf>
    <xf numFmtId="37" fontId="4" fillId="2" borderId="0" xfId="22" applyNumberFormat="1" applyFont="1" applyFill="1" applyBorder="1" applyAlignment="1" applyProtection="1">
      <alignment horizontal="right"/>
      <protection/>
    </xf>
    <xf numFmtId="0" fontId="4" fillId="2" borderId="0" xfId="22" applyFont="1" applyFill="1" applyBorder="1" applyAlignment="1">
      <alignment horizontal="right"/>
      <protection/>
    </xf>
    <xf numFmtId="0" fontId="4" fillId="2" borderId="0" xfId="22" applyFont="1" applyFill="1" applyBorder="1">
      <alignment/>
      <protection/>
    </xf>
    <xf numFmtId="167" fontId="3" fillId="0" borderId="0" xfId="15" applyNumberFormat="1" applyFont="1" applyFill="1" applyBorder="1" applyAlignment="1">
      <alignment horizontal="right"/>
    </xf>
    <xf numFmtId="0" fontId="5" fillId="0" borderId="0" xfId="22" applyFont="1" applyBorder="1" applyAlignment="1">
      <alignment horizontal="right"/>
      <protection/>
    </xf>
    <xf numFmtId="0" fontId="3" fillId="2" borderId="0" xfId="22" applyFont="1" applyFill="1" applyBorder="1" applyAlignment="1">
      <alignment horizontal="right"/>
      <protection/>
    </xf>
    <xf numFmtId="0" fontId="5" fillId="2" borderId="0" xfId="22" applyFont="1" applyFill="1" applyBorder="1" applyAlignment="1">
      <alignment horizontal="right"/>
      <protection/>
    </xf>
    <xf numFmtId="0" fontId="5" fillId="0" borderId="0" xfId="22" applyFont="1" applyBorder="1" applyAlignment="1">
      <alignment horizontal="center"/>
      <protection/>
    </xf>
    <xf numFmtId="0" fontId="6" fillId="0" borderId="0" xfId="22" applyFont="1" applyBorder="1">
      <alignment/>
      <protection/>
    </xf>
    <xf numFmtId="167" fontId="3" fillId="0" borderId="0" xfId="15" applyNumberFormat="1" applyFont="1" applyBorder="1" applyAlignment="1">
      <alignment horizontal="right"/>
    </xf>
    <xf numFmtId="0" fontId="3" fillId="0" borderId="0" xfId="22" applyFont="1" applyBorder="1" applyAlignment="1">
      <alignment horizontal="right"/>
      <protection/>
    </xf>
    <xf numFmtId="0" fontId="5" fillId="2" borderId="0" xfId="22" applyFont="1" applyFill="1" applyBorder="1">
      <alignment/>
      <protection/>
    </xf>
    <xf numFmtId="0" fontId="5" fillId="0" borderId="0" xfId="22" applyFont="1" applyBorder="1">
      <alignment/>
      <protection/>
    </xf>
    <xf numFmtId="0" fontId="5" fillId="0" borderId="0" xfId="22" applyFont="1" applyFill="1" applyBorder="1">
      <alignment/>
      <protection/>
    </xf>
    <xf numFmtId="167" fontId="4" fillId="0" borderId="0" xfId="15" applyNumberFormat="1" applyFont="1" applyBorder="1" applyAlignment="1">
      <alignment/>
    </xf>
    <xf numFmtId="167" fontId="4" fillId="0" borderId="0" xfId="15" applyNumberFormat="1" applyFont="1" applyBorder="1" applyAlignment="1">
      <alignment/>
    </xf>
    <xf numFmtId="37" fontId="4" fillId="2" borderId="0" xfId="22" applyNumberFormat="1" applyFont="1" applyFill="1" applyBorder="1">
      <alignment/>
      <protection/>
    </xf>
    <xf numFmtId="167" fontId="4" fillId="0" borderId="0" xfId="15" applyNumberFormat="1" applyFont="1" applyFill="1" applyBorder="1" applyAlignment="1">
      <alignment horizontal="left" indent="3"/>
    </xf>
    <xf numFmtId="10" fontId="4" fillId="0" borderId="0" xfId="22" applyNumberFormat="1" applyFont="1" applyBorder="1">
      <alignment/>
      <protection/>
    </xf>
    <xf numFmtId="167" fontId="7" fillId="0" borderId="0" xfId="15" applyNumberFormat="1" applyFont="1" applyBorder="1" applyAlignment="1">
      <alignment/>
    </xf>
    <xf numFmtId="37" fontId="7" fillId="2" borderId="0" xfId="22" applyNumberFormat="1" applyFont="1" applyFill="1" applyBorder="1">
      <alignment/>
      <protection/>
    </xf>
    <xf numFmtId="0" fontId="7" fillId="2" borderId="0" xfId="22" applyFont="1" applyFill="1" applyBorder="1">
      <alignment/>
      <protection/>
    </xf>
    <xf numFmtId="167" fontId="4" fillId="2" borderId="0" xfId="15" applyNumberFormat="1" applyFont="1" applyFill="1" applyBorder="1" applyAlignment="1">
      <alignment/>
    </xf>
    <xf numFmtId="167" fontId="4" fillId="0" borderId="0" xfId="15" applyNumberFormat="1" applyFont="1" applyFill="1" applyBorder="1" applyAlignment="1">
      <alignment/>
    </xf>
    <xf numFmtId="164" fontId="4" fillId="0" borderId="0" xfId="26" applyNumberFormat="1" applyFont="1" applyBorder="1" applyAlignment="1">
      <alignment/>
    </xf>
    <xf numFmtId="9" fontId="4" fillId="0" borderId="0" xfId="26" applyFont="1" applyBorder="1" applyAlignment="1">
      <alignment/>
    </xf>
    <xf numFmtId="167" fontId="4" fillId="0" borderId="0" xfId="22" applyNumberFormat="1" applyFont="1" applyBorder="1">
      <alignment/>
      <protection/>
    </xf>
    <xf numFmtId="0" fontId="5" fillId="0" borderId="0" xfId="22" applyFont="1" applyBorder="1" applyAlignment="1">
      <alignment vertical="top"/>
      <protection/>
    </xf>
    <xf numFmtId="165" fontId="4" fillId="0" borderId="0" xfId="18" applyNumberFormat="1" applyFont="1" applyBorder="1" applyAlignment="1">
      <alignment/>
    </xf>
    <xf numFmtId="167" fontId="4" fillId="2" borderId="0" xfId="15" applyNumberFormat="1" applyFont="1" applyFill="1" applyBorder="1" applyAlignment="1">
      <alignment/>
    </xf>
    <xf numFmtId="167" fontId="7" fillId="2" borderId="0" xfId="15" applyNumberFormat="1" applyFont="1" applyFill="1" applyBorder="1" applyAlignment="1">
      <alignment/>
    </xf>
    <xf numFmtId="167" fontId="4" fillId="0" borderId="0" xfId="22" applyNumberFormat="1" applyFont="1" applyFill="1" applyBorder="1">
      <alignment/>
      <protection/>
    </xf>
    <xf numFmtId="44" fontId="4" fillId="0" borderId="0" xfId="22" applyNumberFormat="1" applyFont="1" applyBorder="1">
      <alignment/>
      <protection/>
    </xf>
    <xf numFmtId="0" fontId="6" fillId="0" borderId="0" xfId="22" applyFont="1" applyBorder="1" applyAlignment="1">
      <alignment vertical="top"/>
      <protection/>
    </xf>
    <xf numFmtId="7" fontId="4" fillId="0" borderId="0" xfId="18" applyNumberFormat="1" applyFont="1" applyBorder="1" applyAlignment="1">
      <alignment/>
    </xf>
    <xf numFmtId="7" fontId="4" fillId="2" borderId="0" xfId="18" applyNumberFormat="1" applyFont="1" applyFill="1" applyBorder="1" applyAlignment="1">
      <alignment/>
    </xf>
    <xf numFmtId="44" fontId="4" fillId="0" borderId="0" xfId="18" applyFont="1" applyBorder="1" applyAlignment="1">
      <alignment/>
    </xf>
    <xf numFmtId="7" fontId="4" fillId="0" borderId="0" xfId="18" applyNumberFormat="1" applyFont="1" applyFill="1" applyBorder="1" applyAlignment="1">
      <alignment/>
    </xf>
    <xf numFmtId="10" fontId="4" fillId="0" borderId="0" xfId="18" applyNumberFormat="1" applyFont="1" applyBorder="1" applyAlignment="1">
      <alignment/>
    </xf>
    <xf numFmtId="169" fontId="4" fillId="0" borderId="0" xfId="18" applyNumberFormat="1" applyFont="1" applyBorder="1" applyAlignment="1">
      <alignment/>
    </xf>
    <xf numFmtId="42" fontId="4" fillId="0" borderId="0" xfId="18" applyNumberFormat="1" applyFont="1" applyBorder="1" applyAlignment="1">
      <alignment/>
    </xf>
    <xf numFmtId="42" fontId="4" fillId="0" borderId="0" xfId="15" applyNumberFormat="1" applyFont="1" applyBorder="1" applyAlignment="1">
      <alignment/>
    </xf>
    <xf numFmtId="42" fontId="4" fillId="2" borderId="0" xfId="18" applyNumberFormat="1" applyFont="1" applyFill="1" applyBorder="1" applyAlignment="1">
      <alignment/>
    </xf>
    <xf numFmtId="42" fontId="4" fillId="2" borderId="0" xfId="22" applyNumberFormat="1" applyFont="1" applyFill="1" applyBorder="1">
      <alignment/>
      <protection/>
    </xf>
    <xf numFmtId="168" fontId="4" fillId="0" borderId="0" xfId="18" applyNumberFormat="1" applyFont="1" applyFill="1" applyBorder="1" applyAlignment="1">
      <alignment/>
    </xf>
    <xf numFmtId="5" fontId="4" fillId="0" borderId="0" xfId="18" applyNumberFormat="1" applyFont="1" applyFill="1" applyBorder="1" applyAlignment="1">
      <alignment/>
    </xf>
    <xf numFmtId="42" fontId="4" fillId="0" borderId="0" xfId="18" applyNumberFormat="1" applyFont="1" applyFill="1" applyBorder="1" applyAlignment="1">
      <alignment/>
    </xf>
    <xf numFmtId="42" fontId="4" fillId="0" borderId="0" xfId="15" applyNumberFormat="1" applyFont="1" applyFill="1" applyBorder="1" applyAlignment="1">
      <alignment/>
    </xf>
    <xf numFmtId="42" fontId="4" fillId="2" borderId="0" xfId="18" applyNumberFormat="1" applyFont="1" applyFill="1" applyBorder="1" applyAlignment="1">
      <alignment/>
    </xf>
    <xf numFmtId="170" fontId="4" fillId="0" borderId="0" xfId="18" applyNumberFormat="1" applyFont="1" applyBorder="1" applyAlignment="1">
      <alignment/>
    </xf>
    <xf numFmtId="168" fontId="4" fillId="0" borderId="0" xfId="15" applyNumberFormat="1" applyFont="1" applyBorder="1" applyAlignment="1">
      <alignment/>
    </xf>
    <xf numFmtId="168" fontId="4" fillId="0" borderId="0" xfId="15" applyNumberFormat="1" applyFont="1" applyFill="1" applyBorder="1" applyAlignment="1">
      <alignment/>
    </xf>
    <xf numFmtId="42" fontId="4" fillId="0" borderId="0" xfId="26" applyNumberFormat="1" applyFont="1" applyBorder="1" applyAlignment="1">
      <alignment/>
    </xf>
    <xf numFmtId="42" fontId="4" fillId="0" borderId="0" xfId="22" applyNumberFormat="1" applyFont="1" applyBorder="1">
      <alignment/>
      <protection/>
    </xf>
    <xf numFmtId="168" fontId="3" fillId="0" borderId="0" xfId="18" applyNumberFormat="1" applyFont="1" applyFill="1" applyBorder="1" applyAlignment="1">
      <alignment/>
    </xf>
    <xf numFmtId="9" fontId="4" fillId="0" borderId="0" xfId="26" applyFont="1" applyBorder="1" applyAlignment="1">
      <alignment/>
    </xf>
    <xf numFmtId="37" fontId="9" fillId="0" borderId="0" xfId="25" applyFont="1">
      <alignment/>
      <protection/>
    </xf>
    <xf numFmtId="0" fontId="4" fillId="0" borderId="0" xfId="22" applyFont="1">
      <alignment/>
      <protection/>
    </xf>
    <xf numFmtId="0" fontId="4" fillId="0" borderId="0" xfId="22" applyFont="1" applyFill="1">
      <alignment/>
      <protection/>
    </xf>
    <xf numFmtId="37" fontId="0" fillId="0" borderId="0" xfId="25" applyFont="1">
      <alignment/>
      <protection/>
    </xf>
    <xf numFmtId="0" fontId="4" fillId="3" borderId="0" xfId="22" applyFont="1" applyFill="1">
      <alignment/>
      <protection/>
    </xf>
    <xf numFmtId="0" fontId="5" fillId="3" borderId="0" xfId="22" applyFont="1" applyFill="1">
      <alignment/>
      <protection/>
    </xf>
    <xf numFmtId="0" fontId="4" fillId="2" borderId="1" xfId="22" applyFont="1" applyFill="1" applyBorder="1" applyAlignment="1">
      <alignment horizontal="center" wrapText="1"/>
      <protection/>
    </xf>
    <xf numFmtId="0" fontId="4" fillId="2" borderId="2" xfId="22" applyFont="1" applyFill="1" applyBorder="1" applyAlignment="1">
      <alignment horizontal="center" wrapText="1"/>
      <protection/>
    </xf>
    <xf numFmtId="0" fontId="4" fillId="2" borderId="3" xfId="22" applyFont="1" applyFill="1" applyBorder="1" applyAlignment="1">
      <alignment horizontal="center"/>
      <protection/>
    </xf>
    <xf numFmtId="0" fontId="3" fillId="2" borderId="4" xfId="22" applyFont="1" applyFill="1" applyBorder="1">
      <alignment/>
      <protection/>
    </xf>
    <xf numFmtId="0" fontId="5" fillId="2" borderId="5" xfId="22" applyFont="1" applyFill="1" applyBorder="1" applyAlignment="1">
      <alignment horizontal="right"/>
      <protection/>
    </xf>
    <xf numFmtId="0" fontId="5" fillId="2" borderId="6" xfId="22" applyFont="1" applyFill="1" applyBorder="1" applyAlignment="1">
      <alignment horizontal="right"/>
      <protection/>
    </xf>
    <xf numFmtId="42" fontId="4" fillId="3" borderId="0" xfId="18" applyNumberFormat="1" applyFont="1" applyFill="1" applyAlignment="1">
      <alignment/>
    </xf>
    <xf numFmtId="166" fontId="4" fillId="3" borderId="0" xfId="18" applyNumberFormat="1" applyFont="1" applyFill="1" applyAlignment="1">
      <alignment/>
    </xf>
    <xf numFmtId="9" fontId="4" fillId="0" borderId="0" xfId="26" applyFont="1" applyFill="1" applyAlignment="1">
      <alignment/>
    </xf>
    <xf numFmtId="42" fontId="4" fillId="0" borderId="0" xfId="22" applyNumberFormat="1" applyFont="1">
      <alignment/>
      <protection/>
    </xf>
    <xf numFmtId="166" fontId="4" fillId="0" borderId="0" xfId="26" applyNumberFormat="1" applyFont="1" applyAlignment="1">
      <alignment/>
    </xf>
    <xf numFmtId="166" fontId="4" fillId="0" borderId="0" xfId="22" applyNumberFormat="1" applyFont="1">
      <alignment/>
      <protection/>
    </xf>
    <xf numFmtId="42" fontId="4" fillId="3" borderId="7" xfId="18" applyNumberFormat="1" applyFont="1" applyFill="1" applyBorder="1" applyAlignment="1">
      <alignment/>
    </xf>
    <xf numFmtId="166" fontId="4" fillId="3" borderId="7" xfId="18" applyNumberFormat="1" applyFont="1" applyFill="1" applyBorder="1" applyAlignment="1">
      <alignment/>
    </xf>
    <xf numFmtId="0" fontId="4" fillId="3" borderId="0" xfId="22" applyFont="1" applyFill="1" applyBorder="1">
      <alignment/>
      <protection/>
    </xf>
    <xf numFmtId="0" fontId="3" fillId="3" borderId="0" xfId="22" applyFont="1" applyFill="1">
      <alignment/>
      <protection/>
    </xf>
    <xf numFmtId="42" fontId="3" fillId="3" borderId="0" xfId="18" applyNumberFormat="1" applyFont="1" applyFill="1" applyBorder="1" applyAlignment="1">
      <alignment/>
    </xf>
    <xf numFmtId="166" fontId="3" fillId="3" borderId="0" xfId="18" applyNumberFormat="1" applyFont="1" applyFill="1" applyBorder="1" applyAlignment="1">
      <alignment/>
    </xf>
    <xf numFmtId="44" fontId="4" fillId="0" borderId="0" xfId="22" applyNumberFormat="1" applyFont="1">
      <alignment/>
      <protection/>
    </xf>
    <xf numFmtId="166" fontId="4" fillId="2" borderId="5" xfId="18" applyNumberFormat="1" applyFont="1" applyFill="1" applyBorder="1" applyAlignment="1">
      <alignment/>
    </xf>
    <xf numFmtId="166" fontId="4" fillId="2" borderId="6" xfId="18" applyNumberFormat="1" applyFont="1" applyFill="1" applyBorder="1" applyAlignment="1">
      <alignment/>
    </xf>
    <xf numFmtId="166" fontId="4" fillId="3" borderId="0" xfId="18" applyNumberFormat="1" applyFont="1" applyFill="1" applyBorder="1" applyAlignment="1">
      <alignment/>
    </xf>
    <xf numFmtId="10" fontId="4" fillId="0" borderId="0" xfId="22" applyNumberFormat="1" applyFont="1">
      <alignment/>
      <protection/>
    </xf>
    <xf numFmtId="166" fontId="3" fillId="3" borderId="0" xfId="18" applyNumberFormat="1" applyFont="1" applyFill="1" applyAlignment="1">
      <alignment/>
    </xf>
    <xf numFmtId="44" fontId="4" fillId="0" borderId="0" xfId="22" applyNumberFormat="1" applyFont="1" applyFill="1">
      <alignment/>
      <protection/>
    </xf>
    <xf numFmtId="10" fontId="4" fillId="0" borderId="0" xfId="22" applyNumberFormat="1" applyFont="1" applyFill="1">
      <alignment/>
      <protection/>
    </xf>
    <xf numFmtId="0" fontId="3" fillId="2" borderId="0" xfId="22" applyFont="1" applyFill="1" applyAlignment="1">
      <alignment wrapText="1"/>
      <protection/>
    </xf>
    <xf numFmtId="166" fontId="3" fillId="2" borderId="8" xfId="18" applyNumberFormat="1" applyFont="1" applyFill="1" applyBorder="1" applyAlignment="1">
      <alignment/>
    </xf>
    <xf numFmtId="166" fontId="3" fillId="3" borderId="8" xfId="22" applyNumberFormat="1" applyFont="1" applyFill="1" applyBorder="1">
      <alignment/>
      <protection/>
    </xf>
    <xf numFmtId="43" fontId="4" fillId="0" borderId="0" xfId="22" applyNumberFormat="1" applyFont="1">
      <alignment/>
      <protection/>
    </xf>
    <xf numFmtId="166" fontId="4" fillId="0" borderId="0" xfId="18" applyNumberFormat="1" applyFont="1" applyAlignment="1">
      <alignment/>
    </xf>
    <xf numFmtId="37" fontId="0" fillId="0" borderId="0" xfId="25" applyFont="1" applyAlignment="1">
      <alignment horizontal="right"/>
      <protection/>
    </xf>
    <xf numFmtId="37" fontId="0" fillId="0" borderId="0" xfId="25" applyFont="1" applyFill="1">
      <alignment/>
      <protection/>
    </xf>
    <xf numFmtId="37" fontId="9" fillId="0" borderId="0" xfId="25" applyFont="1" applyAlignment="1">
      <alignment horizontal="left"/>
      <protection/>
    </xf>
    <xf numFmtId="10" fontId="0" fillId="0" borderId="0" xfId="25" applyNumberFormat="1" applyFont="1" applyAlignment="1">
      <alignment horizontal="right"/>
      <protection/>
    </xf>
    <xf numFmtId="9" fontId="0" fillId="0" borderId="0" xfId="26" applyFont="1" applyAlignment="1">
      <alignment horizontal="right"/>
    </xf>
    <xf numFmtId="166" fontId="0" fillId="0" borderId="0" xfId="18" applyNumberFormat="1" applyFont="1" applyAlignment="1">
      <alignment horizontal="right"/>
    </xf>
    <xf numFmtId="166" fontId="0" fillId="0" borderId="0" xfId="18" applyNumberFormat="1" applyFont="1" applyFill="1" applyAlignment="1">
      <alignment horizontal="right"/>
    </xf>
    <xf numFmtId="37" fontId="0" fillId="4" borderId="0" xfId="25" applyFont="1" applyFill="1">
      <alignment/>
      <protection/>
    </xf>
    <xf numFmtId="10" fontId="0" fillId="0" borderId="0" xfId="25" applyNumberFormat="1" applyFont="1">
      <alignment/>
      <protection/>
    </xf>
    <xf numFmtId="37" fontId="0" fillId="0" borderId="0" xfId="25" applyFont="1" applyFill="1" applyBorder="1">
      <alignment/>
      <protection/>
    </xf>
    <xf numFmtId="37" fontId="0" fillId="0" borderId="0" xfId="25" applyFont="1" applyFill="1" applyBorder="1" applyAlignment="1">
      <alignment horizontal="right"/>
      <protection/>
    </xf>
    <xf numFmtId="37" fontId="0" fillId="0" borderId="0" xfId="25" applyFont="1" applyBorder="1">
      <alignment/>
      <protection/>
    </xf>
    <xf numFmtId="10" fontId="0" fillId="0" borderId="0" xfId="25" applyNumberFormat="1" applyFont="1" applyBorder="1">
      <alignment/>
      <protection/>
    </xf>
    <xf numFmtId="0" fontId="3" fillId="3" borderId="0" xfId="22" applyFont="1" applyFill="1" applyAlignment="1">
      <alignment wrapText="1"/>
      <protection/>
    </xf>
    <xf numFmtId="44" fontId="0" fillId="0" borderId="0" xfId="0" applyNumberFormat="1" applyAlignment="1">
      <alignment/>
    </xf>
    <xf numFmtId="0" fontId="0" fillId="0" borderId="9" xfId="0" applyBorder="1" applyAlignment="1">
      <alignment horizontal="center"/>
    </xf>
    <xf numFmtId="0" fontId="0" fillId="0" borderId="9" xfId="0" applyBorder="1" applyAlignment="1">
      <alignment/>
    </xf>
    <xf numFmtId="44" fontId="0" fillId="0" borderId="9" xfId="0" applyNumberFormat="1" applyBorder="1" applyAlignment="1">
      <alignment/>
    </xf>
    <xf numFmtId="42" fontId="0" fillId="0" borderId="0" xfId="0" applyNumberFormat="1" applyAlignment="1">
      <alignment/>
    </xf>
    <xf numFmtId="3" fontId="0" fillId="0" borderId="0" xfId="0" applyNumberFormat="1" applyAlignment="1">
      <alignment/>
    </xf>
    <xf numFmtId="167" fontId="5" fillId="0" borderId="0" xfId="15" applyNumberFormat="1" applyFont="1" applyBorder="1" applyAlignment="1">
      <alignment/>
    </xf>
    <xf numFmtId="167" fontId="5" fillId="0" borderId="0" xfId="15" applyNumberFormat="1" applyFont="1" applyFill="1" applyBorder="1" applyAlignment="1">
      <alignment horizontal="left" indent="3"/>
    </xf>
    <xf numFmtId="0" fontId="9" fillId="0" borderId="0" xfId="0" applyFont="1" applyAlignment="1">
      <alignment/>
    </xf>
    <xf numFmtId="42" fontId="0" fillId="0" borderId="9" xfId="0" applyNumberFormat="1" applyBorder="1" applyAlignment="1">
      <alignment/>
    </xf>
    <xf numFmtId="44" fontId="0" fillId="0" borderId="9" xfId="0" applyNumberFormat="1" applyBorder="1" applyAlignment="1">
      <alignment horizontal="center"/>
    </xf>
    <xf numFmtId="0" fontId="11" fillId="0" borderId="0" xfId="0" applyFont="1" applyAlignment="1">
      <alignment/>
    </xf>
    <xf numFmtId="42" fontId="0" fillId="0" borderId="0" xfId="18" applyNumberFormat="1" applyFont="1" applyFill="1" applyAlignment="1">
      <alignment/>
    </xf>
    <xf numFmtId="42" fontId="0" fillId="0" borderId="0" xfId="25" applyNumberFormat="1" applyFont="1" applyFill="1" applyAlignment="1">
      <alignment/>
      <protection/>
    </xf>
    <xf numFmtId="42" fontId="0" fillId="0" borderId="0" xfId="26" applyNumberFormat="1" applyFont="1" applyFill="1" applyBorder="1" applyAlignment="1">
      <alignment/>
    </xf>
    <xf numFmtId="44" fontId="4" fillId="0" borderId="0" xfId="18" applyNumberFormat="1" applyFont="1" applyBorder="1" applyAlignment="1">
      <alignment/>
    </xf>
    <xf numFmtId="37" fontId="0" fillId="0" borderId="0" xfId="23" applyFont="1">
      <alignment/>
      <protection/>
    </xf>
    <xf numFmtId="42" fontId="0" fillId="0" borderId="0" xfId="23" applyNumberFormat="1" applyFont="1" applyFill="1">
      <alignment/>
      <protection/>
    </xf>
    <xf numFmtId="42" fontId="0" fillId="0" borderId="0" xfId="23" applyNumberFormat="1" applyFont="1">
      <alignment/>
      <protection/>
    </xf>
    <xf numFmtId="42" fontId="0" fillId="0" borderId="0" xfId="25" applyNumberFormat="1" applyFont="1">
      <alignment/>
      <protection/>
    </xf>
    <xf numFmtId="42" fontId="0" fillId="0" borderId="0" xfId="25" applyNumberFormat="1" applyFont="1" applyFill="1" applyBorder="1" applyAlignment="1">
      <alignment/>
      <protection/>
    </xf>
    <xf numFmtId="42" fontId="0" fillId="0" borderId="0" xfId="18" applyNumberFormat="1" applyFont="1" applyFill="1" applyBorder="1" applyAlignment="1">
      <alignment/>
    </xf>
    <xf numFmtId="44" fontId="4" fillId="0" borderId="0" xfId="18" applyNumberFormat="1" applyFont="1" applyBorder="1" applyAlignment="1">
      <alignment/>
    </xf>
    <xf numFmtId="44" fontId="4" fillId="0" borderId="0" xfId="15" applyNumberFormat="1" applyFont="1" applyBorder="1" applyAlignment="1">
      <alignment/>
    </xf>
    <xf numFmtId="44" fontId="4" fillId="0" borderId="0" xfId="26" applyNumberFormat="1" applyFont="1" applyBorder="1" applyAlignment="1">
      <alignment/>
    </xf>
    <xf numFmtId="0" fontId="0" fillId="0" borderId="0" xfId="0" applyFont="1" applyAlignment="1">
      <alignment/>
    </xf>
    <xf numFmtId="3" fontId="0" fillId="0" borderId="9" xfId="0" applyNumberFormat="1" applyBorder="1" applyAlignment="1">
      <alignment/>
    </xf>
    <xf numFmtId="0" fontId="11" fillId="0" borderId="9" xfId="0" applyFont="1" applyBorder="1" applyAlignment="1">
      <alignment/>
    </xf>
    <xf numFmtId="42" fontId="0" fillId="0" borderId="9" xfId="0" applyNumberFormat="1" applyBorder="1" applyAlignment="1">
      <alignment horizontal="center"/>
    </xf>
    <xf numFmtId="0" fontId="0" fillId="0" borderId="9" xfId="0" applyFont="1" applyBorder="1" applyAlignment="1">
      <alignment/>
    </xf>
    <xf numFmtId="10" fontId="4" fillId="0" borderId="0" xfId="15" applyNumberFormat="1" applyFont="1" applyBorder="1" applyAlignment="1">
      <alignment/>
    </xf>
    <xf numFmtId="167" fontId="4" fillId="0" borderId="0" xfId="18" applyNumberFormat="1" applyFont="1" applyFill="1" applyBorder="1" applyAlignment="1">
      <alignment/>
    </xf>
    <xf numFmtId="166" fontId="4" fillId="0" borderId="0" xfId="22" applyNumberFormat="1" applyFont="1" applyBorder="1">
      <alignment/>
      <protection/>
    </xf>
    <xf numFmtId="166" fontId="4" fillId="0" borderId="0" xfId="22" applyNumberFormat="1" applyFont="1" applyBorder="1" quotePrefix="1">
      <alignment/>
      <protection/>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0" xfId="0" applyAlignment="1">
      <alignment vertical="top"/>
    </xf>
    <xf numFmtId="0" fontId="0" fillId="0" borderId="9" xfId="0" applyBorder="1" applyAlignment="1">
      <alignment vertical="top"/>
    </xf>
    <xf numFmtId="0" fontId="0" fillId="0" borderId="9" xfId="0" applyBorder="1" applyAlignment="1">
      <alignment vertical="top" wrapText="1"/>
    </xf>
    <xf numFmtId="0" fontId="0" fillId="0" borderId="9" xfId="0" applyBorder="1" applyAlignment="1" quotePrefix="1">
      <alignment vertical="top"/>
    </xf>
    <xf numFmtId="171" fontId="0" fillId="0" borderId="9" xfId="0" applyNumberFormat="1" applyBorder="1" applyAlignment="1">
      <alignment vertical="top"/>
    </xf>
    <xf numFmtId="0" fontId="0" fillId="0" borderId="0" xfId="0" applyFill="1" applyAlignment="1">
      <alignment/>
    </xf>
    <xf numFmtId="0" fontId="9" fillId="0" borderId="0" xfId="0" applyFont="1" applyFill="1" applyAlignment="1">
      <alignment/>
    </xf>
    <xf numFmtId="42" fontId="0" fillId="0" borderId="9" xfId="0" applyNumberFormat="1" applyFill="1" applyBorder="1" applyAlignment="1">
      <alignment/>
    </xf>
    <xf numFmtId="42" fontId="0" fillId="0" borderId="0" xfId="0" applyNumberFormat="1" applyFill="1" applyAlignment="1">
      <alignment/>
    </xf>
    <xf numFmtId="37" fontId="9" fillId="0" borderId="0" xfId="25" applyFont="1" applyFill="1" applyBorder="1">
      <alignment/>
      <protection/>
    </xf>
    <xf numFmtId="42" fontId="0" fillId="0" borderId="0" xfId="0" applyNumberFormat="1" applyBorder="1" applyAlignment="1">
      <alignment/>
    </xf>
    <xf numFmtId="0" fontId="0" fillId="0" borderId="0" xfId="0" applyBorder="1" applyAlignment="1">
      <alignment/>
    </xf>
    <xf numFmtId="171" fontId="0" fillId="0" borderId="0" xfId="0" applyNumberFormat="1" applyAlignment="1">
      <alignment/>
    </xf>
    <xf numFmtId="166" fontId="4" fillId="0" borderId="0" xfId="22" applyNumberFormat="1" applyFont="1" applyFill="1" applyBorder="1">
      <alignment/>
      <protection/>
    </xf>
    <xf numFmtId="166" fontId="3" fillId="0" borderId="0" xfId="22" applyNumberFormat="1" applyFont="1" applyFill="1" applyBorder="1">
      <alignment/>
      <protection/>
    </xf>
    <xf numFmtId="37" fontId="0" fillId="0" borderId="0" xfId="0" applyNumberFormat="1" applyAlignment="1">
      <alignment/>
    </xf>
    <xf numFmtId="43" fontId="4" fillId="0" borderId="0" xfId="22" applyNumberFormat="1" applyFont="1" applyBorder="1">
      <alignment/>
      <protection/>
    </xf>
    <xf numFmtId="0" fontId="0" fillId="0" borderId="0" xfId="0" applyAlignment="1">
      <alignment wrapText="1"/>
    </xf>
    <xf numFmtId="176" fontId="4" fillId="0" borderId="0" xfId="22" applyNumberFormat="1" applyFont="1" applyFill="1" applyBorder="1">
      <alignment/>
      <protection/>
    </xf>
    <xf numFmtId="10" fontId="4" fillId="0" borderId="0" xfId="18" applyNumberFormat="1" applyFont="1" applyFill="1" applyBorder="1" applyAlignment="1">
      <alignment/>
    </xf>
    <xf numFmtId="3" fontId="0" fillId="0" borderId="9" xfId="0" applyNumberFormat="1" applyFill="1" applyBorder="1" applyAlignment="1">
      <alignment/>
    </xf>
    <xf numFmtId="42" fontId="0" fillId="0" borderId="0" xfId="25" applyNumberFormat="1" applyFont="1" applyAlignment="1">
      <alignment horizontal="right"/>
      <protection/>
    </xf>
    <xf numFmtId="10" fontId="4" fillId="0" borderId="0" xfId="15" applyNumberFormat="1" applyFont="1" applyFill="1" applyBorder="1" applyAlignment="1">
      <alignment/>
    </xf>
    <xf numFmtId="0" fontId="9" fillId="4" borderId="0" xfId="0" applyFont="1" applyFill="1" applyAlignment="1">
      <alignment/>
    </xf>
    <xf numFmtId="0" fontId="0" fillId="4" borderId="0" xfId="0" applyFill="1" applyAlignment="1">
      <alignment/>
    </xf>
    <xf numFmtId="0" fontId="13" fillId="0" borderId="12" xfId="0" applyFont="1" applyBorder="1" applyAlignment="1">
      <alignment/>
    </xf>
    <xf numFmtId="0" fontId="0" fillId="0" borderId="12" xfId="0" applyBorder="1" applyAlignment="1">
      <alignment/>
    </xf>
    <xf numFmtId="0" fontId="11" fillId="0" borderId="13"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3" xfId="0" applyFont="1" applyBorder="1" applyAlignment="1">
      <alignment wrapText="1"/>
    </xf>
    <xf numFmtId="0" fontId="0" fillId="0" borderId="13" xfId="0" applyBorder="1" applyAlignment="1">
      <alignment wrapText="1"/>
    </xf>
    <xf numFmtId="0" fontId="0" fillId="0" borderId="0" xfId="0" applyAlignment="1">
      <alignment vertical="top" wrapText="1"/>
    </xf>
    <xf numFmtId="0" fontId="11" fillId="0" borderId="13" xfId="0" applyFont="1" applyBorder="1" applyAlignment="1">
      <alignment/>
    </xf>
    <xf numFmtId="0" fontId="0" fillId="0" borderId="14" xfId="0" applyBorder="1" applyAlignment="1">
      <alignment/>
    </xf>
    <xf numFmtId="0" fontId="0" fillId="0" borderId="13" xfId="0" applyBorder="1" applyAlignment="1">
      <alignment/>
    </xf>
    <xf numFmtId="0" fontId="9" fillId="0" borderId="13" xfId="0" applyFont="1" applyBorder="1" applyAlignment="1">
      <alignment/>
    </xf>
    <xf numFmtId="0" fontId="14" fillId="0" borderId="13" xfId="0" applyFont="1" applyBorder="1" applyAlignment="1">
      <alignment/>
    </xf>
    <xf numFmtId="0" fontId="9" fillId="0" borderId="0" xfId="0" applyFont="1" applyBorder="1" applyAlignment="1">
      <alignment horizontal="center"/>
    </xf>
    <xf numFmtId="0" fontId="9" fillId="0" borderId="13" xfId="0" applyFont="1" applyBorder="1" applyAlignment="1">
      <alignment horizontal="center"/>
    </xf>
    <xf numFmtId="0" fontId="14" fillId="0" borderId="13" xfId="0" applyFont="1" applyBorder="1" applyAlignment="1">
      <alignment horizontal="left"/>
    </xf>
    <xf numFmtId="0" fontId="9" fillId="0" borderId="13" xfId="0" applyFont="1" applyFill="1" applyBorder="1" applyAlignment="1">
      <alignment horizontal="center"/>
    </xf>
    <xf numFmtId="0" fontId="0" fillId="0" borderId="14" xfId="0" applyFont="1" applyBorder="1" applyAlignment="1">
      <alignment/>
    </xf>
    <xf numFmtId="44" fontId="15" fillId="0" borderId="13" xfId="0" applyNumberFormat="1" applyFont="1" applyFill="1" applyBorder="1" applyAlignment="1">
      <alignment/>
    </xf>
    <xf numFmtId="0" fontId="0" fillId="0" borderId="13" xfId="0" applyFont="1" applyBorder="1" applyAlignment="1">
      <alignment/>
    </xf>
    <xf numFmtId="0" fontId="0" fillId="0" borderId="0" xfId="0" applyFont="1" applyBorder="1" applyAlignment="1">
      <alignment/>
    </xf>
    <xf numFmtId="44" fontId="0" fillId="0" borderId="0" xfId="0" applyNumberFormat="1" applyFont="1" applyFill="1" applyBorder="1" applyAlignment="1">
      <alignment/>
    </xf>
    <xf numFmtId="0" fontId="9" fillId="0" borderId="14" xfId="0" applyFont="1" applyBorder="1" applyAlignment="1">
      <alignment horizontal="center"/>
    </xf>
    <xf numFmtId="0" fontId="9" fillId="0" borderId="13" xfId="0" applyFont="1" applyBorder="1" applyAlignment="1">
      <alignment horizontal="left"/>
    </xf>
    <xf numFmtId="42" fontId="0" fillId="0" borderId="0" xfId="0" applyNumberFormat="1" applyFont="1" applyBorder="1" applyAlignment="1">
      <alignment/>
    </xf>
    <xf numFmtId="42" fontId="0" fillId="0" borderId="15" xfId="0" applyNumberFormat="1" applyFont="1" applyBorder="1" applyAlignment="1">
      <alignment/>
    </xf>
    <xf numFmtId="42" fontId="0" fillId="0" borderId="13" xfId="0" applyNumberFormat="1" applyFont="1" applyBorder="1" applyAlignment="1">
      <alignment/>
    </xf>
    <xf numFmtId="42" fontId="0" fillId="0" borderId="13" xfId="0" applyNumberFormat="1" applyBorder="1" applyAlignment="1">
      <alignment/>
    </xf>
    <xf numFmtId="42" fontId="0" fillId="0" borderId="16" xfId="0" applyNumberFormat="1" applyFont="1" applyBorder="1" applyAlignment="1">
      <alignment/>
    </xf>
    <xf numFmtId="0" fontId="0" fillId="0" borderId="17" xfId="0" applyFont="1" applyBorder="1" applyAlignment="1">
      <alignment/>
    </xf>
    <xf numFmtId="0" fontId="0" fillId="0" borderId="12" xfId="0" applyFont="1" applyBorder="1" applyAlignment="1">
      <alignment/>
    </xf>
    <xf numFmtId="42" fontId="0" fillId="0" borderId="18" xfId="0" applyNumberFormat="1" applyFont="1" applyBorder="1" applyAlignment="1">
      <alignment/>
    </xf>
    <xf numFmtId="42" fontId="0" fillId="0" borderId="19" xfId="0" applyNumberFormat="1" applyBorder="1" applyAlignment="1">
      <alignment/>
    </xf>
    <xf numFmtId="0" fontId="0" fillId="0" borderId="20" xfId="0" applyBorder="1" applyAlignment="1">
      <alignment/>
    </xf>
    <xf numFmtId="0" fontId="9" fillId="0" borderId="21" xfId="0" applyFont="1" applyBorder="1" applyAlignment="1">
      <alignment/>
    </xf>
    <xf numFmtId="0" fontId="0" fillId="0" borderId="22" xfId="0" applyFont="1" applyBorder="1" applyAlignment="1">
      <alignment/>
    </xf>
    <xf numFmtId="10" fontId="0" fillId="0" borderId="22" xfId="26" applyNumberFormat="1" applyFont="1" applyBorder="1" applyAlignment="1">
      <alignment/>
    </xf>
    <xf numFmtId="0" fontId="0" fillId="0" borderId="23" xfId="0" applyFont="1" applyBorder="1" applyAlignment="1">
      <alignment/>
    </xf>
    <xf numFmtId="0" fontId="0" fillId="0" borderId="23" xfId="0" applyBorder="1" applyAlignment="1">
      <alignment/>
    </xf>
    <xf numFmtId="44" fontId="0" fillId="0" borderId="13" xfId="0" applyNumberFormat="1" applyFont="1" applyBorder="1" applyAlignment="1">
      <alignment/>
    </xf>
    <xf numFmtId="10" fontId="0" fillId="0" borderId="0" xfId="26" applyNumberFormat="1" applyAlignment="1">
      <alignment/>
    </xf>
    <xf numFmtId="0" fontId="0" fillId="0" borderId="9" xfId="0" applyBorder="1" applyAlignment="1">
      <alignment horizontal="center" wrapText="1"/>
    </xf>
    <xf numFmtId="9" fontId="0" fillId="0" borderId="0" xfId="26" applyFont="1" applyAlignment="1">
      <alignment/>
    </xf>
    <xf numFmtId="42" fontId="0" fillId="0" borderId="0" xfId="25" applyNumberFormat="1" applyFont="1" applyBorder="1">
      <alignment/>
      <protection/>
    </xf>
    <xf numFmtId="177" fontId="0" fillId="0" borderId="0" xfId="26" applyNumberFormat="1" applyFont="1" applyAlignment="1">
      <alignment/>
    </xf>
    <xf numFmtId="0" fontId="18" fillId="0" borderId="24" xfId="24" applyFont="1" applyFill="1" applyBorder="1" applyAlignment="1">
      <alignment/>
      <protection/>
    </xf>
    <xf numFmtId="167" fontId="0" fillId="0" borderId="0" xfId="15" applyNumberFormat="1" applyAlignment="1">
      <alignment/>
    </xf>
    <xf numFmtId="0" fontId="0" fillId="0" borderId="25" xfId="0" applyBorder="1" applyAlignment="1">
      <alignment/>
    </xf>
    <xf numFmtId="37" fontId="0" fillId="5" borderId="0" xfId="25" applyFont="1" applyFill="1">
      <alignment/>
      <protection/>
    </xf>
    <xf numFmtId="37" fontId="9" fillId="0" borderId="7" xfId="25" applyFont="1" applyBorder="1">
      <alignment/>
      <protection/>
    </xf>
    <xf numFmtId="42" fontId="9" fillId="0" borderId="7" xfId="18" applyNumberFormat="1" applyFont="1" applyFill="1" applyBorder="1" applyAlignment="1">
      <alignment horizontal="right"/>
    </xf>
    <xf numFmtId="42" fontId="0" fillId="0" borderId="25" xfId="23" applyNumberFormat="1" applyFont="1" applyFill="1" applyBorder="1">
      <alignment/>
      <protection/>
    </xf>
    <xf numFmtId="37" fontId="9" fillId="0" borderId="25" xfId="23" applyFont="1" applyFill="1" applyBorder="1" applyAlignment="1">
      <alignment horizontal="right"/>
      <protection/>
    </xf>
    <xf numFmtId="169" fontId="0" fillId="4" borderId="0" xfId="0" applyNumberFormat="1" applyFill="1" applyAlignment="1">
      <alignment/>
    </xf>
    <xf numFmtId="167" fontId="5" fillId="0" borderId="0" xfId="15" applyNumberFormat="1" applyFont="1" applyFill="1" applyBorder="1" applyAlignment="1">
      <alignment/>
    </xf>
    <xf numFmtId="10" fontId="4" fillId="0" borderId="0" xfId="15" applyNumberFormat="1" applyFont="1" applyFill="1" applyBorder="1" applyAlignment="1">
      <alignment horizontal="center"/>
    </xf>
    <xf numFmtId="166" fontId="0" fillId="0" borderId="0" xfId="0" applyNumberFormat="1" applyAlignment="1">
      <alignment/>
    </xf>
    <xf numFmtId="37" fontId="0" fillId="0" borderId="7" xfId="25" applyFont="1" applyBorder="1">
      <alignment/>
      <protection/>
    </xf>
    <xf numFmtId="42" fontId="0" fillId="0" borderId="7" xfId="18" applyNumberFormat="1" applyFont="1" applyFill="1" applyBorder="1" applyAlignment="1">
      <alignment/>
    </xf>
    <xf numFmtId="166" fontId="0" fillId="0" borderId="7" xfId="0" applyNumberFormat="1" applyBorder="1" applyAlignment="1">
      <alignment/>
    </xf>
    <xf numFmtId="37" fontId="0" fillId="0" borderId="0" xfId="23" applyFont="1" applyFill="1">
      <alignment/>
      <protection/>
    </xf>
    <xf numFmtId="37" fontId="0" fillId="0" borderId="0" xfId="23" applyFont="1" applyFill="1" applyBorder="1">
      <alignment/>
      <protection/>
    </xf>
    <xf numFmtId="42" fontId="0" fillId="0" borderId="0" xfId="23" applyNumberFormat="1" applyFont="1" applyFill="1" applyBorder="1">
      <alignment/>
      <protection/>
    </xf>
    <xf numFmtId="37" fontId="9" fillId="5" borderId="0" xfId="25" applyFont="1" applyFill="1">
      <alignment/>
      <protection/>
    </xf>
    <xf numFmtId="166" fontId="0" fillId="5" borderId="0" xfId="18" applyNumberFormat="1" applyFont="1" applyFill="1" applyBorder="1" applyAlignment="1">
      <alignment/>
    </xf>
    <xf numFmtId="42" fontId="0" fillId="5" borderId="0" xfId="18" applyNumberFormat="1" applyFont="1" applyFill="1" applyBorder="1" applyAlignment="1">
      <alignment/>
    </xf>
    <xf numFmtId="37" fontId="9" fillId="0" borderId="25" xfId="23" applyFont="1" applyFill="1" applyBorder="1" applyAlignment="1">
      <alignment horizontal="center"/>
      <protection/>
    </xf>
    <xf numFmtId="37" fontId="0" fillId="2" borderId="0" xfId="25" applyFont="1" applyFill="1">
      <alignment/>
      <protection/>
    </xf>
    <xf numFmtId="37" fontId="0" fillId="2" borderId="0" xfId="25" applyFont="1" applyFill="1" applyAlignment="1">
      <alignment horizontal="right"/>
      <protection/>
    </xf>
    <xf numFmtId="37" fontId="0" fillId="2" borderId="0" xfId="25" applyFont="1" applyFill="1" applyAlignment="1">
      <alignment horizontal="left"/>
      <protection/>
    </xf>
    <xf numFmtId="9" fontId="0" fillId="0" borderId="0" xfId="25" applyNumberFormat="1" applyFont="1" applyBorder="1">
      <alignment/>
      <protection/>
    </xf>
    <xf numFmtId="0" fontId="3" fillId="5" borderId="0" xfId="22" applyFont="1" applyFill="1" applyBorder="1">
      <alignment/>
      <protection/>
    </xf>
    <xf numFmtId="42" fontId="4" fillId="5" borderId="0" xfId="18" applyNumberFormat="1" applyFont="1" applyFill="1" applyBorder="1" applyAlignment="1">
      <alignment/>
    </xf>
    <xf numFmtId="42" fontId="4" fillId="5" borderId="0" xfId="22" applyNumberFormat="1" applyFont="1" applyFill="1" applyBorder="1">
      <alignment/>
      <protection/>
    </xf>
    <xf numFmtId="0" fontId="3" fillId="0" borderId="12" xfId="22" applyFont="1" applyBorder="1">
      <alignment/>
      <protection/>
    </xf>
    <xf numFmtId="167" fontId="4" fillId="0" borderId="12" xfId="15" applyNumberFormat="1" applyFont="1" applyBorder="1" applyAlignment="1">
      <alignment/>
    </xf>
    <xf numFmtId="167" fontId="4" fillId="2" borderId="12" xfId="15" applyNumberFormat="1" applyFont="1" applyFill="1" applyBorder="1" applyAlignment="1">
      <alignment/>
    </xf>
    <xf numFmtId="0" fontId="4" fillId="2" borderId="12" xfId="22" applyFont="1" applyFill="1" applyBorder="1">
      <alignment/>
      <protection/>
    </xf>
    <xf numFmtId="167" fontId="4" fillId="0" borderId="12" xfId="15" applyNumberFormat="1" applyFont="1" applyFill="1" applyBorder="1" applyAlignment="1">
      <alignment/>
    </xf>
    <xf numFmtId="44" fontId="4" fillId="0" borderId="12" xfId="18" applyNumberFormat="1" applyFont="1" applyBorder="1" applyAlignment="1">
      <alignment/>
    </xf>
    <xf numFmtId="44" fontId="4" fillId="0" borderId="12" xfId="26" applyNumberFormat="1" applyFont="1" applyBorder="1" applyAlignment="1">
      <alignment/>
    </xf>
    <xf numFmtId="7" fontId="4" fillId="2" borderId="12" xfId="18" applyNumberFormat="1" applyFont="1" applyFill="1" applyBorder="1" applyAlignment="1">
      <alignment/>
    </xf>
    <xf numFmtId="44" fontId="4" fillId="0" borderId="12" xfId="18" applyNumberFormat="1" applyFont="1" applyBorder="1" applyAlignment="1">
      <alignment/>
    </xf>
    <xf numFmtId="44" fontId="4" fillId="0" borderId="12" xfId="18" applyFont="1" applyBorder="1" applyAlignment="1">
      <alignment/>
    </xf>
    <xf numFmtId="42" fontId="3" fillId="0" borderId="12" xfId="18" applyNumberFormat="1" applyFont="1" applyBorder="1" applyAlignment="1">
      <alignment/>
    </xf>
    <xf numFmtId="42" fontId="3" fillId="2" borderId="12" xfId="18" applyNumberFormat="1" applyFont="1" applyFill="1" applyBorder="1" applyAlignment="1">
      <alignment/>
    </xf>
    <xf numFmtId="165" fontId="4" fillId="0" borderId="0" xfId="18" applyNumberFormat="1" applyFont="1" applyBorder="1" applyAlignment="1">
      <alignment horizontal="left" indent="1"/>
    </xf>
    <xf numFmtId="0" fontId="4" fillId="0" borderId="0" xfId="22" applyFont="1" applyBorder="1" applyAlignment="1">
      <alignment horizontal="left" indent="1"/>
      <protection/>
    </xf>
    <xf numFmtId="0" fontId="4" fillId="0" borderId="0" xfId="22" applyFont="1" applyFill="1" applyBorder="1" applyAlignment="1">
      <alignment horizontal="left" indent="1"/>
      <protection/>
    </xf>
    <xf numFmtId="0" fontId="4" fillId="0" borderId="12" xfId="22" applyFont="1" applyFill="1" applyBorder="1" applyAlignment="1">
      <alignment horizontal="left" indent="1"/>
      <protection/>
    </xf>
    <xf numFmtId="166" fontId="4" fillId="3" borderId="0" xfId="22" applyNumberFormat="1" applyFont="1" applyFill="1">
      <alignment/>
      <protection/>
    </xf>
    <xf numFmtId="167" fontId="4" fillId="0" borderId="0" xfId="26" applyNumberFormat="1" applyFont="1" applyBorder="1" applyAlignment="1">
      <alignment/>
    </xf>
    <xf numFmtId="0" fontId="12" fillId="3" borderId="0" xfId="22" applyFont="1" applyFill="1" applyBorder="1" applyAlignment="1">
      <alignment vertical="top"/>
      <protection/>
    </xf>
    <xf numFmtId="0" fontId="3" fillId="6" borderId="26" xfId="22" applyFont="1" applyFill="1" applyBorder="1">
      <alignment/>
      <protection/>
    </xf>
    <xf numFmtId="0" fontId="4" fillId="6" borderId="27" xfId="22" applyFont="1" applyFill="1" applyBorder="1">
      <alignment/>
      <protection/>
    </xf>
    <xf numFmtId="166" fontId="3" fillId="6" borderId="28" xfId="22" applyNumberFormat="1" applyFont="1" applyFill="1" applyBorder="1">
      <alignment/>
      <protection/>
    </xf>
    <xf numFmtId="0" fontId="3" fillId="0" borderId="29" xfId="22" applyFont="1" applyBorder="1" applyAlignment="1">
      <alignment horizontal="center"/>
      <protection/>
    </xf>
    <xf numFmtId="0" fontId="5" fillId="0" borderId="30" xfId="22" applyFont="1" applyBorder="1">
      <alignment/>
      <protection/>
    </xf>
    <xf numFmtId="0" fontId="5" fillId="0" borderId="31" xfId="22" applyFont="1" applyBorder="1">
      <alignment/>
      <protection/>
    </xf>
    <xf numFmtId="0" fontId="4" fillId="0" borderId="32" xfId="22" applyFont="1" applyFill="1" applyBorder="1" applyAlignment="1">
      <alignment horizontal="center"/>
      <protection/>
    </xf>
    <xf numFmtId="0" fontId="4" fillId="0" borderId="5" xfId="22" applyFont="1" applyFill="1" applyBorder="1" applyAlignment="1">
      <alignment horizontal="center"/>
      <protection/>
    </xf>
    <xf numFmtId="0" fontId="4" fillId="0" borderId="33" xfId="22" applyFont="1" applyFill="1" applyBorder="1" applyAlignment="1">
      <alignment horizontal="center"/>
      <protection/>
    </xf>
    <xf numFmtId="10" fontId="4" fillId="0" borderId="13" xfId="15" applyNumberFormat="1" applyFont="1" applyFill="1" applyBorder="1" applyAlignment="1">
      <alignment horizontal="center"/>
    </xf>
    <xf numFmtId="10" fontId="4" fillId="0" borderId="14" xfId="15" applyNumberFormat="1" applyFont="1" applyFill="1" applyBorder="1" applyAlignment="1">
      <alignment horizontal="center"/>
    </xf>
    <xf numFmtId="10" fontId="4" fillId="0" borderId="13" xfId="22" applyNumberFormat="1" applyFont="1" applyFill="1" applyBorder="1" applyAlignment="1">
      <alignment horizontal="center"/>
      <protection/>
    </xf>
    <xf numFmtId="10" fontId="4" fillId="0" borderId="0" xfId="22" applyNumberFormat="1" applyFont="1" applyFill="1" applyBorder="1" applyAlignment="1">
      <alignment horizontal="center"/>
      <protection/>
    </xf>
    <xf numFmtId="10" fontId="4" fillId="0" borderId="14" xfId="22" applyNumberFormat="1" applyFont="1" applyFill="1" applyBorder="1" applyAlignment="1">
      <alignment horizontal="center"/>
      <protection/>
    </xf>
    <xf numFmtId="10" fontId="4" fillId="0" borderId="17" xfId="15" applyNumberFormat="1" applyFont="1" applyFill="1" applyBorder="1" applyAlignment="1">
      <alignment horizontal="center"/>
    </xf>
    <xf numFmtId="10" fontId="4" fillId="0" borderId="12" xfId="15" applyNumberFormat="1" applyFont="1" applyFill="1" applyBorder="1" applyAlignment="1">
      <alignment horizontal="center"/>
    </xf>
    <xf numFmtId="10" fontId="4" fillId="0" borderId="20" xfId="15" applyNumberFormat="1" applyFont="1" applyFill="1" applyBorder="1" applyAlignment="1">
      <alignment horizontal="center"/>
    </xf>
    <xf numFmtId="0" fontId="12" fillId="0" borderId="0" xfId="22" applyFont="1" applyBorder="1" applyAlignment="1">
      <alignment vertical="top"/>
      <protection/>
    </xf>
    <xf numFmtId="0" fontId="3" fillId="6" borderId="0" xfId="22" applyFont="1" applyFill="1" applyBorder="1">
      <alignment/>
      <protection/>
    </xf>
    <xf numFmtId="42" fontId="3" fillId="6" borderId="0" xfId="18" applyNumberFormat="1" applyFont="1" applyFill="1" applyBorder="1" applyAlignment="1">
      <alignment/>
    </xf>
    <xf numFmtId="0" fontId="3" fillId="0" borderId="0" xfId="22" applyFont="1" applyFill="1" applyBorder="1">
      <alignment/>
      <protection/>
    </xf>
    <xf numFmtId="42" fontId="3" fillId="0" borderId="0" xfId="18" applyNumberFormat="1" applyFont="1" applyFill="1" applyBorder="1" applyAlignment="1">
      <alignment/>
    </xf>
    <xf numFmtId="0" fontId="9" fillId="6" borderId="9" xfId="0" applyFont="1" applyFill="1" applyBorder="1" applyAlignment="1">
      <alignment vertical="top"/>
    </xf>
    <xf numFmtId="171" fontId="9" fillId="6" borderId="9" xfId="0" applyNumberFormat="1" applyFont="1" applyFill="1" applyBorder="1" applyAlignment="1">
      <alignment vertical="top"/>
    </xf>
    <xf numFmtId="0" fontId="12" fillId="0" borderId="0" xfId="0" applyFont="1" applyAlignment="1">
      <alignment/>
    </xf>
    <xf numFmtId="37" fontId="0" fillId="0" borderId="0" xfId="23" applyFont="1" applyFill="1" applyBorder="1" applyAlignment="1">
      <alignment horizontal="left" indent="2"/>
      <protection/>
    </xf>
    <xf numFmtId="37" fontId="9" fillId="0" borderId="0" xfId="25" applyFont="1" applyFill="1">
      <alignment/>
      <protection/>
    </xf>
    <xf numFmtId="37" fontId="0" fillId="0" borderId="0" xfId="25" applyFont="1" applyFill="1" applyAlignment="1">
      <alignment horizontal="right"/>
      <protection/>
    </xf>
    <xf numFmtId="37" fontId="0" fillId="0" borderId="25" xfId="25" applyFont="1" applyFill="1" applyBorder="1">
      <alignment/>
      <protection/>
    </xf>
    <xf numFmtId="37" fontId="0" fillId="0" borderId="25" xfId="25" applyFont="1" applyFill="1" applyBorder="1" applyAlignment="1">
      <alignment horizontal="right"/>
      <protection/>
    </xf>
    <xf numFmtId="42" fontId="9" fillId="0" borderId="0" xfId="18" applyNumberFormat="1" applyFont="1" applyFill="1" applyBorder="1" applyAlignment="1">
      <alignment/>
    </xf>
    <xf numFmtId="42" fontId="0" fillId="0" borderId="7" xfId="26" applyNumberFormat="1" applyFont="1" applyFill="1" applyBorder="1" applyAlignment="1">
      <alignment/>
    </xf>
    <xf numFmtId="42" fontId="0" fillId="0" borderId="7" xfId="25" applyNumberFormat="1" applyFont="1" applyBorder="1" applyAlignment="1">
      <alignment/>
      <protection/>
    </xf>
    <xf numFmtId="37" fontId="9" fillId="2" borderId="0" xfId="25" applyFont="1" applyFill="1">
      <alignment/>
      <protection/>
    </xf>
    <xf numFmtId="37" fontId="0" fillId="2" borderId="25" xfId="25" applyFont="1" applyFill="1" applyBorder="1">
      <alignment/>
      <protection/>
    </xf>
    <xf numFmtId="37" fontId="0" fillId="2" borderId="25" xfId="25" applyFont="1" applyFill="1" applyBorder="1" applyAlignment="1">
      <alignment horizontal="right"/>
      <protection/>
    </xf>
    <xf numFmtId="37" fontId="9" fillId="6" borderId="7" xfId="25" applyFont="1" applyFill="1" applyBorder="1">
      <alignment/>
      <protection/>
    </xf>
    <xf numFmtId="42" fontId="9" fillId="6" borderId="7" xfId="18" applyNumberFormat="1" applyFont="1" applyFill="1" applyBorder="1" applyAlignment="1">
      <alignment horizontal="right"/>
    </xf>
    <xf numFmtId="37" fontId="12" fillId="0" borderId="0" xfId="25" applyFont="1">
      <alignment/>
      <protection/>
    </xf>
    <xf numFmtId="37" fontId="0" fillId="0" borderId="13" xfId="25" applyFont="1" applyBorder="1" applyAlignment="1">
      <alignment horizontal="right"/>
      <protection/>
    </xf>
    <xf numFmtId="37" fontId="0" fillId="0" borderId="14" xfId="25" applyFont="1" applyBorder="1">
      <alignment/>
      <protection/>
    </xf>
    <xf numFmtId="37" fontId="0" fillId="0" borderId="7" xfId="25" applyFont="1" applyBorder="1" applyAlignment="1">
      <alignment horizontal="left" indent="1"/>
      <protection/>
    </xf>
    <xf numFmtId="37" fontId="0" fillId="0" borderId="12" xfId="25" applyFont="1" applyBorder="1">
      <alignment/>
      <protection/>
    </xf>
    <xf numFmtId="37" fontId="0" fillId="0" borderId="17" xfId="25" applyFont="1" applyBorder="1" applyAlignment="1">
      <alignment horizontal="right"/>
      <protection/>
    </xf>
    <xf numFmtId="37" fontId="0" fillId="0" borderId="0" xfId="25" applyFont="1" applyAlignment="1">
      <alignment horizontal="left" indent="1"/>
      <protection/>
    </xf>
    <xf numFmtId="42" fontId="0" fillId="0" borderId="13" xfId="25" applyNumberFormat="1" applyFont="1" applyBorder="1" applyAlignment="1">
      <alignment horizontal="right"/>
      <protection/>
    </xf>
    <xf numFmtId="37" fontId="0" fillId="0" borderId="20" xfId="25" applyFont="1" applyBorder="1">
      <alignment/>
      <protection/>
    </xf>
    <xf numFmtId="37" fontId="9" fillId="0" borderId="29" xfId="23" applyFont="1" applyFill="1" applyBorder="1" applyAlignment="1">
      <alignment horizontal="center"/>
      <protection/>
    </xf>
    <xf numFmtId="37" fontId="9" fillId="0" borderId="30" xfId="23" applyFont="1" applyFill="1" applyBorder="1" applyAlignment="1">
      <alignment horizontal="center"/>
      <protection/>
    </xf>
    <xf numFmtId="37" fontId="9" fillId="0" borderId="31" xfId="23" applyFont="1" applyFill="1" applyBorder="1" applyAlignment="1">
      <alignment horizontal="center"/>
      <protection/>
    </xf>
    <xf numFmtId="42" fontId="9" fillId="6" borderId="34" xfId="18" applyNumberFormat="1" applyFont="1" applyFill="1" applyBorder="1" applyAlignment="1">
      <alignment horizontal="right"/>
    </xf>
    <xf numFmtId="42" fontId="9" fillId="6" borderId="35" xfId="18" applyNumberFormat="1" applyFont="1" applyFill="1" applyBorder="1" applyAlignment="1">
      <alignment horizontal="right"/>
    </xf>
    <xf numFmtId="42" fontId="0" fillId="0" borderId="13" xfId="25" applyNumberFormat="1" applyFont="1" applyFill="1" applyBorder="1" applyAlignment="1">
      <alignment/>
      <protection/>
    </xf>
    <xf numFmtId="42" fontId="0" fillId="0" borderId="14" xfId="25" applyNumberFormat="1" applyFont="1" applyFill="1" applyBorder="1" applyAlignment="1">
      <alignment/>
      <protection/>
    </xf>
    <xf numFmtId="42" fontId="0" fillId="0" borderId="13" xfId="23" applyNumberFormat="1" applyFont="1" applyFill="1" applyBorder="1">
      <alignment/>
      <protection/>
    </xf>
    <xf numFmtId="42" fontId="0" fillId="0" borderId="14" xfId="23" applyNumberFormat="1" applyFont="1" applyFill="1" applyBorder="1">
      <alignment/>
      <protection/>
    </xf>
    <xf numFmtId="37" fontId="0" fillId="0" borderId="13" xfId="25" applyFont="1" applyFill="1" applyBorder="1" applyAlignment="1">
      <alignment horizontal="right"/>
      <protection/>
    </xf>
    <xf numFmtId="37" fontId="0" fillId="0" borderId="14" xfId="25" applyFont="1" applyFill="1" applyBorder="1" applyAlignment="1">
      <alignment horizontal="right"/>
      <protection/>
    </xf>
    <xf numFmtId="37" fontId="0" fillId="0" borderId="36" xfId="25" applyFont="1" applyFill="1" applyBorder="1" applyAlignment="1">
      <alignment horizontal="right"/>
      <protection/>
    </xf>
    <xf numFmtId="37" fontId="0" fillId="0" borderId="37" xfId="25" applyFont="1" applyFill="1" applyBorder="1" applyAlignment="1">
      <alignment horizontal="right"/>
      <protection/>
    </xf>
    <xf numFmtId="42" fontId="0" fillId="0" borderId="13" xfId="18" applyNumberFormat="1" applyFont="1" applyFill="1" applyBorder="1" applyAlignment="1">
      <alignment/>
    </xf>
    <xf numFmtId="42" fontId="0" fillId="0" borderId="14" xfId="18" applyNumberFormat="1" applyFont="1" applyFill="1" applyBorder="1" applyAlignment="1">
      <alignment/>
    </xf>
    <xf numFmtId="42" fontId="0" fillId="0" borderId="13" xfId="26" applyNumberFormat="1" applyFont="1" applyFill="1" applyBorder="1" applyAlignment="1">
      <alignment/>
    </xf>
    <xf numFmtId="42" fontId="0" fillId="0" borderId="14" xfId="26" applyNumberFormat="1" applyFont="1" applyFill="1" applyBorder="1" applyAlignment="1">
      <alignment/>
    </xf>
    <xf numFmtId="42" fontId="0" fillId="0" borderId="34" xfId="26" applyNumberFormat="1" applyFont="1" applyFill="1" applyBorder="1" applyAlignment="1">
      <alignment/>
    </xf>
    <xf numFmtId="42" fontId="0" fillId="0" borderId="35" xfId="26" applyNumberFormat="1" applyFont="1" applyFill="1" applyBorder="1" applyAlignment="1">
      <alignment/>
    </xf>
    <xf numFmtId="42" fontId="9" fillId="0" borderId="13" xfId="18" applyNumberFormat="1" applyFont="1" applyFill="1" applyBorder="1" applyAlignment="1">
      <alignment/>
    </xf>
    <xf numFmtId="42" fontId="9" fillId="0" borderId="14" xfId="18" applyNumberFormat="1" applyFont="1" applyFill="1" applyBorder="1" applyAlignment="1">
      <alignment/>
    </xf>
    <xf numFmtId="37" fontId="0" fillId="0" borderId="13" xfId="25" applyFont="1" applyFill="1" applyBorder="1">
      <alignment/>
      <protection/>
    </xf>
    <xf numFmtId="42" fontId="0" fillId="5" borderId="13" xfId="18" applyNumberFormat="1" applyFont="1" applyFill="1" applyBorder="1" applyAlignment="1">
      <alignment/>
    </xf>
    <xf numFmtId="42" fontId="0" fillId="5" borderId="14" xfId="18" applyNumberFormat="1" applyFont="1" applyFill="1" applyBorder="1" applyAlignment="1">
      <alignment/>
    </xf>
    <xf numFmtId="37" fontId="0" fillId="2" borderId="13" xfId="25" applyFont="1" applyFill="1" applyBorder="1" applyAlignment="1">
      <alignment horizontal="right"/>
      <protection/>
    </xf>
    <xf numFmtId="37" fontId="0" fillId="2" borderId="0" xfId="25" applyFont="1" applyFill="1" applyBorder="1" applyAlignment="1">
      <alignment horizontal="right"/>
      <protection/>
    </xf>
    <xf numFmtId="37" fontId="0" fillId="2" borderId="14" xfId="25" applyFont="1" applyFill="1" applyBorder="1" applyAlignment="1">
      <alignment horizontal="right"/>
      <protection/>
    </xf>
    <xf numFmtId="37" fontId="0" fillId="2" borderId="36" xfId="25" applyFont="1" applyFill="1" applyBorder="1" applyAlignment="1">
      <alignment horizontal="right"/>
      <protection/>
    </xf>
    <xf numFmtId="37" fontId="0" fillId="2" borderId="37" xfId="25" applyFont="1" applyFill="1" applyBorder="1" applyAlignment="1">
      <alignment horizontal="right"/>
      <protection/>
    </xf>
    <xf numFmtId="42" fontId="0" fillId="0" borderId="0" xfId="25" applyNumberFormat="1" applyFont="1" applyBorder="1" applyAlignment="1">
      <alignment/>
      <protection/>
    </xf>
    <xf numFmtId="42" fontId="0" fillId="0" borderId="14" xfId="25" applyNumberFormat="1" applyFont="1" applyBorder="1" applyAlignment="1">
      <alignment/>
      <protection/>
    </xf>
    <xf numFmtId="42" fontId="0" fillId="0" borderId="35" xfId="25" applyNumberFormat="1" applyFont="1" applyBorder="1" applyAlignment="1">
      <alignment/>
      <protection/>
    </xf>
    <xf numFmtId="37" fontId="0" fillId="2" borderId="13" xfId="25" applyFont="1" applyFill="1" applyBorder="1">
      <alignment/>
      <protection/>
    </xf>
    <xf numFmtId="37" fontId="0" fillId="2" borderId="0" xfId="25" applyFont="1" applyFill="1" applyBorder="1">
      <alignment/>
      <protection/>
    </xf>
    <xf numFmtId="37" fontId="0" fillId="2" borderId="14" xfId="25" applyFont="1" applyFill="1" applyBorder="1">
      <alignment/>
      <protection/>
    </xf>
    <xf numFmtId="37" fontId="0" fillId="5" borderId="12" xfId="23" applyFont="1" applyFill="1" applyBorder="1">
      <alignment/>
      <protection/>
    </xf>
    <xf numFmtId="42" fontId="0" fillId="5" borderId="12" xfId="23" applyNumberFormat="1" applyFont="1" applyFill="1" applyBorder="1">
      <alignment/>
      <protection/>
    </xf>
    <xf numFmtId="42" fontId="0" fillId="5" borderId="17" xfId="23" applyNumberFormat="1" applyFont="1" applyFill="1" applyBorder="1">
      <alignment/>
      <protection/>
    </xf>
    <xf numFmtId="42" fontId="0" fillId="5" borderId="20" xfId="23" applyNumberFormat="1" applyFont="1" applyFill="1" applyBorder="1">
      <alignment/>
      <protection/>
    </xf>
    <xf numFmtId="0" fontId="0"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xf>
    <xf numFmtId="37" fontId="0" fillId="0" borderId="25" xfId="23" applyFont="1" applyFill="1" applyBorder="1">
      <alignment/>
      <protection/>
    </xf>
    <xf numFmtId="37" fontId="0" fillId="0" borderId="25" xfId="23" applyFont="1" applyFill="1" applyBorder="1" applyAlignment="1">
      <alignment horizontal="right"/>
      <protection/>
    </xf>
    <xf numFmtId="37" fontId="9" fillId="0" borderId="5" xfId="23" applyFont="1" applyFill="1" applyBorder="1">
      <alignment/>
      <protection/>
    </xf>
    <xf numFmtId="37" fontId="0" fillId="0" borderId="5" xfId="23" applyFont="1" applyFill="1" applyBorder="1" applyAlignment="1">
      <alignment horizontal="right"/>
      <protection/>
    </xf>
    <xf numFmtId="0" fontId="18" fillId="0" borderId="38" xfId="24" applyFont="1" applyFill="1" applyBorder="1" applyAlignment="1">
      <alignment/>
      <protection/>
    </xf>
    <xf numFmtId="37" fontId="0" fillId="0" borderId="0" xfId="0" applyNumberFormat="1" applyFill="1" applyAlignment="1">
      <alignment/>
    </xf>
    <xf numFmtId="0" fontId="18" fillId="0" borderId="24" xfId="24" applyFont="1" applyFill="1" applyBorder="1" applyAlignment="1">
      <alignment/>
      <protection/>
    </xf>
    <xf numFmtId="0" fontId="18" fillId="0" borderId="39" xfId="24" applyFont="1" applyFill="1" applyBorder="1" applyAlignment="1">
      <alignment/>
      <protection/>
    </xf>
    <xf numFmtId="0" fontId="18" fillId="0" borderId="25" xfId="24" applyFont="1" applyFill="1" applyBorder="1" applyAlignment="1">
      <alignment/>
      <protection/>
    </xf>
    <xf numFmtId="37" fontId="0" fillId="0" borderId="25" xfId="0" applyNumberFormat="1" applyFill="1" applyBorder="1" applyAlignment="1">
      <alignment/>
    </xf>
    <xf numFmtId="0" fontId="0" fillId="0" borderId="25" xfId="0" applyFill="1" applyBorder="1" applyAlignment="1">
      <alignment/>
    </xf>
    <xf numFmtId="37" fontId="0" fillId="2" borderId="0" xfId="23" applyFont="1" applyFill="1">
      <alignment/>
      <protection/>
    </xf>
    <xf numFmtId="37" fontId="0" fillId="2" borderId="25" xfId="23" applyFont="1" applyFill="1" applyBorder="1">
      <alignment/>
      <protection/>
    </xf>
    <xf numFmtId="0" fontId="9" fillId="7" borderId="26" xfId="0" applyFont="1" applyFill="1" applyBorder="1" applyAlignment="1">
      <alignment/>
    </xf>
    <xf numFmtId="0" fontId="0" fillId="7" borderId="27" xfId="0" applyFill="1" applyBorder="1" applyAlignment="1">
      <alignment/>
    </xf>
    <xf numFmtId="0" fontId="0" fillId="7" borderId="28" xfId="0" applyFill="1" applyBorder="1" applyAlignment="1">
      <alignment/>
    </xf>
    <xf numFmtId="37" fontId="9" fillId="0" borderId="25" xfId="25" applyFont="1" applyFill="1" applyBorder="1">
      <alignment/>
      <protection/>
    </xf>
    <xf numFmtId="37" fontId="0" fillId="0" borderId="25" xfId="23" applyFont="1" applyFill="1" applyBorder="1" applyAlignment="1">
      <alignment horizontal="right" wrapText="1"/>
      <protection/>
    </xf>
    <xf numFmtId="0" fontId="9" fillId="6" borderId="21" xfId="0" applyFont="1" applyFill="1" applyBorder="1" applyAlignment="1">
      <alignment/>
    </xf>
    <xf numFmtId="0" fontId="0" fillId="6" borderId="22" xfId="0" applyFont="1" applyFill="1" applyBorder="1" applyAlignment="1">
      <alignment/>
    </xf>
    <xf numFmtId="0" fontId="0" fillId="6" borderId="23" xfId="0" applyFont="1" applyFill="1" applyBorder="1" applyAlignment="1">
      <alignment/>
    </xf>
    <xf numFmtId="0" fontId="11" fillId="6" borderId="13" xfId="0" applyFont="1" applyFill="1" applyBorder="1" applyAlignment="1">
      <alignment/>
    </xf>
    <xf numFmtId="0" fontId="9" fillId="6" borderId="0" xfId="0" applyFont="1" applyFill="1" applyBorder="1" applyAlignment="1">
      <alignment horizontal="center"/>
    </xf>
    <xf numFmtId="0" fontId="9" fillId="6" borderId="14" xfId="0" applyFont="1" applyFill="1" applyBorder="1" applyAlignment="1">
      <alignment horizontal="center"/>
    </xf>
    <xf numFmtId="0" fontId="9" fillId="6" borderId="13" xfId="0" applyFont="1" applyFill="1" applyBorder="1" applyAlignment="1">
      <alignment/>
    </xf>
    <xf numFmtId="42" fontId="0" fillId="6" borderId="0" xfId="0" applyNumberFormat="1" applyFont="1" applyFill="1" applyBorder="1" applyAlignment="1">
      <alignment/>
    </xf>
    <xf numFmtId="42" fontId="0" fillId="6" borderId="15" xfId="0" applyNumberFormat="1" applyFont="1" applyFill="1" applyBorder="1" applyAlignment="1">
      <alignment/>
    </xf>
    <xf numFmtId="42" fontId="0" fillId="6" borderId="16" xfId="0" applyNumberFormat="1" applyFont="1" applyFill="1" applyBorder="1" applyAlignment="1">
      <alignment/>
    </xf>
    <xf numFmtId="0" fontId="0" fillId="6" borderId="17" xfId="0" applyFont="1" applyFill="1" applyBorder="1" applyAlignment="1">
      <alignment/>
    </xf>
    <xf numFmtId="0" fontId="0" fillId="6" borderId="12" xfId="0" applyFont="1" applyFill="1" applyBorder="1" applyAlignment="1">
      <alignment/>
    </xf>
    <xf numFmtId="42" fontId="0" fillId="6" borderId="18" xfId="0" applyNumberFormat="1" applyFont="1" applyFill="1" applyBorder="1" applyAlignment="1">
      <alignment/>
    </xf>
    <xf numFmtId="0" fontId="0" fillId="6" borderId="23" xfId="0" applyFill="1" applyBorder="1" applyAlignment="1">
      <alignment/>
    </xf>
    <xf numFmtId="0" fontId="0" fillId="6" borderId="13" xfId="0" applyFont="1" applyFill="1" applyBorder="1" applyAlignment="1">
      <alignment/>
    </xf>
    <xf numFmtId="0" fontId="0" fillId="6" borderId="14" xfId="0" applyFill="1" applyBorder="1" applyAlignment="1">
      <alignment/>
    </xf>
    <xf numFmtId="42" fontId="0" fillId="6" borderId="13" xfId="0" applyNumberFormat="1" applyFont="1" applyFill="1" applyBorder="1" applyAlignment="1">
      <alignment/>
    </xf>
    <xf numFmtId="42" fontId="0" fillId="6" borderId="40" xfId="0" applyNumberFormat="1" applyFont="1" applyFill="1" applyBorder="1" applyAlignment="1">
      <alignment/>
    </xf>
    <xf numFmtId="0" fontId="0" fillId="6" borderId="20" xfId="0" applyFill="1" applyBorder="1" applyAlignment="1">
      <alignment/>
    </xf>
    <xf numFmtId="0" fontId="9" fillId="6" borderId="9" xfId="0" applyFont="1" applyFill="1" applyBorder="1" applyAlignment="1">
      <alignment horizontal="center"/>
    </xf>
    <xf numFmtId="42" fontId="9" fillId="6" borderId="9" xfId="0" applyNumberFormat="1" applyFont="1" applyFill="1" applyBorder="1" applyAlignment="1">
      <alignment/>
    </xf>
    <xf numFmtId="42" fontId="0" fillId="0" borderId="25" xfId="0" applyNumberFormat="1" applyFill="1" applyBorder="1" applyAlignment="1">
      <alignment/>
    </xf>
    <xf numFmtId="41" fontId="0" fillId="0" borderId="0" xfId="0" applyNumberFormat="1" applyBorder="1" applyAlignment="1">
      <alignment/>
    </xf>
    <xf numFmtId="5" fontId="0" fillId="0" borderId="0" xfId="18" applyNumberFormat="1" applyFont="1" applyFill="1" applyAlignment="1">
      <alignment/>
    </xf>
    <xf numFmtId="37" fontId="0" fillId="0" borderId="0" xfId="25" applyFont="1" applyBorder="1" applyAlignment="1">
      <alignment horizontal="left" indent="1"/>
      <protection/>
    </xf>
    <xf numFmtId="0" fontId="19" fillId="0" borderId="0" xfId="0" applyFont="1" applyAlignment="1">
      <alignment/>
    </xf>
    <xf numFmtId="171" fontId="0" fillId="0" borderId="9" xfId="0" applyNumberFormat="1" applyFill="1" applyBorder="1" applyAlignment="1">
      <alignment horizontal="left" vertical="top"/>
    </xf>
    <xf numFmtId="171" fontId="0" fillId="0" borderId="9" xfId="0" applyNumberFormat="1" applyFill="1" applyBorder="1" applyAlignment="1">
      <alignment horizontal="center" vertical="top"/>
    </xf>
    <xf numFmtId="171" fontId="0" fillId="0" borderId="9" xfId="0" applyNumberFormat="1" applyFill="1" applyBorder="1" applyAlignment="1">
      <alignment vertical="top"/>
    </xf>
    <xf numFmtId="42" fontId="0" fillId="0" borderId="0" xfId="25" applyNumberFormat="1" applyFont="1" applyFill="1" applyAlignment="1">
      <alignment horizontal="right"/>
      <protection/>
    </xf>
    <xf numFmtId="42" fontId="0" fillId="0" borderId="13" xfId="25" applyNumberFormat="1" applyFont="1" applyFill="1" applyBorder="1" applyAlignment="1">
      <alignment horizontal="right"/>
      <protection/>
    </xf>
    <xf numFmtId="42" fontId="0" fillId="0" borderId="7" xfId="25" applyNumberFormat="1" applyFont="1" applyFill="1" applyBorder="1" applyAlignment="1">
      <alignment horizontal="right"/>
      <protection/>
    </xf>
    <xf numFmtId="42" fontId="0" fillId="0" borderId="34" xfId="25" applyNumberFormat="1" applyFont="1" applyFill="1" applyBorder="1" applyAlignment="1">
      <alignment horizontal="right"/>
      <protection/>
    </xf>
    <xf numFmtId="42" fontId="0" fillId="0" borderId="12" xfId="25" applyNumberFormat="1" applyFont="1" applyBorder="1" applyAlignment="1">
      <alignment horizontal="right"/>
      <protection/>
    </xf>
    <xf numFmtId="42" fontId="0" fillId="0" borderId="17" xfId="25" applyNumberFormat="1" applyFont="1" applyBorder="1" applyAlignment="1">
      <alignment horizontal="right"/>
      <protection/>
    </xf>
    <xf numFmtId="42" fontId="0" fillId="0" borderId="0" xfId="25" applyNumberFormat="1" applyFont="1" applyBorder="1" applyAlignment="1">
      <alignment horizontal="right"/>
      <protection/>
    </xf>
    <xf numFmtId="42" fontId="0" fillId="0" borderId="13" xfId="25" applyNumberFormat="1" applyFont="1" applyBorder="1">
      <alignment/>
      <protection/>
    </xf>
    <xf numFmtId="42" fontId="0" fillId="0" borderId="7" xfId="25" applyNumberFormat="1" applyFont="1" applyFill="1" applyBorder="1" applyAlignment="1">
      <alignment/>
      <protection/>
    </xf>
    <xf numFmtId="42" fontId="0" fillId="0" borderId="12" xfId="25" applyNumberFormat="1" applyFont="1" applyBorder="1" applyAlignment="1">
      <alignment/>
      <protection/>
    </xf>
    <xf numFmtId="3" fontId="0" fillId="0" borderId="0" xfId="0" applyNumberFormat="1" applyFont="1" applyFill="1" applyBorder="1" applyAlignment="1">
      <alignment/>
    </xf>
    <xf numFmtId="0" fontId="9" fillId="0" borderId="0" xfId="0" applyFont="1" applyFill="1" applyBorder="1" applyAlignment="1">
      <alignment horizontal="center"/>
    </xf>
    <xf numFmtId="3" fontId="0" fillId="0" borderId="13" xfId="0" applyNumberFormat="1" applyFont="1" applyFill="1" applyBorder="1" applyAlignment="1">
      <alignment/>
    </xf>
    <xf numFmtId="0" fontId="0" fillId="0" borderId="13" xfId="0" applyFont="1" applyFill="1" applyBorder="1" applyAlignment="1">
      <alignment/>
    </xf>
    <xf numFmtId="0" fontId="9" fillId="0" borderId="13" xfId="0" applyFont="1" applyFill="1" applyBorder="1" applyAlignment="1">
      <alignment/>
    </xf>
    <xf numFmtId="44" fontId="0" fillId="0" borderId="13" xfId="0" applyNumberFormat="1" applyFont="1" applyFill="1" applyBorder="1" applyAlignment="1">
      <alignment horizontal="center"/>
    </xf>
    <xf numFmtId="10" fontId="9" fillId="7" borderId="27" xfId="26" applyNumberFormat="1" applyFont="1" applyFill="1" applyBorder="1" applyAlignment="1">
      <alignment/>
    </xf>
    <xf numFmtId="0" fontId="0" fillId="4" borderId="0" xfId="0" applyFill="1" applyAlignment="1">
      <alignment horizontal="center"/>
    </xf>
    <xf numFmtId="5" fontId="0" fillId="0" borderId="0" xfId="0" applyNumberFormat="1" applyAlignment="1">
      <alignment/>
    </xf>
    <xf numFmtId="42" fontId="0" fillId="4" borderId="0" xfId="0" applyNumberFormat="1" applyFill="1" applyAlignment="1">
      <alignment/>
    </xf>
    <xf numFmtId="42" fontId="0" fillId="4" borderId="0" xfId="0" applyNumberFormat="1" applyFill="1" applyAlignment="1" quotePrefix="1">
      <alignment/>
    </xf>
    <xf numFmtId="10" fontId="0" fillId="0" borderId="9" xfId="0" applyNumberFormat="1" applyBorder="1" applyAlignment="1">
      <alignment/>
    </xf>
    <xf numFmtId="37" fontId="0" fillId="0" borderId="25" xfId="25" applyFont="1" applyFill="1" applyBorder="1" applyAlignment="1">
      <alignment horizontal="center"/>
      <protection/>
    </xf>
    <xf numFmtId="0" fontId="4" fillId="2" borderId="4" xfId="22" applyFont="1" applyFill="1" applyBorder="1" applyAlignment="1">
      <alignment horizontal="center"/>
      <protection/>
    </xf>
    <xf numFmtId="0" fontId="4" fillId="2" borderId="5" xfId="22" applyFont="1" applyFill="1" applyBorder="1" applyAlignment="1">
      <alignment horizontal="center"/>
      <protection/>
    </xf>
    <xf numFmtId="0" fontId="4" fillId="2" borderId="6" xfId="22" applyFont="1" applyFill="1" applyBorder="1" applyAlignment="1">
      <alignment horizontal="center"/>
      <protection/>
    </xf>
    <xf numFmtId="166" fontId="0" fillId="5" borderId="32" xfId="18" applyNumberFormat="1" applyFont="1" applyFill="1" applyBorder="1" applyAlignment="1">
      <alignment horizontal="center"/>
    </xf>
    <xf numFmtId="166" fontId="0" fillId="5" borderId="5" xfId="18" applyNumberFormat="1" applyFont="1" applyFill="1" applyBorder="1" applyAlignment="1">
      <alignment horizontal="center"/>
    </xf>
    <xf numFmtId="166" fontId="0" fillId="5" borderId="33" xfId="18" applyNumberFormat="1" applyFont="1" applyFill="1"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21"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1" xfId="0" applyFont="1" applyBorder="1" applyAlignment="1">
      <alignment horizontal="left" vertical="top" wrapText="1"/>
    </xf>
    <xf numFmtId="0" fontId="0" fillId="0" borderId="23" xfId="0" applyFont="1" applyBorder="1" applyAlignment="1">
      <alignment horizontal="left" vertical="top" wrapText="1"/>
    </xf>
    <xf numFmtId="0" fontId="0" fillId="0" borderId="21" xfId="0" applyBorder="1" applyAlignment="1">
      <alignment horizontal="left" wrapText="1"/>
    </xf>
    <xf numFmtId="0" fontId="0" fillId="0" borderId="23" xfId="0" applyBorder="1" applyAlignment="1">
      <alignment horizontal="left" wrapText="1"/>
    </xf>
    <xf numFmtId="0" fontId="0" fillId="0" borderId="0" xfId="0" applyFont="1" applyBorder="1" applyAlignment="1">
      <alignment horizontal="left" vertical="top" wrapText="1"/>
    </xf>
  </cellXfs>
  <cellStyles count="13">
    <cellStyle name="Normal" xfId="0"/>
    <cellStyle name="Comma" xfId="15"/>
    <cellStyle name="Comma [0]" xfId="16"/>
    <cellStyle name="CommaD" xfId="17"/>
    <cellStyle name="Currency" xfId="18"/>
    <cellStyle name="Currency [0]" xfId="19"/>
    <cellStyle name="Followed Hyperlink" xfId="20"/>
    <cellStyle name="Hyperlink" xfId="21"/>
    <cellStyle name="Normal_Budget Neutrality formula w. Pres budget rates actuals 1.10" xfId="22"/>
    <cellStyle name="Normal_CMS 64.9 Actuals updated through QE 1205" xfId="23"/>
    <cellStyle name="Normal_CMS-64" xfId="24"/>
    <cellStyle name="Normal_IN PROGRESS Budget Neutrality updated 04.12.06"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57150</xdr:rowOff>
    </xdr:from>
    <xdr:to>
      <xdr:col>9</xdr:col>
      <xdr:colOff>571500</xdr:colOff>
      <xdr:row>48</xdr:row>
      <xdr:rowOff>0</xdr:rowOff>
    </xdr:to>
    <xdr:sp>
      <xdr:nvSpPr>
        <xdr:cNvPr id="1" name="TextBox 1"/>
        <xdr:cNvSpPr txBox="1">
          <a:spLocks noChangeArrowheads="1"/>
        </xdr:cNvSpPr>
      </xdr:nvSpPr>
      <xdr:spPr>
        <a:xfrm>
          <a:off x="47625" y="6896100"/>
          <a:ext cx="8753475" cy="496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The following notes are incorporated by reference into chart A
</a:t>
          </a:r>
          <a:r>
            <a:rPr lang="en-US" cap="none" sz="1000" b="0" i="0" u="none" baseline="0">
              <a:latin typeface="Arial"/>
              <a:ea typeface="Arial"/>
              <a:cs typeface="Arial"/>
            </a:rPr>
            <a:t>
(1) The provider-specific Public Service Hospital Safety Net Care payments approved by CMS are as follows:. For dates of service in SFY 2009, BMC, $52,000,000; CHA, $125,500,000. For dates of service in SFY 2010, BMC, $52,000,000; CHA, $238,658,792. For dates of service in SFY 2011, BMC, $52,000,000; CHA, $228,105,131. The Commonwealth may decrease these payment amounts based on available funding without a Demonstration amendment; any increase will require a Demonstration amendment. 
(2) Health Safety Net Trust Fund (HSNTF) Safety Net Care Payments are made based on adjudicated claims, and approved by CMS on an aggregate
basis. Consequently, actual total and provider-specific payment amounts may vary depending on volume, service mix, rates, and available funding.
(3) Any amount under item #3 in chart A for dates of service after June 30, 2009 shall require a Demonstration amendment. For SFY 2009, the payment
amount for BMC is $106,666,667, and the payment amount for CHA is $53,333,333. The Commonwealth may decrease these payment amounts based
on available funding without a Demonstration amendment; any increase will require a Demonstration amendment.
(4) IMD claiming is based on adjudicated claims, and approved by CMS on an aggregate basis. Consequently, actual total and provider-specific payment
amounts may vary depending on volume, service mix, rates, and available funding. Three payment types make up the IMD category listed in item #4 in
chart A; inpatient services at psychiatric inpatient hospitals, administrative days, and inpatient services at community-based detoxification centers.
(5) Expenditures for items #5-6 in chart A are based on unreimbursed Medicaid and uninsured costs, and are approved by CMS on an aggregate basis.
Consequently, the total and provider-specific amounts expended may vary depending on volume, service mix, and cost growth.
(6) Expenditures for Commonwealth Care Premium Assistance are based on actual enrollment, capitation rates, and expected enrollee contributions,
and are approved by CMS on an aggregate basis. Consequently, the amount for each year may vary.
(7) Infrastructure and Capacity-Building (ICB) funds support Commonwealth-defined health systems improvement projects, and are approved by CMS on an aggregate basis. Participating providers and provider-specific amounts are determined annually based on a formal request for proposals (RFP) process. Spending for ICB is subject to the limit described in paragraph 45 (b).
(8) Transitional Relief for Private Hospitals is distributed based on a formula that utilizes information from the Division of Health Care Finance and Policy (DHCFP) 403 cost report, and is approved by CMS on an aggregate basis. Consequently, actual provider-specific funding amounts may vary.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47</xdr:row>
      <xdr:rowOff>0</xdr:rowOff>
    </xdr:from>
    <xdr:to>
      <xdr:col>3</xdr:col>
      <xdr:colOff>942975</xdr:colOff>
      <xdr:row>53</xdr:row>
      <xdr:rowOff>85725</xdr:rowOff>
    </xdr:to>
    <xdr:sp>
      <xdr:nvSpPr>
        <xdr:cNvPr id="1" name="TextBox 2"/>
        <xdr:cNvSpPr txBox="1">
          <a:spLocks noChangeArrowheads="1"/>
        </xdr:cNvSpPr>
      </xdr:nvSpPr>
      <xdr:spPr>
        <a:xfrm>
          <a:off x="104775" y="8077200"/>
          <a:ext cx="350520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Starting in SFY 2009, actual expenditures for the CommCare 19-20, Essential 19-20, and CommCare Parents Egs will be included in the expenditure limit for the Commonwealth. The amount of actual expenditures to be included will be the lower of the trended baseline costs, or actual per member per month cost experience for these groups in SFYs 2009-2011.</a:t>
          </a:r>
        </a:p>
      </xdr:txBody>
    </xdr:sp>
    <xdr:clientData/>
  </xdr:twoCellAnchor>
  <xdr:twoCellAnchor>
    <xdr:from>
      <xdr:col>5</xdr:col>
      <xdr:colOff>0</xdr:colOff>
      <xdr:row>47</xdr:row>
      <xdr:rowOff>0</xdr:rowOff>
    </xdr:from>
    <xdr:to>
      <xdr:col>6</xdr:col>
      <xdr:colOff>2543175</xdr:colOff>
      <xdr:row>53</xdr:row>
      <xdr:rowOff>85725</xdr:rowOff>
    </xdr:to>
    <xdr:sp>
      <xdr:nvSpPr>
        <xdr:cNvPr id="2" name="TextBox 3"/>
        <xdr:cNvSpPr txBox="1">
          <a:spLocks noChangeArrowheads="1"/>
        </xdr:cNvSpPr>
      </xdr:nvSpPr>
      <xdr:spPr>
        <a:xfrm>
          <a:off x="3848100" y="8077200"/>
          <a:ext cx="350520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Starting in SFY 2009, actual expenditures for the CommCare 19-20, Essential 19-20, and CommCare Parents Egs will be included in the expenditure limit for the Commonwealth. The amount of actual expenditures to be included will be the lower of the trended baseline costs, or actual per member per month cost experience for these groups in SFYs 2009-2011.</a:t>
          </a:r>
        </a:p>
      </xdr:txBody>
    </xdr:sp>
    <xdr:clientData/>
  </xdr:twoCellAnchor>
  <xdr:twoCellAnchor>
    <xdr:from>
      <xdr:col>8</xdr:col>
      <xdr:colOff>0</xdr:colOff>
      <xdr:row>47</xdr:row>
      <xdr:rowOff>0</xdr:rowOff>
    </xdr:from>
    <xdr:to>
      <xdr:col>11</xdr:col>
      <xdr:colOff>504825</xdr:colOff>
      <xdr:row>55</xdr:row>
      <xdr:rowOff>57150</xdr:rowOff>
    </xdr:to>
    <xdr:sp>
      <xdr:nvSpPr>
        <xdr:cNvPr id="3" name="TextBox 4"/>
        <xdr:cNvSpPr txBox="1">
          <a:spLocks noChangeArrowheads="1"/>
        </xdr:cNvSpPr>
      </xdr:nvSpPr>
      <xdr:spPr>
        <a:xfrm>
          <a:off x="7543800" y="8077200"/>
          <a:ext cx="3505200"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 Starting in SFY 2006, actual expenditures for the CommonHealth EG will be included in the expenditure limit for the Commonwealth. The amount of actual expenditures to be included will be the lower of the trended baseline CommonHealth costs [using recent base year experience and approved trend rates] or actual CommonHealth per member per month (PMPM) cost experience for SFYs 2009-2011 [DYs 12, 13, and 14].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28575</xdr:rowOff>
    </xdr:from>
    <xdr:to>
      <xdr:col>3</xdr:col>
      <xdr:colOff>571500</xdr:colOff>
      <xdr:row>11</xdr:row>
      <xdr:rowOff>85725</xdr:rowOff>
    </xdr:to>
    <xdr:sp>
      <xdr:nvSpPr>
        <xdr:cNvPr id="1" name="TextBox 7"/>
        <xdr:cNvSpPr txBox="1">
          <a:spLocks noChangeArrowheads="1"/>
        </xdr:cNvSpPr>
      </xdr:nvSpPr>
      <xdr:spPr>
        <a:xfrm>
          <a:off x="104775" y="581025"/>
          <a:ext cx="3362325"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 Starting in SFY 2006, actual expenditures for the CommonHealth EG will be included in the expenditure limit for the Commonwealth. The amount of actual expenditures to be included will be the lower of the trended baseline CommonHealth costs [using recent base year experience and approved trend rates] or actual CommonHealth per member per month (PMPM) cost experience for SFYs 2009-2011 [DYs 12, 13, and 14].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hs-fp-bos-001\users$\bwalker\Waiver%20and%20SNCP\Budget%20Neutrality\MMA%20adjustment\MMA%20adjust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Rx trend"/>
      <sheetName val="Freeze"/>
      <sheetName val="New Work"/>
      <sheetName val="MMA for CMS"/>
      <sheetName val="All MM work"/>
      <sheetName val="SCHIP"/>
      <sheetName val="Work"/>
      <sheetName val="Clawback"/>
      <sheetName val="PMP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O55"/>
  <sheetViews>
    <sheetView tabSelected="1"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3.28125" style="67" bestFit="1" customWidth="1"/>
    <col min="2" max="2" width="46.00390625" style="67" customWidth="1"/>
    <col min="3" max="5" width="23.7109375" style="67" customWidth="1"/>
    <col min="6" max="6" width="7.8515625" style="67" customWidth="1"/>
    <col min="7" max="7" width="21.28125" style="67" bestFit="1" customWidth="1"/>
    <col min="8" max="9" width="21.28125" style="67" customWidth="1"/>
    <col min="10" max="10" width="18.28125" style="67" bestFit="1" customWidth="1"/>
    <col min="11" max="11" width="18.140625" style="67" bestFit="1" customWidth="1"/>
    <col min="12" max="13" width="18.140625" style="67" customWidth="1"/>
    <col min="14" max="14" width="14.7109375" style="67" bestFit="1" customWidth="1"/>
    <col min="15" max="15" width="15.8515625" style="67" bestFit="1" customWidth="1"/>
    <col min="16" max="16384" width="9.140625" style="67" customWidth="1"/>
  </cols>
  <sheetData>
    <row r="1" spans="2:6" ht="18">
      <c r="B1" s="274" t="s">
        <v>38</v>
      </c>
      <c r="F1" s="68"/>
    </row>
    <row r="2" spans="2:6" ht="18.75" thickBot="1">
      <c r="B2" s="274"/>
      <c r="F2" s="68"/>
    </row>
    <row r="3" spans="2:6" ht="15.75" thickBot="1">
      <c r="B3" s="275" t="s">
        <v>231</v>
      </c>
      <c r="C3" s="276"/>
      <c r="D3" s="276"/>
      <c r="E3" s="277">
        <f>E41</f>
        <v>1639986229.1128654</v>
      </c>
      <c r="F3" s="68"/>
    </row>
    <row r="4" spans="2:6" ht="14.25">
      <c r="B4" s="66"/>
      <c r="F4" s="68"/>
    </row>
    <row r="5" spans="2:6" ht="14.25">
      <c r="B5" s="70"/>
      <c r="C5" s="434" t="s">
        <v>10</v>
      </c>
      <c r="D5" s="435"/>
      <c r="E5" s="436"/>
      <c r="F5" s="8"/>
    </row>
    <row r="6" spans="2:6" ht="28.5">
      <c r="B6" s="71" t="s">
        <v>39</v>
      </c>
      <c r="C6" s="72" t="s">
        <v>40</v>
      </c>
      <c r="D6" s="73" t="s">
        <v>41</v>
      </c>
      <c r="E6" s="74" t="s">
        <v>42</v>
      </c>
      <c r="F6" s="2"/>
    </row>
    <row r="7" spans="2:6" ht="15">
      <c r="B7" s="75" t="s">
        <v>43</v>
      </c>
      <c r="C7" s="76"/>
      <c r="D7" s="76"/>
      <c r="E7" s="77"/>
      <c r="F7" s="68"/>
    </row>
    <row r="8" spans="2:14" ht="14.25">
      <c r="B8" s="70" t="s">
        <v>44</v>
      </c>
      <c r="C8" s="78">
        <f>Cap!B58</f>
        <v>2661927714.2703924</v>
      </c>
      <c r="D8" s="79"/>
      <c r="E8" s="79"/>
      <c r="F8" s="80"/>
      <c r="G8" s="81"/>
      <c r="H8" s="81"/>
      <c r="I8" s="81"/>
      <c r="J8" s="82"/>
      <c r="K8" s="83"/>
      <c r="L8" s="83"/>
      <c r="M8" s="83"/>
      <c r="N8" s="83"/>
    </row>
    <row r="9" spans="2:14" ht="14.25">
      <c r="B9" s="70" t="s">
        <v>45</v>
      </c>
      <c r="C9" s="78">
        <f>Cap!C58</f>
        <v>2981161080.2237906</v>
      </c>
      <c r="D9" s="79"/>
      <c r="E9" s="79"/>
      <c r="F9" s="80"/>
      <c r="G9" s="81"/>
      <c r="H9" s="81"/>
      <c r="I9" s="81"/>
      <c r="J9" s="82"/>
      <c r="K9" s="83"/>
      <c r="L9" s="83"/>
      <c r="M9" s="83"/>
      <c r="N9" s="83"/>
    </row>
    <row r="10" spans="2:14" ht="14.25">
      <c r="B10" s="70" t="s">
        <v>46</v>
      </c>
      <c r="C10" s="78">
        <f>Cap!D58</f>
        <v>3238525801.6267724</v>
      </c>
      <c r="D10" s="79"/>
      <c r="E10" s="79"/>
      <c r="F10" s="80"/>
      <c r="G10" s="81"/>
      <c r="H10" s="81"/>
      <c r="I10" s="81"/>
      <c r="J10" s="82"/>
      <c r="K10" s="83"/>
      <c r="L10" s="83"/>
      <c r="M10" s="83"/>
      <c r="N10" s="83"/>
    </row>
    <row r="11" spans="2:14" ht="15" thickBot="1">
      <c r="B11" s="70" t="s">
        <v>47</v>
      </c>
      <c r="C11" s="84">
        <f>Cap!E58</f>
        <v>3471642436.111939</v>
      </c>
      <c r="D11" s="85"/>
      <c r="E11" s="85"/>
      <c r="F11" s="80"/>
      <c r="G11" s="81"/>
      <c r="H11" s="81"/>
      <c r="I11" s="81"/>
      <c r="J11" s="82"/>
      <c r="K11" s="83"/>
      <c r="L11" s="83"/>
      <c r="M11" s="83"/>
      <c r="N11" s="83"/>
    </row>
    <row r="12" spans="2:15" ht="15" thickTop="1">
      <c r="B12" s="70" t="s">
        <v>48</v>
      </c>
      <c r="C12" s="78">
        <f>SUM(C8:C11)</f>
        <v>12353257032.232893</v>
      </c>
      <c r="D12" s="79">
        <f>Actuals!B5</f>
        <v>10995120003.57</v>
      </c>
      <c r="E12" s="79">
        <f>C12-D12</f>
        <v>1358137028.6628933</v>
      </c>
      <c r="F12" s="80"/>
      <c r="G12" s="81"/>
      <c r="H12" s="81"/>
      <c r="I12" s="81"/>
      <c r="J12" s="82"/>
      <c r="K12" s="83"/>
      <c r="L12" s="83"/>
      <c r="M12" s="83"/>
      <c r="N12" s="83"/>
      <c r="O12" s="83"/>
    </row>
    <row r="13" spans="2:15" ht="15" thickBot="1">
      <c r="B13" s="86" t="s">
        <v>49</v>
      </c>
      <c r="C13" s="84">
        <f>Cap!F58</f>
        <v>3885915834.552924</v>
      </c>
      <c r="D13" s="85">
        <f>Actuals!C5</f>
        <v>3866792352.61</v>
      </c>
      <c r="E13" s="85">
        <f>C13-D13</f>
        <v>19123481.942924023</v>
      </c>
      <c r="F13" s="80"/>
      <c r="G13" s="81"/>
      <c r="H13" s="81"/>
      <c r="I13" s="81"/>
      <c r="J13" s="82"/>
      <c r="K13" s="83"/>
      <c r="L13" s="83"/>
      <c r="M13" s="83"/>
      <c r="N13" s="83"/>
      <c r="O13" s="83"/>
    </row>
    <row r="14" spans="2:15" ht="15.75" thickTop="1">
      <c r="B14" s="87" t="s">
        <v>50</v>
      </c>
      <c r="C14" s="88">
        <f>C12+C13</f>
        <v>16239172866.785816</v>
      </c>
      <c r="D14" s="89">
        <f>SUM(D8:D13)</f>
        <v>14861912356.18</v>
      </c>
      <c r="E14" s="89">
        <f>C14-D14</f>
        <v>1377260510.605816</v>
      </c>
      <c r="F14" s="80"/>
      <c r="G14" s="90"/>
      <c r="H14" s="90"/>
      <c r="I14" s="90"/>
      <c r="O14" s="83"/>
    </row>
    <row r="15" spans="2:15" ht="16.5" customHeight="1">
      <c r="B15" s="70"/>
      <c r="C15" s="79"/>
      <c r="D15" s="79"/>
      <c r="E15" s="79"/>
      <c r="F15" s="80"/>
      <c r="G15" s="90"/>
      <c r="H15" s="90"/>
      <c r="I15" s="90"/>
      <c r="O15" s="83"/>
    </row>
    <row r="16" spans="2:15" ht="15">
      <c r="B16" s="75" t="s">
        <v>51</v>
      </c>
      <c r="C16" s="91"/>
      <c r="D16" s="91"/>
      <c r="E16" s="92"/>
      <c r="F16" s="80"/>
      <c r="G16" s="90"/>
      <c r="H16" s="90"/>
      <c r="I16" s="90"/>
      <c r="O16" s="83"/>
    </row>
    <row r="17" spans="2:15" ht="14.25">
      <c r="B17" s="70" t="s">
        <v>52</v>
      </c>
      <c r="C17" s="93">
        <f>Cap!H58</f>
        <v>4042720608.9477725</v>
      </c>
      <c r="D17" s="79">
        <f>Actuals!D5</f>
        <v>3922729067.12</v>
      </c>
      <c r="E17" s="93">
        <f>C17-D17</f>
        <v>119991541.82777262</v>
      </c>
      <c r="F17" s="80"/>
      <c r="G17" s="83"/>
      <c r="H17" s="94"/>
      <c r="I17" s="94"/>
      <c r="J17" s="82"/>
      <c r="K17" s="83"/>
      <c r="L17" s="94"/>
      <c r="M17" s="94"/>
      <c r="N17" s="83"/>
      <c r="O17" s="83"/>
    </row>
    <row r="18" spans="2:15" ht="14.25">
      <c r="B18" s="70" t="s">
        <v>53</v>
      </c>
      <c r="C18" s="93">
        <f>Cap!I58</f>
        <v>4424739093.31707</v>
      </c>
      <c r="D18" s="79">
        <f>Actuals!E5</f>
        <v>4637431665.39</v>
      </c>
      <c r="E18" s="93">
        <f>C18-D18</f>
        <v>-212692572.07293034</v>
      </c>
      <c r="F18" s="80"/>
      <c r="G18" s="83"/>
      <c r="H18" s="94"/>
      <c r="I18" s="94"/>
      <c r="J18" s="82"/>
      <c r="K18" s="83"/>
      <c r="L18" s="94"/>
      <c r="M18" s="94"/>
      <c r="N18" s="83"/>
      <c r="O18" s="83"/>
    </row>
    <row r="19" spans="2:15" ht="15" thickBot="1">
      <c r="B19" s="86" t="s">
        <v>54</v>
      </c>
      <c r="C19" s="85">
        <f>Cap!J58</f>
        <v>4819672012.500364</v>
      </c>
      <c r="D19" s="85">
        <f>Actuals!F5</f>
        <v>5271732140</v>
      </c>
      <c r="E19" s="85">
        <f>C19-D19</f>
        <v>-452060127.4996357</v>
      </c>
      <c r="F19" s="80"/>
      <c r="G19" s="83"/>
      <c r="H19" s="94"/>
      <c r="I19" s="94"/>
      <c r="J19" s="82"/>
      <c r="K19" s="83"/>
      <c r="L19" s="94"/>
      <c r="M19" s="94"/>
      <c r="N19" s="83"/>
      <c r="O19" s="83"/>
    </row>
    <row r="20" spans="2:15" ht="15.75" thickTop="1">
      <c r="B20" s="87" t="s">
        <v>55</v>
      </c>
      <c r="C20" s="95">
        <f>SUM(C17:C19)</f>
        <v>13287131714.765207</v>
      </c>
      <c r="D20" s="95">
        <f>SUM(D17:D19)</f>
        <v>13831892872.51</v>
      </c>
      <c r="E20" s="95">
        <f>SUM(E17:E19)</f>
        <v>-544761157.7447934</v>
      </c>
      <c r="F20" s="68"/>
      <c r="G20" s="90"/>
      <c r="H20" s="94"/>
      <c r="I20" s="94"/>
      <c r="L20" s="94"/>
      <c r="M20" s="94"/>
      <c r="O20" s="83"/>
    </row>
    <row r="21" spans="2:15" s="68" customFormat="1" ht="15" customHeight="1">
      <c r="B21" s="70"/>
      <c r="C21" s="79"/>
      <c r="D21" s="79"/>
      <c r="E21" s="79"/>
      <c r="G21" s="96"/>
      <c r="H21" s="97"/>
      <c r="I21" s="97"/>
      <c r="L21" s="97"/>
      <c r="M21" s="97"/>
      <c r="O21" s="83"/>
    </row>
    <row r="22" spans="2:15" s="68" customFormat="1" ht="30.75" thickBot="1">
      <c r="B22" s="98" t="s">
        <v>56</v>
      </c>
      <c r="C22" s="99">
        <f>SUM(C14,C20)</f>
        <v>29526304581.551025</v>
      </c>
      <c r="D22" s="99">
        <f>SUM(D14,D20)</f>
        <v>28693805228.690002</v>
      </c>
      <c r="E22" s="99">
        <f>SUM(C22-D22)</f>
        <v>832499352.861023</v>
      </c>
      <c r="G22" s="96"/>
      <c r="H22" s="97"/>
      <c r="I22" s="97"/>
      <c r="L22" s="97"/>
      <c r="M22" s="97"/>
      <c r="O22" s="83"/>
    </row>
    <row r="23" spans="2:15" ht="15" thickTop="1">
      <c r="B23" s="70"/>
      <c r="C23" s="79"/>
      <c r="D23" s="79"/>
      <c r="E23" s="79"/>
      <c r="F23" s="68"/>
      <c r="G23" s="90"/>
      <c r="H23" s="94"/>
      <c r="I23" s="94"/>
      <c r="L23" s="94"/>
      <c r="M23" s="94"/>
      <c r="O23" s="83"/>
    </row>
    <row r="24" spans="2:15" ht="15">
      <c r="B24" s="75" t="s">
        <v>97</v>
      </c>
      <c r="C24" s="91"/>
      <c r="D24" s="91"/>
      <c r="E24" s="92"/>
      <c r="F24" s="80"/>
      <c r="G24" s="90"/>
      <c r="H24" s="94"/>
      <c r="I24" s="94"/>
      <c r="L24" s="94"/>
      <c r="M24" s="94"/>
      <c r="O24" s="83"/>
    </row>
    <row r="25" spans="2:15" ht="14.25">
      <c r="B25" s="70" t="s">
        <v>57</v>
      </c>
      <c r="C25" s="93">
        <f>Cap!L58</f>
        <v>5252428419.379294</v>
      </c>
      <c r="D25" s="79">
        <f>Actuals!G5</f>
        <v>5324705398.7995205</v>
      </c>
      <c r="E25" s="93">
        <f>C25-D25</f>
        <v>-72276979.4202261</v>
      </c>
      <c r="F25" s="80"/>
      <c r="G25" s="83"/>
      <c r="H25" s="94"/>
      <c r="I25" s="94"/>
      <c r="J25" s="82"/>
      <c r="K25" s="83"/>
      <c r="L25" s="94"/>
      <c r="M25" s="94"/>
      <c r="N25" s="83"/>
      <c r="O25" s="83"/>
    </row>
    <row r="26" spans="2:15" ht="14.25">
      <c r="B26" s="70" t="s">
        <v>58</v>
      </c>
      <c r="C26" s="93">
        <f>Cap!M58</f>
        <v>5593967957.485406</v>
      </c>
      <c r="D26" s="79">
        <f>Actuals!H5</f>
        <v>5622379876.418425</v>
      </c>
      <c r="E26" s="93">
        <f>C26-D26</f>
        <v>-28411918.933018684</v>
      </c>
      <c r="F26" s="80"/>
      <c r="G26" s="83"/>
      <c r="H26" s="81"/>
      <c r="I26" s="94"/>
      <c r="J26" s="82"/>
      <c r="K26" s="83"/>
      <c r="L26" s="94"/>
      <c r="M26" s="94"/>
      <c r="N26" s="83"/>
      <c r="O26" s="83"/>
    </row>
    <row r="27" spans="2:15" ht="15" thickBot="1">
      <c r="B27" s="86" t="s">
        <v>59</v>
      </c>
      <c r="C27" s="85">
        <f>Cap!N58</f>
        <v>6252713845.943759</v>
      </c>
      <c r="D27" s="85">
        <f>Actuals!I5</f>
        <v>5923297908.058874</v>
      </c>
      <c r="E27" s="85">
        <f>C27-D27</f>
        <v>329415937.88488483</v>
      </c>
      <c r="F27" s="80"/>
      <c r="G27" s="83"/>
      <c r="H27" s="81"/>
      <c r="I27" s="94"/>
      <c r="J27" s="82"/>
      <c r="K27" s="83"/>
      <c r="L27" s="94"/>
      <c r="M27" s="94"/>
      <c r="N27" s="83"/>
      <c r="O27" s="83"/>
    </row>
    <row r="28" spans="2:13" ht="15.75" thickTop="1">
      <c r="B28" s="87" t="s">
        <v>55</v>
      </c>
      <c r="C28" s="95">
        <f>SUM(C25:C27)</f>
        <v>17099110222.80846</v>
      </c>
      <c r="D28" s="95">
        <f>SUM(D25:D27)</f>
        <v>16870383183.27682</v>
      </c>
      <c r="E28" s="95">
        <f>SUM(E25:E27)</f>
        <v>228727039.53164005</v>
      </c>
      <c r="F28" s="68"/>
      <c r="G28" s="90"/>
      <c r="H28" s="94"/>
      <c r="I28" s="94"/>
      <c r="L28" s="94"/>
      <c r="M28" s="94"/>
    </row>
    <row r="29" spans="2:6" ht="14.25">
      <c r="B29" s="70"/>
      <c r="C29" s="79"/>
      <c r="D29" s="79"/>
      <c r="E29" s="79"/>
      <c r="F29" s="68"/>
    </row>
    <row r="30" spans="2:10" s="68" customFormat="1" ht="30.75" thickBot="1">
      <c r="B30" s="98" t="s">
        <v>102</v>
      </c>
      <c r="C30" s="99">
        <f>C22+C28</f>
        <v>46625414804.35948</v>
      </c>
      <c r="D30" s="99">
        <f>D22+D28</f>
        <v>45564188411.96682</v>
      </c>
      <c r="E30" s="99">
        <v>0</v>
      </c>
      <c r="G30" s="96"/>
      <c r="J30" s="96"/>
    </row>
    <row r="31" spans="2:10" s="68" customFormat="1" ht="15.75" thickTop="1">
      <c r="B31" s="116"/>
      <c r="C31" s="89"/>
      <c r="D31" s="89"/>
      <c r="E31" s="89"/>
      <c r="G31" s="96"/>
      <c r="J31" s="96"/>
    </row>
    <row r="32" spans="2:10" s="68" customFormat="1" ht="15">
      <c r="B32" s="75" t="s">
        <v>98</v>
      </c>
      <c r="C32" s="91"/>
      <c r="D32" s="91"/>
      <c r="E32" s="92"/>
      <c r="G32" s="96"/>
      <c r="J32" s="96"/>
    </row>
    <row r="33" spans="2:11" s="68" customFormat="1" ht="14.25">
      <c r="B33" s="70" t="s">
        <v>99</v>
      </c>
      <c r="C33" s="93">
        <f>Cap!P58</f>
        <v>6907004059.588186</v>
      </c>
      <c r="D33" s="79">
        <f>Actuals!J5</f>
        <v>4898559812.645519</v>
      </c>
      <c r="E33" s="93">
        <f>C33-D33</f>
        <v>2008444246.942667</v>
      </c>
      <c r="G33" s="96"/>
      <c r="J33" s="82"/>
      <c r="K33" s="83"/>
    </row>
    <row r="34" spans="2:11" s="68" customFormat="1" ht="14.25">
      <c r="B34" s="70" t="s">
        <v>100</v>
      </c>
      <c r="C34" s="93">
        <f>Cap!Q58</f>
        <v>7550656879.419256</v>
      </c>
      <c r="D34" s="79">
        <f>Actuals!K5</f>
        <v>5266352542.290844</v>
      </c>
      <c r="E34" s="93">
        <f>C34-D34</f>
        <v>2284304337.1284122</v>
      </c>
      <c r="G34" s="96"/>
      <c r="J34" s="82"/>
      <c r="K34" s="83"/>
    </row>
    <row r="35" spans="2:11" s="68" customFormat="1" ht="15" thickBot="1">
      <c r="B35" s="86" t="s">
        <v>101</v>
      </c>
      <c r="C35" s="85">
        <f>Cap!R58</f>
        <v>8232221472.403923</v>
      </c>
      <c r="D35" s="85">
        <f>Actuals!L5</f>
        <v>5685014735.6845045</v>
      </c>
      <c r="E35" s="85">
        <f>C35-D35</f>
        <v>2547206736.7194185</v>
      </c>
      <c r="G35" s="96"/>
      <c r="J35" s="82"/>
      <c r="K35" s="83"/>
    </row>
    <row r="36" spans="2:11" s="68" customFormat="1" ht="15" thickTop="1">
      <c r="B36" s="86" t="s">
        <v>140</v>
      </c>
      <c r="C36" s="93"/>
      <c r="D36" s="93">
        <f>SNCP!I15*1000000</f>
        <v>5199969091.677632</v>
      </c>
      <c r="E36" s="93"/>
      <c r="G36" s="96"/>
      <c r="J36" s="82"/>
      <c r="K36" s="83"/>
    </row>
    <row r="37" spans="2:10" s="68" customFormat="1" ht="15">
      <c r="B37" s="86"/>
      <c r="C37" s="89">
        <f>SUM(C33:C35)</f>
        <v>22689882411.411366</v>
      </c>
      <c r="D37" s="89">
        <f>SUM(D33:D35)+D36</f>
        <v>21049896182.2985</v>
      </c>
      <c r="E37" s="89">
        <f>C37-D37</f>
        <v>1639986229.1128654</v>
      </c>
      <c r="G37" s="96"/>
      <c r="J37" s="96"/>
    </row>
    <row r="38" spans="2:10" s="68" customFormat="1" ht="14.25">
      <c r="B38" s="86"/>
      <c r="C38" s="93"/>
      <c r="D38" s="93"/>
      <c r="E38" s="93"/>
      <c r="G38" s="96"/>
      <c r="J38" s="96"/>
    </row>
    <row r="39" spans="2:10" s="68" customFormat="1" ht="15.75" thickBot="1">
      <c r="B39" s="98" t="s">
        <v>10</v>
      </c>
      <c r="C39" s="99">
        <f>C37</f>
        <v>22689882411.411366</v>
      </c>
      <c r="D39" s="99">
        <f>D37</f>
        <v>21049896182.2985</v>
      </c>
      <c r="E39" s="99">
        <f>E37</f>
        <v>1639986229.1128654</v>
      </c>
      <c r="G39" s="96"/>
      <c r="J39" s="96"/>
    </row>
    <row r="40" spans="2:10" s="68" customFormat="1" ht="15" thickTop="1">
      <c r="B40" s="86"/>
      <c r="C40" s="93"/>
      <c r="D40" s="93"/>
      <c r="E40" s="93"/>
      <c r="G40" s="96"/>
      <c r="J40" s="96"/>
    </row>
    <row r="41" spans="2:15" ht="15.75" thickBot="1">
      <c r="B41" s="87" t="s">
        <v>60</v>
      </c>
      <c r="C41" s="70"/>
      <c r="D41" s="272"/>
      <c r="E41" s="100">
        <f>E39</f>
        <v>1639986229.1128654</v>
      </c>
      <c r="F41" s="68"/>
      <c r="G41" s="83"/>
      <c r="J41" s="101"/>
      <c r="O41" s="83"/>
    </row>
    <row r="42" spans="2:10" ht="15" thickTop="1">
      <c r="B42" s="70"/>
      <c r="C42" s="70"/>
      <c r="D42" s="70"/>
      <c r="E42" s="272"/>
      <c r="F42" s="68"/>
      <c r="G42" s="83"/>
      <c r="J42" s="101"/>
    </row>
    <row r="43" spans="2:7" ht="14.25">
      <c r="B43" s="70"/>
      <c r="C43" s="272"/>
      <c r="D43" s="70"/>
      <c r="E43" s="70"/>
      <c r="F43" s="68"/>
      <c r="G43" s="83"/>
    </row>
    <row r="44" spans="1:7" ht="14.25">
      <c r="A44" s="102"/>
      <c r="D44" s="83"/>
      <c r="E44" s="170"/>
      <c r="F44" s="68"/>
      <c r="G44" s="83"/>
    </row>
    <row r="45" spans="3:5" ht="15">
      <c r="C45" s="83"/>
      <c r="D45" s="82"/>
      <c r="E45" s="171"/>
    </row>
    <row r="46" spans="3:7" ht="14.25">
      <c r="C46" s="83"/>
      <c r="D46" s="83"/>
      <c r="E46" s="170"/>
      <c r="G46" s="83"/>
    </row>
    <row r="47" spans="3:7" ht="14.25">
      <c r="C47" s="83"/>
      <c r="D47" s="83"/>
      <c r="E47" s="149"/>
      <c r="G47" s="83"/>
    </row>
    <row r="48" spans="3:5" ht="14.25">
      <c r="C48" s="83"/>
      <c r="D48" s="83"/>
      <c r="E48" s="149"/>
    </row>
    <row r="49" spans="3:7" ht="14.25">
      <c r="C49" s="90"/>
      <c r="D49" s="90"/>
      <c r="E49" s="150"/>
      <c r="G49" s="83"/>
    </row>
    <row r="50" spans="3:5" ht="14.25">
      <c r="C50" s="94"/>
      <c r="D50" s="83"/>
      <c r="E50" s="149"/>
    </row>
    <row r="51" spans="3:5" ht="14.25">
      <c r="C51" s="83"/>
      <c r="D51" s="83"/>
      <c r="E51" s="149"/>
    </row>
    <row r="52" spans="3:5" ht="14.25">
      <c r="C52" s="83"/>
      <c r="D52" s="83"/>
      <c r="E52" s="83"/>
    </row>
    <row r="53" spans="3:5" ht="14.25">
      <c r="C53" s="83"/>
      <c r="D53" s="83"/>
      <c r="E53" s="83"/>
    </row>
    <row r="54" spans="3:5" ht="14.25">
      <c r="C54" s="94"/>
      <c r="E54" s="90"/>
    </row>
    <row r="55" ht="14.25">
      <c r="C55" s="101"/>
    </row>
  </sheetData>
  <mergeCells count="1">
    <mergeCell ref="C5:E5"/>
  </mergeCells>
  <printOptions/>
  <pageMargins left="0.75" right="0.75" top="1" bottom="1" header="0.5" footer="0.5"/>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codeName="Sheet10"/>
  <dimension ref="A1:W59"/>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7.140625" style="1" customWidth="1"/>
    <col min="2" max="2" width="18.140625" style="1" customWidth="1"/>
    <col min="3" max="3" width="17.8515625" style="1" customWidth="1"/>
    <col min="4" max="6" width="16.57421875" style="1" customWidth="1"/>
    <col min="7" max="7" width="3.421875" style="1" customWidth="1"/>
    <col min="8" max="8" width="17.140625" style="1" customWidth="1"/>
    <col min="9" max="10" width="18.00390625" style="1" customWidth="1"/>
    <col min="11" max="11" width="3.7109375" style="1" customWidth="1"/>
    <col min="12" max="12" width="20.00390625" style="1" bestFit="1" customWidth="1"/>
    <col min="13" max="13" width="17.7109375" style="1" bestFit="1" customWidth="1"/>
    <col min="14" max="14" width="17.28125" style="1" bestFit="1" customWidth="1"/>
    <col min="15" max="15" width="3.7109375" style="1" customWidth="1"/>
    <col min="16" max="16" width="20.00390625" style="1" customWidth="1"/>
    <col min="17" max="17" width="19.00390625" style="1" customWidth="1"/>
    <col min="18" max="18" width="19.28125" style="1" customWidth="1"/>
    <col min="19" max="19" width="2.57421875" style="2" customWidth="1"/>
    <col min="20" max="20" width="18.421875" style="1" bestFit="1" customWidth="1"/>
    <col min="21" max="21" width="17.00390625" style="1" customWidth="1"/>
    <col min="22" max="16384" width="14.8515625" style="1" customWidth="1"/>
  </cols>
  <sheetData>
    <row r="1" spans="1:18" ht="18">
      <c r="A1" s="292" t="s">
        <v>8</v>
      </c>
      <c r="B1" s="3" t="s">
        <v>9</v>
      </c>
      <c r="C1" s="4"/>
      <c r="D1" s="4"/>
      <c r="E1" s="4"/>
      <c r="F1" s="4"/>
      <c r="G1" s="4"/>
      <c r="H1" s="5"/>
      <c r="I1" s="4"/>
      <c r="J1" s="4"/>
      <c r="L1" s="36"/>
      <c r="M1" s="36"/>
      <c r="N1" s="36"/>
      <c r="P1" s="36"/>
      <c r="Q1" s="36"/>
      <c r="R1" s="36"/>
    </row>
    <row r="2" spans="1:19" ht="15">
      <c r="A2" s="293" t="s">
        <v>37</v>
      </c>
      <c r="B2" s="294">
        <f>B58</f>
        <v>2661927714.2703924</v>
      </c>
      <c r="C2" s="294">
        <f>C58</f>
        <v>2981161080.2237906</v>
      </c>
      <c r="D2" s="294">
        <f>D58</f>
        <v>3238525801.6267724</v>
      </c>
      <c r="E2" s="294">
        <f>E58</f>
        <v>3471642436.111939</v>
      </c>
      <c r="F2" s="294">
        <f>F58</f>
        <v>3885915834.552924</v>
      </c>
      <c r="G2" s="294"/>
      <c r="H2" s="294">
        <f>H58</f>
        <v>4042720608.9477725</v>
      </c>
      <c r="I2" s="294">
        <f>I58</f>
        <v>4424739093.31707</v>
      </c>
      <c r="J2" s="294">
        <f>J58</f>
        <v>4819672012.500364</v>
      </c>
      <c r="K2" s="294"/>
      <c r="L2" s="294">
        <f>L58</f>
        <v>5252428419.379294</v>
      </c>
      <c r="M2" s="294">
        <f>M58</f>
        <v>5593967957.485406</v>
      </c>
      <c r="N2" s="294">
        <f>N58</f>
        <v>6252713845.943759</v>
      </c>
      <c r="O2" s="294"/>
      <c r="P2" s="294">
        <f>P58</f>
        <v>6907004059.588186</v>
      </c>
      <c r="Q2" s="294">
        <f>Q58</f>
        <v>7550656879.419256</v>
      </c>
      <c r="R2" s="294">
        <f>R58</f>
        <v>8232221472.403923</v>
      </c>
      <c r="S2" s="64"/>
    </row>
    <row r="3" spans="1:19" s="2" customFormat="1" ht="15">
      <c r="A3" s="295"/>
      <c r="B3" s="296"/>
      <c r="C3" s="296"/>
      <c r="D3" s="296"/>
      <c r="E3" s="296"/>
      <c r="F3" s="296"/>
      <c r="G3" s="296"/>
      <c r="H3" s="296"/>
      <c r="I3" s="296"/>
      <c r="J3" s="296"/>
      <c r="K3" s="296"/>
      <c r="L3" s="296"/>
      <c r="M3" s="296"/>
      <c r="N3" s="296"/>
      <c r="O3" s="296"/>
      <c r="P3" s="296"/>
      <c r="Q3" s="296"/>
      <c r="R3" s="296"/>
      <c r="S3" s="64"/>
    </row>
    <row r="4" spans="1:19" ht="15">
      <c r="A4" s="6"/>
      <c r="B4" s="9" t="s">
        <v>10</v>
      </c>
      <c r="C4" s="9" t="s">
        <v>10</v>
      </c>
      <c r="D4" s="9" t="s">
        <v>10</v>
      </c>
      <c r="E4" s="9" t="s">
        <v>10</v>
      </c>
      <c r="F4" s="9" t="s">
        <v>10</v>
      </c>
      <c r="G4" s="10"/>
      <c r="H4" s="9" t="s">
        <v>10</v>
      </c>
      <c r="I4" s="9" t="s">
        <v>10</v>
      </c>
      <c r="J4" s="9" t="s">
        <v>10</v>
      </c>
      <c r="K4" s="12"/>
      <c r="L4" s="9" t="s">
        <v>10</v>
      </c>
      <c r="M4" s="9" t="s">
        <v>10</v>
      </c>
      <c r="N4" s="9" t="s">
        <v>10</v>
      </c>
      <c r="O4" s="9"/>
      <c r="P4" s="9" t="s">
        <v>10</v>
      </c>
      <c r="Q4" s="9" t="s">
        <v>10</v>
      </c>
      <c r="R4" s="9" t="s">
        <v>10</v>
      </c>
      <c r="S4" s="13"/>
    </row>
    <row r="5" spans="2:20" s="14" customFormat="1" ht="15">
      <c r="B5" s="15" t="s">
        <v>11</v>
      </c>
      <c r="C5" s="15" t="s">
        <v>12</v>
      </c>
      <c r="D5" s="15" t="s">
        <v>13</v>
      </c>
      <c r="E5" s="15" t="s">
        <v>14</v>
      </c>
      <c r="F5" s="15" t="s">
        <v>15</v>
      </c>
      <c r="G5" s="11"/>
      <c r="H5" s="15" t="s">
        <v>16</v>
      </c>
      <c r="I5" s="15" t="s">
        <v>17</v>
      </c>
      <c r="J5" s="15" t="s">
        <v>18</v>
      </c>
      <c r="K5" s="16"/>
      <c r="L5" s="15" t="s">
        <v>19</v>
      </c>
      <c r="M5" s="15" t="s">
        <v>20</v>
      </c>
      <c r="N5" s="15" t="s">
        <v>21</v>
      </c>
      <c r="O5" s="15"/>
      <c r="P5" s="15" t="s">
        <v>103</v>
      </c>
      <c r="Q5" s="15" t="s">
        <v>104</v>
      </c>
      <c r="R5" s="15" t="s">
        <v>105</v>
      </c>
      <c r="S5" s="7"/>
      <c r="T5" s="17"/>
    </row>
    <row r="6" spans="1:19" s="22" customFormat="1" ht="15.75" thickBot="1">
      <c r="A6" s="18" t="s">
        <v>22</v>
      </c>
      <c r="B6" s="19"/>
      <c r="C6" s="19"/>
      <c r="D6" s="19"/>
      <c r="E6" s="19"/>
      <c r="F6" s="19"/>
      <c r="G6" s="10"/>
      <c r="H6" s="20"/>
      <c r="I6" s="20"/>
      <c r="J6" s="20"/>
      <c r="K6" s="21"/>
      <c r="L6" s="20"/>
      <c r="M6" s="20"/>
      <c r="N6" s="20"/>
      <c r="O6" s="21"/>
      <c r="P6" s="20"/>
      <c r="Q6" s="20"/>
      <c r="R6" s="20"/>
      <c r="S6" s="7"/>
    </row>
    <row r="7" spans="1:22" s="22" customFormat="1" ht="15">
      <c r="A7" s="18"/>
      <c r="B7" s="20"/>
      <c r="C7" s="20"/>
      <c r="D7" s="20"/>
      <c r="E7" s="20"/>
      <c r="F7" s="20"/>
      <c r="G7" s="11"/>
      <c r="H7" s="20"/>
      <c r="I7" s="20"/>
      <c r="K7" s="21"/>
      <c r="L7" s="20"/>
      <c r="M7" s="20"/>
      <c r="N7" s="20"/>
      <c r="O7" s="21"/>
      <c r="P7" s="20"/>
      <c r="Q7" s="20"/>
      <c r="R7" s="20"/>
      <c r="S7" s="23"/>
      <c r="T7" s="278" t="s">
        <v>106</v>
      </c>
      <c r="U7" s="279"/>
      <c r="V7" s="280"/>
    </row>
    <row r="8" spans="1:22" ht="14.25">
      <c r="A8" s="22" t="s">
        <v>23</v>
      </c>
      <c r="B8" s="24"/>
      <c r="C8" s="24"/>
      <c r="D8" s="24"/>
      <c r="E8" s="24"/>
      <c r="F8" s="24"/>
      <c r="G8" s="12"/>
      <c r="J8" s="25"/>
      <c r="K8" s="12"/>
      <c r="O8" s="12"/>
      <c r="T8" s="281" t="s">
        <v>114</v>
      </c>
      <c r="U8" s="282" t="s">
        <v>116</v>
      </c>
      <c r="V8" s="283" t="s">
        <v>117</v>
      </c>
    </row>
    <row r="9" spans="1:22" ht="14.25">
      <c r="A9" s="269" t="s">
        <v>228</v>
      </c>
      <c r="B9" s="24">
        <f>5551733.12876712</f>
        <v>5551733.12876712</v>
      </c>
      <c r="C9" s="24">
        <f>6096915.71506849</f>
        <v>6096915.71506849</v>
      </c>
      <c r="D9" s="24">
        <f>6142250.72565284</f>
        <v>6142250.72565284</v>
      </c>
      <c r="E9" s="24">
        <f>6129740.30230415</f>
        <v>6129740.30230415</v>
      </c>
      <c r="F9" s="24">
        <f>6801318.21382488</f>
        <v>6801318.21382488</v>
      </c>
      <c r="G9" s="26"/>
      <c r="H9" s="24">
        <f>6472051.94615975</f>
        <v>6472051.94615975</v>
      </c>
      <c r="I9" s="24">
        <f>6526521.20837968</f>
        <v>6526521.20837968</v>
      </c>
      <c r="J9" s="24">
        <f>6566831.80258873</f>
        <v>6566831.80258873</v>
      </c>
      <c r="K9" s="12"/>
      <c r="L9" s="24">
        <f>6585915.55904125</f>
        <v>6585915.55904125</v>
      </c>
      <c r="M9" s="24">
        <f>6851156.11420919</f>
        <v>6851156.11420919</v>
      </c>
      <c r="N9" s="24">
        <v>7131703.918500004</v>
      </c>
      <c r="O9" s="12"/>
      <c r="P9" s="33">
        <v>7296390.492799999</v>
      </c>
      <c r="Q9" s="24">
        <f>((P9)*(1+U9))</f>
        <v>7574095.686456628</v>
      </c>
      <c r="R9" s="24">
        <f>((Q9)*(1+V9))</f>
        <v>7843594.395492367</v>
      </c>
      <c r="S9" s="27"/>
      <c r="T9" s="284" t="s">
        <v>192</v>
      </c>
      <c r="U9" s="237">
        <v>0.03806062654276321</v>
      </c>
      <c r="V9" s="285">
        <v>0.03558163511422685</v>
      </c>
    </row>
    <row r="10" spans="1:22" ht="14.25">
      <c r="A10" s="269" t="s">
        <v>226</v>
      </c>
      <c r="B10" s="24">
        <v>1860393.3369863012</v>
      </c>
      <c r="C10" s="24">
        <v>1884607.0684931506</v>
      </c>
      <c r="D10" s="24">
        <v>1888228.385407066</v>
      </c>
      <c r="E10" s="24">
        <v>1968955.9430107528</v>
      </c>
      <c r="F10" s="24">
        <v>2041862.2522273427</v>
      </c>
      <c r="G10" s="26"/>
      <c r="H10" s="24">
        <v>2054993.6445468508</v>
      </c>
      <c r="I10" s="24">
        <v>2093163.8732295146</v>
      </c>
      <c r="J10" s="24">
        <v>2116453.5357112396</v>
      </c>
      <c r="K10" s="12"/>
      <c r="L10" s="24">
        <v>2201737.6253241496</v>
      </c>
      <c r="M10" s="24">
        <v>2290896.83070323</v>
      </c>
      <c r="N10" s="24">
        <v>2402544.139299999</v>
      </c>
      <c r="O10" s="12"/>
      <c r="P10" s="33">
        <v>2466935.548900001</v>
      </c>
      <c r="Q10" s="24">
        <f>P10*(1+U10)</f>
        <v>2503127.3892713287</v>
      </c>
      <c r="R10" s="24">
        <f>Q10*(1+V10)</f>
        <v>2538540.6506861723</v>
      </c>
      <c r="S10" s="27"/>
      <c r="T10" s="284" t="s">
        <v>192</v>
      </c>
      <c r="U10" s="237">
        <v>0.01467076851175353</v>
      </c>
      <c r="V10" s="285">
        <v>0.014147606536778268</v>
      </c>
    </row>
    <row r="11" spans="1:22" ht="16.5">
      <c r="A11" s="269" t="s">
        <v>230</v>
      </c>
      <c r="B11" s="29">
        <v>46339.890410958906</v>
      </c>
      <c r="C11" s="29">
        <v>45377.852054794515</v>
      </c>
      <c r="D11" s="29">
        <v>42797.54761904762</v>
      </c>
      <c r="E11" s="29">
        <v>39931.520353302614</v>
      </c>
      <c r="F11" s="29">
        <v>39166.98694316436</v>
      </c>
      <c r="G11" s="30"/>
      <c r="H11" s="29">
        <v>37830.73287250384</v>
      </c>
      <c r="I11" s="29">
        <v>38318.03956247683</v>
      </c>
      <c r="J11" s="123">
        <v>30078.17380952467</v>
      </c>
      <c r="K11" s="31"/>
      <c r="L11" s="123">
        <v>2754.3038402700004</v>
      </c>
      <c r="M11" s="123">
        <v>2712.93947773</v>
      </c>
      <c r="N11" s="29">
        <v>2631.33</v>
      </c>
      <c r="O11" s="31"/>
      <c r="P11" s="236">
        <v>1648.6667</v>
      </c>
      <c r="Q11" s="123">
        <f>P11*(1+U11)</f>
        <v>1698.6358261158994</v>
      </c>
      <c r="R11" s="123">
        <f>Q11*(1+V11)</f>
        <v>1744.791970409736</v>
      </c>
      <c r="S11" s="27"/>
      <c r="T11" s="284" t="s">
        <v>192</v>
      </c>
      <c r="U11" s="237">
        <v>0.030308810213671045</v>
      </c>
      <c r="V11" s="285">
        <v>0.027172477810842643</v>
      </c>
    </row>
    <row r="12" spans="1:22" ht="14.25">
      <c r="A12" s="1" t="s">
        <v>24</v>
      </c>
      <c r="B12" s="24">
        <f>SUM(B9:B11)</f>
        <v>7458466.35616438</v>
      </c>
      <c r="C12" s="24">
        <f>SUM(C9:C11)</f>
        <v>8026900.635616436</v>
      </c>
      <c r="D12" s="24">
        <f>SUM(D9:D11)</f>
        <v>8073276.658678954</v>
      </c>
      <c r="E12" s="24">
        <f>SUM(E9:E11)</f>
        <v>8138627.765668205</v>
      </c>
      <c r="F12" s="24">
        <f>SUM(F9:F11)</f>
        <v>8882347.452995388</v>
      </c>
      <c r="G12" s="32"/>
      <c r="H12" s="24">
        <f>SUM(H9:H11)</f>
        <v>8564876.323579106</v>
      </c>
      <c r="I12" s="24">
        <f>SUM(I9:I11)</f>
        <v>8658003.121171672</v>
      </c>
      <c r="J12" s="24">
        <f>SUM(J9:J11)</f>
        <v>8713363.512109494</v>
      </c>
      <c r="K12" s="12"/>
      <c r="L12" s="24">
        <f aca="true" t="shared" si="0" ref="L12:R12">SUM(L9:L11)</f>
        <v>8790407.48820567</v>
      </c>
      <c r="M12" s="24">
        <f t="shared" si="0"/>
        <v>9144765.884390151</v>
      </c>
      <c r="N12" s="24">
        <f t="shared" si="0"/>
        <v>9536879.387800002</v>
      </c>
      <c r="O12" s="12"/>
      <c r="P12" s="24">
        <f t="shared" si="0"/>
        <v>9764974.7084</v>
      </c>
      <c r="Q12" s="24">
        <f t="shared" si="0"/>
        <v>10078921.711554073</v>
      </c>
      <c r="R12" s="24">
        <f t="shared" si="0"/>
        <v>10383879.83814895</v>
      </c>
      <c r="S12" s="33"/>
      <c r="T12" s="286"/>
      <c r="U12" s="287"/>
      <c r="V12" s="288"/>
    </row>
    <row r="13" spans="2:22" ht="14.25">
      <c r="B13" s="24"/>
      <c r="C13" s="34"/>
      <c r="D13" s="34"/>
      <c r="E13" s="34"/>
      <c r="F13" s="34"/>
      <c r="G13" s="12"/>
      <c r="H13" s="24"/>
      <c r="I13" s="24"/>
      <c r="J13" s="24"/>
      <c r="K13" s="12"/>
      <c r="L13" s="35"/>
      <c r="M13" s="36"/>
      <c r="N13" s="36"/>
      <c r="O13" s="12"/>
      <c r="P13" s="36"/>
      <c r="Q13" s="36"/>
      <c r="R13" s="36"/>
      <c r="T13" s="286"/>
      <c r="U13" s="287"/>
      <c r="V13" s="288"/>
    </row>
    <row r="14" spans="1:22" ht="14.25">
      <c r="A14" s="37" t="s">
        <v>25</v>
      </c>
      <c r="B14" s="24"/>
      <c r="C14" s="24"/>
      <c r="D14" s="24"/>
      <c r="E14" s="24"/>
      <c r="F14" s="24"/>
      <c r="G14" s="12"/>
      <c r="H14" s="24"/>
      <c r="I14" s="24"/>
      <c r="J14" s="24"/>
      <c r="K14" s="12"/>
      <c r="L14" s="24"/>
      <c r="M14" s="36"/>
      <c r="N14" s="36"/>
      <c r="O14" s="12"/>
      <c r="P14" s="36"/>
      <c r="Q14" s="36"/>
      <c r="R14" s="36"/>
      <c r="T14" s="286"/>
      <c r="U14" s="287"/>
      <c r="V14" s="288"/>
    </row>
    <row r="15" spans="1:22" ht="14.25">
      <c r="A15" s="268" t="s">
        <v>227</v>
      </c>
      <c r="B15" s="24">
        <f>20786.8273972603</f>
        <v>20786.8273972603</v>
      </c>
      <c r="C15" s="24">
        <f>352036.175342466</f>
        <v>352036.175342466</v>
      </c>
      <c r="D15" s="24">
        <f>685612.728878648</f>
        <v>685612.728878648</v>
      </c>
      <c r="E15" s="24">
        <f>651448.344623656</f>
        <v>651448.344623656</v>
      </c>
      <c r="F15" s="24">
        <f>559601.816205837</f>
        <v>559601.816205837</v>
      </c>
      <c r="G15" s="39"/>
      <c r="H15" s="24">
        <f>588216.56812596</f>
        <v>588216.56812596</v>
      </c>
      <c r="I15" s="24">
        <f>543520.900333704</f>
        <v>543520.900333704</v>
      </c>
      <c r="J15" s="24">
        <f>561339.202838689</f>
        <v>561339.202838689</v>
      </c>
      <c r="K15" s="12"/>
      <c r="L15" s="24">
        <f>891383.20850863</f>
        <v>891383.20850863</v>
      </c>
      <c r="M15" s="24">
        <f>872128.23339004</f>
        <v>872128.23339004</v>
      </c>
      <c r="N15" s="24">
        <v>1112680.041</v>
      </c>
      <c r="O15" s="12"/>
      <c r="P15" s="27">
        <v>251924.8691</v>
      </c>
      <c r="Q15" s="27">
        <f>((P15)*(1+U15))</f>
        <v>265736.8172871873</v>
      </c>
      <c r="R15" s="27">
        <f>((Q15)*(1+V15))</f>
        <v>278592.5559452559</v>
      </c>
      <c r="S15" s="27"/>
      <c r="T15" s="284" t="s">
        <v>192</v>
      </c>
      <c r="U15" s="237">
        <v>0.05482566384386911</v>
      </c>
      <c r="V15" s="285">
        <v>0.04837770990602008</v>
      </c>
    </row>
    <row r="16" spans="1:22" ht="14.25">
      <c r="A16" s="269" t="s">
        <v>226</v>
      </c>
      <c r="B16" s="24">
        <v>25671.45205479452</v>
      </c>
      <c r="C16" s="24">
        <v>82177.74246575341</v>
      </c>
      <c r="D16" s="24">
        <v>142949.47519201232</v>
      </c>
      <c r="E16" s="24">
        <v>151788.14731182795</v>
      </c>
      <c r="F16" s="24">
        <v>145236.69462365593</v>
      </c>
      <c r="G16" s="39"/>
      <c r="H16" s="24">
        <v>156806.24247311827</v>
      </c>
      <c r="I16" s="24">
        <v>159054.57093066373</v>
      </c>
      <c r="J16" s="24">
        <v>161929.0677423842</v>
      </c>
      <c r="K16" s="12"/>
      <c r="L16" s="24">
        <v>222395.88747833003</v>
      </c>
      <c r="M16" s="24">
        <v>175805.49454619997</v>
      </c>
      <c r="N16" s="24">
        <v>151651.6564</v>
      </c>
      <c r="O16" s="12"/>
      <c r="P16" s="27">
        <v>164029.2533</v>
      </c>
      <c r="Q16" s="27">
        <f>P16*(1+U16)</f>
        <v>169631.66469251944</v>
      </c>
      <c r="R16" s="27">
        <f>Q16*(1+V16)</f>
        <v>175447.39446773907</v>
      </c>
      <c r="S16" s="27"/>
      <c r="T16" s="284" t="s">
        <v>192</v>
      </c>
      <c r="U16" s="237">
        <v>0.03415495272829738</v>
      </c>
      <c r="V16" s="285">
        <v>0.03428445853998685</v>
      </c>
    </row>
    <row r="17" spans="1:22" ht="17.25" thickBot="1">
      <c r="A17" s="270" t="s">
        <v>26</v>
      </c>
      <c r="B17" s="29">
        <v>0</v>
      </c>
      <c r="C17" s="29">
        <v>0</v>
      </c>
      <c r="D17" s="29">
        <v>0</v>
      </c>
      <c r="E17" s="29">
        <v>0</v>
      </c>
      <c r="F17" s="29">
        <v>0</v>
      </c>
      <c r="G17" s="40"/>
      <c r="H17" s="29">
        <v>0</v>
      </c>
      <c r="I17" s="29">
        <v>531.4568409343715</v>
      </c>
      <c r="J17" s="123">
        <v>2618.800998454225</v>
      </c>
      <c r="K17" s="31"/>
      <c r="L17" s="123">
        <v>4030.91313365</v>
      </c>
      <c r="M17" s="123">
        <v>4550.81658967</v>
      </c>
      <c r="N17" s="29">
        <v>3857.4048</v>
      </c>
      <c r="O17" s="31"/>
      <c r="P17" s="124">
        <v>3600.1667</v>
      </c>
      <c r="Q17" s="124">
        <f>P17*(1+U17)</f>
        <v>3546.134236902437</v>
      </c>
      <c r="R17" s="124">
        <f>Q17*(1+V17)</f>
        <v>3536.1006929740493</v>
      </c>
      <c r="S17" s="27"/>
      <c r="T17" s="289" t="s">
        <v>192</v>
      </c>
      <c r="U17" s="290">
        <v>-0.01500832255838691</v>
      </c>
      <c r="V17" s="291">
        <v>-0.0028294315043053686</v>
      </c>
    </row>
    <row r="18" spans="1:20" ht="14.25">
      <c r="A18" s="1" t="s">
        <v>27</v>
      </c>
      <c r="B18" s="24">
        <f>SUM(B15:B17)</f>
        <v>46458.27945205482</v>
      </c>
      <c r="C18" s="24">
        <f>SUM(C15:C17)</f>
        <v>434213.9178082194</v>
      </c>
      <c r="D18" s="24">
        <f>SUM(D15:D17)</f>
        <v>828562.2040706603</v>
      </c>
      <c r="E18" s="24">
        <f>SUM(E15:E17)</f>
        <v>803236.491935484</v>
      </c>
      <c r="F18" s="24">
        <f>SUM(F15:F17)</f>
        <v>704838.5108294929</v>
      </c>
      <c r="G18" s="32"/>
      <c r="H18" s="24">
        <f>SUM(H15:H17)</f>
        <v>745022.8105990782</v>
      </c>
      <c r="I18" s="24">
        <f>SUM(I15:I17)</f>
        <v>703106.928105302</v>
      </c>
      <c r="J18" s="24">
        <f>SUM(J15:J17)</f>
        <v>725887.0715795273</v>
      </c>
      <c r="K18" s="12"/>
      <c r="L18" s="24">
        <f aca="true" t="shared" si="1" ref="L18:R18">SUM(L15:L17)</f>
        <v>1117810.00912061</v>
      </c>
      <c r="M18" s="33">
        <f t="shared" si="1"/>
        <v>1052484.54452591</v>
      </c>
      <c r="N18" s="33">
        <f t="shared" si="1"/>
        <v>1268189.1021999998</v>
      </c>
      <c r="O18" s="12"/>
      <c r="P18" s="33">
        <f t="shared" si="1"/>
        <v>419554.2891</v>
      </c>
      <c r="Q18" s="33">
        <f t="shared" si="1"/>
        <v>438914.61621660925</v>
      </c>
      <c r="R18" s="33">
        <f t="shared" si="1"/>
        <v>457576.051105969</v>
      </c>
      <c r="S18" s="33"/>
      <c r="T18" s="33"/>
    </row>
    <row r="19" spans="2:20" ht="14.25">
      <c r="B19" s="24"/>
      <c r="C19" s="24"/>
      <c r="D19" s="24"/>
      <c r="E19" s="24"/>
      <c r="F19" s="24"/>
      <c r="G19" s="39"/>
      <c r="H19" s="24"/>
      <c r="I19" s="24"/>
      <c r="J19" s="24"/>
      <c r="K19" s="12"/>
      <c r="L19" s="41"/>
      <c r="M19" s="41"/>
      <c r="N19" s="41"/>
      <c r="O19" s="12"/>
      <c r="P19" s="41"/>
      <c r="Q19" s="41"/>
      <c r="R19" s="41"/>
      <c r="S19" s="41"/>
      <c r="T19" s="41"/>
    </row>
    <row r="20" spans="1:20" ht="15.75" thickBot="1">
      <c r="A20" s="256" t="s">
        <v>224</v>
      </c>
      <c r="B20" s="257">
        <f>B12+B18</f>
        <v>7504924.635616435</v>
      </c>
      <c r="C20" s="257">
        <f>C12+C18</f>
        <v>8461114.553424655</v>
      </c>
      <c r="D20" s="257">
        <f>D12+D18</f>
        <v>8901838.862749614</v>
      </c>
      <c r="E20" s="257">
        <f>E12+E18</f>
        <v>8941864.257603688</v>
      </c>
      <c r="F20" s="257">
        <f>F12+F18</f>
        <v>9587185.963824881</v>
      </c>
      <c r="G20" s="258"/>
      <c r="H20" s="257">
        <f>H12+H18</f>
        <v>9309899.134178184</v>
      </c>
      <c r="I20" s="257">
        <f>I12+I18</f>
        <v>9361110.049276974</v>
      </c>
      <c r="J20" s="257">
        <f>J12+J18</f>
        <v>9439250.583689021</v>
      </c>
      <c r="K20" s="259"/>
      <c r="L20" s="260">
        <f aca="true" t="shared" si="2" ref="L20:R20">SUM(L12,L18)</f>
        <v>9908217.497326279</v>
      </c>
      <c r="M20" s="260">
        <f t="shared" si="2"/>
        <v>10197250.428916061</v>
      </c>
      <c r="N20" s="260">
        <f t="shared" si="2"/>
        <v>10805068.490000002</v>
      </c>
      <c r="O20" s="259"/>
      <c r="P20" s="260">
        <f t="shared" si="2"/>
        <v>10184528.9975</v>
      </c>
      <c r="Q20" s="260">
        <f t="shared" si="2"/>
        <v>10517836.327770682</v>
      </c>
      <c r="R20" s="260">
        <f t="shared" si="2"/>
        <v>10841455.889254918</v>
      </c>
      <c r="S20" s="33"/>
      <c r="T20" s="33"/>
    </row>
    <row r="21" spans="2:21" ht="14.25">
      <c r="B21" s="24"/>
      <c r="C21" s="34"/>
      <c r="D21" s="34"/>
      <c r="E21" s="34"/>
      <c r="F21" s="34"/>
      <c r="G21" s="32"/>
      <c r="H21" s="24"/>
      <c r="I21" s="24"/>
      <c r="J21" s="24"/>
      <c r="K21" s="12"/>
      <c r="L21" s="24"/>
      <c r="M21" s="24"/>
      <c r="N21" s="24"/>
      <c r="O21" s="12"/>
      <c r="P21" s="273"/>
      <c r="Q21" s="273"/>
      <c r="R21" s="273"/>
      <c r="S21" s="33"/>
      <c r="T21" s="179"/>
      <c r="U21" s="42"/>
    </row>
    <row r="22" spans="1:20" ht="15">
      <c r="A22" s="43" t="s">
        <v>28</v>
      </c>
      <c r="B22" s="24"/>
      <c r="C22" s="24"/>
      <c r="D22" s="24"/>
      <c r="E22" s="24"/>
      <c r="F22" s="24"/>
      <c r="G22" s="12"/>
      <c r="H22" s="24"/>
      <c r="I22" s="24"/>
      <c r="J22" s="24"/>
      <c r="K22" s="12"/>
      <c r="L22" s="24"/>
      <c r="N22" s="24"/>
      <c r="O22" s="32"/>
      <c r="P22" s="24"/>
      <c r="Q22" s="24"/>
      <c r="R22" s="24"/>
      <c r="S22" s="33"/>
      <c r="T22" s="33"/>
    </row>
    <row r="23" spans="1:22" ht="15">
      <c r="A23" s="43"/>
      <c r="B23" s="24"/>
      <c r="C23" s="24"/>
      <c r="D23" s="24"/>
      <c r="E23" s="24"/>
      <c r="F23" s="24"/>
      <c r="G23" s="12"/>
      <c r="K23" s="12"/>
      <c r="O23" s="12"/>
      <c r="P23" s="173"/>
      <c r="T23" s="175"/>
      <c r="U23" s="175"/>
      <c r="V23" s="175"/>
    </row>
    <row r="24" spans="1:22" ht="14.25">
      <c r="A24" s="37" t="s">
        <v>29</v>
      </c>
      <c r="B24" s="24"/>
      <c r="C24" s="24"/>
      <c r="D24" s="24"/>
      <c r="E24" s="24"/>
      <c r="F24" s="24"/>
      <c r="G24" s="12"/>
      <c r="K24" s="12"/>
      <c r="O24" s="12"/>
      <c r="T24" s="41"/>
      <c r="U24" s="36"/>
      <c r="V24" s="36"/>
    </row>
    <row r="25" spans="1:23" ht="14.25">
      <c r="A25" s="269" t="s">
        <v>228</v>
      </c>
      <c r="B25" s="139">
        <f>199.060532860605</f>
        <v>199.060532860605</v>
      </c>
      <c r="C25" s="139">
        <f>214.408099944158</f>
        <v>214.408099944158</v>
      </c>
      <c r="D25" s="139">
        <f>230.938964449853</f>
        <v>230.938964449853</v>
      </c>
      <c r="E25" s="139">
        <f>248.744358608936</f>
        <v>248.744358608936</v>
      </c>
      <c r="F25" s="139">
        <f>267.922548657685</f>
        <v>267.922548657685</v>
      </c>
      <c r="G25" s="45"/>
      <c r="H25" s="132">
        <f>288.579377159193</f>
        <v>288.579377159193</v>
      </c>
      <c r="I25" s="132">
        <f>310.828847138166</f>
        <v>310.828847138166</v>
      </c>
      <c r="J25" s="132">
        <f>334.793751252519</f>
        <v>334.793751252519</v>
      </c>
      <c r="K25" s="12"/>
      <c r="L25" s="46">
        <f>359.233695093953</f>
        <v>359.233695093953</v>
      </c>
      <c r="M25" s="46">
        <f>385.457754835811</f>
        <v>385.457754835811</v>
      </c>
      <c r="N25" s="46">
        <f>413.596170938826</f>
        <v>413.596170938826</v>
      </c>
      <c r="O25" s="12"/>
      <c r="P25" s="46">
        <v>466.8397763840784</v>
      </c>
      <c r="Q25" s="46">
        <v>499.04671368134757</v>
      </c>
      <c r="R25" s="46">
        <v>533.7304602822013</v>
      </c>
      <c r="S25" s="47"/>
      <c r="T25" s="176"/>
      <c r="U25" s="36"/>
      <c r="V25" s="36"/>
      <c r="W25" s="28"/>
    </row>
    <row r="26" spans="1:23" ht="14.25">
      <c r="A26" s="269" t="s">
        <v>226</v>
      </c>
      <c r="B26" s="139">
        <f>491.04427132405</f>
        <v>491.04427132405</v>
      </c>
      <c r="C26" s="139">
        <f>519.672152342242</f>
        <v>519.672152342242</v>
      </c>
      <c r="D26" s="139">
        <f>549.969038823795</f>
        <v>549.969038823795</v>
      </c>
      <c r="E26" s="139">
        <f>582.032233787222</f>
        <v>582.032233787222</v>
      </c>
      <c r="F26" s="139">
        <f>615.964713017017</f>
        <v>615.964713017017</v>
      </c>
      <c r="G26" s="45"/>
      <c r="H26" s="132">
        <f>677.561184318719</f>
        <v>677.561184318719</v>
      </c>
      <c r="I26" s="132">
        <f>745.317302750591</f>
        <v>745.317302750591</v>
      </c>
      <c r="J26" s="132">
        <f>819.84903302565</f>
        <v>819.84903302565</v>
      </c>
      <c r="K26" s="12"/>
      <c r="L26" s="46">
        <f>824.79333388139</f>
        <v>824.79333388139</v>
      </c>
      <c r="M26" s="46">
        <f>834.705791387031</f>
        <v>834.705791387031</v>
      </c>
      <c r="N26" s="46">
        <f>901.385269684083</f>
        <v>901.385269684083</v>
      </c>
      <c r="O26" s="12"/>
      <c r="P26" s="46">
        <v>1011.9515558357161</v>
      </c>
      <c r="Q26" s="46">
        <v>1081.3698971075255</v>
      </c>
      <c r="R26" s="46">
        <v>1155.5518720491018</v>
      </c>
      <c r="S26" s="47"/>
      <c r="T26" s="148"/>
      <c r="U26" s="36"/>
      <c r="V26" s="36"/>
      <c r="W26" s="28"/>
    </row>
    <row r="27" spans="1:23" ht="14.25">
      <c r="A27" s="269" t="s">
        <v>230</v>
      </c>
      <c r="B27" s="139">
        <f>438.388833666922</f>
        <v>438.388833666922</v>
      </c>
      <c r="C27" s="139">
        <f>463.946902669703</f>
        <v>463.946902669703</v>
      </c>
      <c r="D27" s="139">
        <f>490.995007095347</f>
        <v>490.995007095347</v>
      </c>
      <c r="E27" s="139">
        <f>519.620016009006</f>
        <v>519.620016009006</v>
      </c>
      <c r="F27" s="139">
        <f>549.913862942331</f>
        <v>549.913862942331</v>
      </c>
      <c r="G27" s="45"/>
      <c r="H27" s="132"/>
      <c r="I27" s="132"/>
      <c r="J27" s="132"/>
      <c r="K27" s="12"/>
      <c r="L27" s="46"/>
      <c r="M27" s="46"/>
      <c r="N27" s="46"/>
      <c r="O27" s="12"/>
      <c r="P27" s="46"/>
      <c r="Q27" s="46"/>
      <c r="R27" s="46"/>
      <c r="S27" s="47"/>
      <c r="T27" s="148"/>
      <c r="U27" s="36"/>
      <c r="V27" s="36"/>
      <c r="W27" s="28"/>
    </row>
    <row r="28" spans="2:23" ht="14.25">
      <c r="B28" s="139"/>
      <c r="C28" s="139"/>
      <c r="D28" s="139"/>
      <c r="E28" s="139"/>
      <c r="F28" s="140"/>
      <c r="G28" s="12"/>
      <c r="H28" s="42"/>
      <c r="I28" s="42"/>
      <c r="J28" s="42"/>
      <c r="K28" s="12"/>
      <c r="L28" s="46"/>
      <c r="M28" s="46"/>
      <c r="N28" s="46"/>
      <c r="O28" s="12"/>
      <c r="P28" s="46"/>
      <c r="Q28" s="46"/>
      <c r="R28" s="46"/>
      <c r="T28" s="2"/>
      <c r="U28" s="36"/>
      <c r="V28" s="36"/>
      <c r="W28" s="28"/>
    </row>
    <row r="29" spans="1:23" ht="14.25">
      <c r="A29" s="22" t="s">
        <v>30</v>
      </c>
      <c r="B29" s="139"/>
      <c r="C29" s="141"/>
      <c r="D29" s="141"/>
      <c r="E29" s="141"/>
      <c r="F29" s="141"/>
      <c r="G29" s="12"/>
      <c r="H29" s="42"/>
      <c r="I29" s="42"/>
      <c r="J29" s="42"/>
      <c r="K29" s="12"/>
      <c r="L29" s="46"/>
      <c r="M29" s="46"/>
      <c r="N29" s="46"/>
      <c r="O29" s="12"/>
      <c r="P29" s="48"/>
      <c r="Q29" s="48"/>
      <c r="R29" s="48"/>
      <c r="T29" s="2"/>
      <c r="U29" s="36"/>
      <c r="V29" s="36"/>
      <c r="W29" s="28"/>
    </row>
    <row r="30" spans="1:23" ht="14.25">
      <c r="A30" s="268" t="s">
        <v>227</v>
      </c>
      <c r="B30" s="139">
        <f>177.016724499484</f>
        <v>177.016724499484</v>
      </c>
      <c r="C30" s="139">
        <f>186.487119260206</f>
        <v>186.487119260206</v>
      </c>
      <c r="D30" s="139">
        <f>196.930397938778</f>
        <v>196.930397938778</v>
      </c>
      <c r="E30" s="139">
        <f>208.155430621288</f>
        <v>208.155430621288</v>
      </c>
      <c r="F30" s="139">
        <f>220.020290166701</f>
        <v>220.020290166701</v>
      </c>
      <c r="G30" s="45"/>
      <c r="H30" s="132">
        <f>236.983854538554</f>
        <v>236.983854538554</v>
      </c>
      <c r="I30" s="132">
        <f>255.255309723476</f>
        <v>255.255309723476</v>
      </c>
      <c r="J30" s="132">
        <f>274.935494103156</f>
        <v>274.935494103156</v>
      </c>
      <c r="K30" s="12"/>
      <c r="L30" s="46">
        <f>295.005785172687</f>
        <v>295.005785172687</v>
      </c>
      <c r="M30" s="46">
        <f>316.541207490293</f>
        <v>316.541207490293</v>
      </c>
      <c r="N30" s="46">
        <f>339.648715637084</f>
        <v>339.648715637084</v>
      </c>
      <c r="O30" s="12"/>
      <c r="P30" s="46">
        <v>382.44806707766537</v>
      </c>
      <c r="Q30" s="46">
        <v>407.8715979700103</v>
      </c>
      <c r="R30" s="46">
        <v>436.2186740289261</v>
      </c>
      <c r="S30" s="47"/>
      <c r="T30" s="47"/>
      <c r="U30" s="36"/>
      <c r="V30" s="36"/>
      <c r="W30" s="28"/>
    </row>
    <row r="31" spans="1:23" ht="14.25">
      <c r="A31" s="269" t="s">
        <v>226</v>
      </c>
      <c r="B31" s="139">
        <f>471.872730183053</f>
        <v>471.872730183053</v>
      </c>
      <c r="C31" s="139">
        <f>497.117921247847</f>
        <v>497.117921247847</v>
      </c>
      <c r="D31" s="139">
        <f>524.956524837726</f>
        <v>524.956524837726</v>
      </c>
      <c r="E31" s="139">
        <f>554.879046753477</f>
        <v>554.879046753477</v>
      </c>
      <c r="F31" s="139">
        <f>586.507152418425</f>
        <v>586.507152418425</v>
      </c>
      <c r="G31" s="45"/>
      <c r="H31" s="132">
        <f>645.157867660267</f>
        <v>645.157867660267</v>
      </c>
      <c r="I31" s="132">
        <f>709.673654426294</f>
        <v>709.673654426294</v>
      </c>
      <c r="J31" s="132">
        <f>780.641019868924</f>
        <v>780.641019868924</v>
      </c>
      <c r="K31" s="12"/>
      <c r="L31" s="46">
        <f>718.131575062967</f>
        <v>718.131575062967</v>
      </c>
      <c r="M31" s="46">
        <f>660.601500970593</f>
        <v>660.601500970593</v>
      </c>
      <c r="N31" s="46">
        <f>724.312958081501</f>
        <v>724.312958081501</v>
      </c>
      <c r="O31" s="12"/>
      <c r="P31" s="46">
        <v>791.4632568552605</v>
      </c>
      <c r="Q31" s="46">
        <v>846.6758375133118</v>
      </c>
      <c r="R31" s="46">
        <v>904.757799966725</v>
      </c>
      <c r="S31" s="47"/>
      <c r="T31" s="47"/>
      <c r="U31" s="36"/>
      <c r="V31" s="36"/>
      <c r="W31" s="28"/>
    </row>
    <row r="32" spans="1:23" ht="15" thickBot="1">
      <c r="A32" s="271" t="s">
        <v>26</v>
      </c>
      <c r="B32" s="261"/>
      <c r="C32" s="262"/>
      <c r="D32" s="262"/>
      <c r="E32" s="262"/>
      <c r="F32" s="262"/>
      <c r="G32" s="263"/>
      <c r="H32" s="264">
        <f>1891.62</f>
        <v>1891.62</v>
      </c>
      <c r="I32" s="264">
        <f>2080.782</f>
        <v>2080.782</v>
      </c>
      <c r="J32" s="264">
        <f>2288.8602</f>
        <v>2288.8602</v>
      </c>
      <c r="K32" s="259"/>
      <c r="L32" s="265">
        <f>2449.080414</f>
        <v>2449.080414</v>
      </c>
      <c r="M32" s="265">
        <f>2620.51604298</f>
        <v>2620.51604298</v>
      </c>
      <c r="N32" s="265">
        <f>2803.9521659886</f>
        <v>2803.9521659886</v>
      </c>
      <c r="O32" s="259"/>
      <c r="P32" s="265">
        <v>3052.7775185150754</v>
      </c>
      <c r="Q32" s="265">
        <v>3265.6898820709894</v>
      </c>
      <c r="R32" s="265">
        <v>3489.716207981059</v>
      </c>
      <c r="S32" s="47"/>
      <c r="T32" s="47"/>
      <c r="U32" s="36"/>
      <c r="V32" s="36"/>
      <c r="W32" s="28"/>
    </row>
    <row r="33" spans="2:20" ht="14.25">
      <c r="B33" s="24"/>
      <c r="C33" s="24"/>
      <c r="D33" s="24"/>
      <c r="E33" s="24"/>
      <c r="F33" s="24"/>
      <c r="G33" s="12"/>
      <c r="K33" s="12"/>
      <c r="O33" s="12"/>
      <c r="T33" s="2"/>
    </row>
    <row r="34" spans="1:20" ht="15">
      <c r="A34" s="18" t="s">
        <v>31</v>
      </c>
      <c r="B34" s="24"/>
      <c r="C34" s="147"/>
      <c r="D34" s="147"/>
      <c r="E34" s="147"/>
      <c r="F34" s="147"/>
      <c r="G34" s="12"/>
      <c r="K34" s="12"/>
      <c r="O34" s="12"/>
      <c r="T34" s="2"/>
    </row>
    <row r="35" spans="1:15" ht="15">
      <c r="A35" s="18"/>
      <c r="B35" s="24"/>
      <c r="C35" s="24"/>
      <c r="D35" s="24"/>
      <c r="E35" s="24"/>
      <c r="F35" s="24"/>
      <c r="G35" s="12"/>
      <c r="K35" s="12"/>
      <c r="O35" s="12"/>
    </row>
    <row r="36" spans="1:15" ht="14.25">
      <c r="A36" s="37" t="s">
        <v>32</v>
      </c>
      <c r="B36" s="44"/>
      <c r="C36" s="49"/>
      <c r="D36" s="49"/>
      <c r="E36" s="49"/>
      <c r="F36" s="24"/>
      <c r="G36" s="12"/>
      <c r="K36" s="12"/>
      <c r="O36" s="12"/>
    </row>
    <row r="37" spans="1:19" ht="14.25">
      <c r="A37" s="269" t="s">
        <v>228</v>
      </c>
      <c r="B37" s="50">
        <f aca="true" t="shared" si="3" ref="B37:F39">B9*B25</f>
        <v>1105130954.9122567</v>
      </c>
      <c r="C37" s="50">
        <f t="shared" si="3"/>
        <v>1307228113.9875124</v>
      </c>
      <c r="D37" s="50">
        <f t="shared" si="3"/>
        <v>1418485021.973625</v>
      </c>
      <c r="E37" s="50">
        <f t="shared" si="3"/>
        <v>1524738319.9359913</v>
      </c>
      <c r="F37" s="51">
        <f t="shared" si="3"/>
        <v>1822226510.0798957</v>
      </c>
      <c r="G37" s="52"/>
      <c r="H37" s="50">
        <f>H9*H25</f>
        <v>1867700719.5647235</v>
      </c>
      <c r="I37" s="50">
        <f>I9*I25</f>
        <v>2028631063.023446</v>
      </c>
      <c r="J37" s="50">
        <f>J9*J25</f>
        <v>2198534253.033022</v>
      </c>
      <c r="K37" s="53"/>
      <c r="L37" s="50">
        <f aca="true" t="shared" si="4" ref="L37:R37">L9*L25</f>
        <v>2365882781.8511453</v>
      </c>
      <c r="M37" s="50">
        <f t="shared" si="4"/>
        <v>2640831253.8127136</v>
      </c>
      <c r="N37" s="50">
        <f t="shared" si="4"/>
        <v>2949645432.961023</v>
      </c>
      <c r="O37" s="53"/>
      <c r="P37" s="50">
        <f t="shared" si="4"/>
        <v>3406245306.0696673</v>
      </c>
      <c r="Q37" s="50">
        <f t="shared" si="4"/>
        <v>3779827561.4342504</v>
      </c>
      <c r="R37" s="50">
        <f t="shared" si="4"/>
        <v>4186365246.973036</v>
      </c>
      <c r="S37" s="54"/>
    </row>
    <row r="38" spans="1:19" ht="14.25">
      <c r="A38" s="269" t="s">
        <v>229</v>
      </c>
      <c r="B38" s="50">
        <f t="shared" si="3"/>
        <v>913535490.536556</v>
      </c>
      <c r="C38" s="50">
        <f t="shared" si="3"/>
        <v>979377811.6032388</v>
      </c>
      <c r="D38" s="50">
        <f t="shared" si="3"/>
        <v>1038467150.2021304</v>
      </c>
      <c r="E38" s="50">
        <f t="shared" si="3"/>
        <v>1145995825.7391746</v>
      </c>
      <c r="F38" s="51">
        <f t="shared" si="3"/>
        <v>1257715096.213495</v>
      </c>
      <c r="G38" s="52"/>
      <c r="H38" s="50">
        <f>(H10+H11)*H26</f>
        <v>1418016563.7353437</v>
      </c>
      <c r="I38" s="50">
        <f>(I10+I11)*I26</f>
        <v>1588630350.1037977</v>
      </c>
      <c r="J38" s="50">
        <f>(J10+J11)*J26</f>
        <v>1759831946.409494</v>
      </c>
      <c r="K38" s="53"/>
      <c r="L38" s="50">
        <f aca="true" t="shared" si="5" ref="L38:R38">(L10+L11)*L26</f>
        <v>1818250247.7701385</v>
      </c>
      <c r="M38" s="50">
        <f t="shared" si="5"/>
        <v>1914489358.3519247</v>
      </c>
      <c r="N38" s="50">
        <f t="shared" si="5"/>
        <v>2167989739.032521</v>
      </c>
      <c r="O38" s="53"/>
      <c r="P38" s="50">
        <f t="shared" si="5"/>
        <v>2498087637.687912</v>
      </c>
      <c r="Q38" s="50">
        <f t="shared" si="5"/>
        <v>2708643461.0318756</v>
      </c>
      <c r="R38" s="50">
        <f t="shared" si="5"/>
        <v>2935431598.8008947</v>
      </c>
      <c r="S38" s="55"/>
    </row>
    <row r="39" spans="2:19" ht="14.25">
      <c r="B39" s="50">
        <f t="shared" si="3"/>
        <v>20314890.509513255</v>
      </c>
      <c r="C39" s="50">
        <f t="shared" si="3"/>
        <v>21052913.91062593</v>
      </c>
      <c r="D39" s="50">
        <f t="shared" si="3"/>
        <v>21013382.196877737</v>
      </c>
      <c r="E39" s="50">
        <f t="shared" si="3"/>
        <v>20749217.245247055</v>
      </c>
      <c r="F39" s="51">
        <f t="shared" si="3"/>
        <v>21538469.089727353</v>
      </c>
      <c r="G39" s="52"/>
      <c r="H39" s="50"/>
      <c r="I39" s="50"/>
      <c r="J39" s="50"/>
      <c r="K39" s="53"/>
      <c r="L39" s="50"/>
      <c r="M39" s="50"/>
      <c r="N39" s="50"/>
      <c r="O39" s="53"/>
      <c r="P39" s="50"/>
      <c r="Q39" s="50"/>
      <c r="R39" s="50"/>
      <c r="S39" s="54"/>
    </row>
    <row r="40" spans="1:19" ht="14.25">
      <c r="A40" s="38"/>
      <c r="B40" s="50"/>
      <c r="C40" s="50"/>
      <c r="D40" s="50"/>
      <c r="E40" s="50"/>
      <c r="F40" s="51"/>
      <c r="G40" s="53"/>
      <c r="H40" s="50"/>
      <c r="I40" s="50"/>
      <c r="J40" s="50"/>
      <c r="K40" s="53"/>
      <c r="L40" s="50"/>
      <c r="M40" s="50"/>
      <c r="N40" s="50"/>
      <c r="O40" s="53"/>
      <c r="P40" s="50"/>
      <c r="Q40" s="50"/>
      <c r="R40" s="50"/>
      <c r="S40" s="54"/>
    </row>
    <row r="41" spans="1:19" ht="13.5" customHeight="1">
      <c r="A41" s="22" t="s">
        <v>33</v>
      </c>
      <c r="B41" s="50"/>
      <c r="C41" s="50"/>
      <c r="D41" s="50"/>
      <c r="E41" s="50"/>
      <c r="F41" s="51"/>
      <c r="G41" s="53"/>
      <c r="H41" s="50"/>
      <c r="I41" s="50"/>
      <c r="J41" s="50"/>
      <c r="K41" s="53"/>
      <c r="L41" s="50"/>
      <c r="M41" s="50"/>
      <c r="N41" s="50"/>
      <c r="O41" s="53"/>
      <c r="P41" s="50"/>
      <c r="Q41" s="50"/>
      <c r="R41" s="50"/>
      <c r="S41" s="54"/>
    </row>
    <row r="42" spans="1:19" ht="14.25">
      <c r="A42" s="268" t="s">
        <v>227</v>
      </c>
      <c r="B42" s="50">
        <f aca="true" t="shared" si="6" ref="B42:F43">B15*B30</f>
        <v>3679616.0985991526</v>
      </c>
      <c r="C42" s="50">
        <f t="shared" si="6"/>
        <v>65650212.21499724</v>
      </c>
      <c r="D42" s="50">
        <f t="shared" si="6"/>
        <v>135017987.52996364</v>
      </c>
      <c r="E42" s="50">
        <f t="shared" si="6"/>
        <v>135602510.70266235</v>
      </c>
      <c r="F42" s="50">
        <f t="shared" si="6"/>
        <v>123123753.97942112</v>
      </c>
      <c r="G42" s="52"/>
      <c r="H42" s="56">
        <f>H15*H30</f>
        <v>139397829.61792994</v>
      </c>
      <c r="I42" s="56">
        <f aca="true" t="shared" si="7" ref="I42:J44">I15*I30</f>
        <v>138736595.75586212</v>
      </c>
      <c r="J42" s="56">
        <f t="shared" si="7"/>
        <v>154332071.09192663</v>
      </c>
      <c r="K42" s="53"/>
      <c r="L42" s="56">
        <f aca="true" t="shared" si="8" ref="L42:R44">L15*L30</f>
        <v>262963203.31583738</v>
      </c>
      <c r="M42" s="56">
        <f t="shared" si="8"/>
        <v>276064524.08365935</v>
      </c>
      <c r="N42" s="56">
        <f t="shared" si="8"/>
        <v>377920346.84066796</v>
      </c>
      <c r="O42" s="53"/>
      <c r="P42" s="56">
        <f t="shared" si="8"/>
        <v>96348179.23608887</v>
      </c>
      <c r="Q42" s="56">
        <f t="shared" si="8"/>
        <v>108386500.30638976</v>
      </c>
      <c r="R42" s="56">
        <f t="shared" si="8"/>
        <v>121527275.34876895</v>
      </c>
      <c r="S42" s="54"/>
    </row>
    <row r="43" spans="1:19" ht="14.25">
      <c r="A43" s="269" t="s">
        <v>226</v>
      </c>
      <c r="B43" s="50">
        <f t="shared" si="6"/>
        <v>12113658.168859238</v>
      </c>
      <c r="C43" s="50">
        <f t="shared" si="6"/>
        <v>40852028.507416256</v>
      </c>
      <c r="D43" s="50">
        <f t="shared" si="6"/>
        <v>75042259.72417551</v>
      </c>
      <c r="E43" s="50">
        <f t="shared" si="6"/>
        <v>84224062.48886344</v>
      </c>
      <c r="F43" s="50">
        <f t="shared" si="6"/>
        <v>85182360.19038482</v>
      </c>
      <c r="G43" s="52"/>
      <c r="H43" s="56">
        <f>H16*H31</f>
        <v>101164781.02977578</v>
      </c>
      <c r="I43" s="56">
        <f t="shared" si="7"/>
        <v>112876838.60557032</v>
      </c>
      <c r="J43" s="56">
        <f t="shared" si="7"/>
        <v>126408472.58883889</v>
      </c>
      <c r="K43" s="53"/>
      <c r="L43" s="56">
        <f t="shared" si="8"/>
        <v>159709508.96233952</v>
      </c>
      <c r="M43" s="56">
        <f t="shared" si="8"/>
        <v>116137373.5760971</v>
      </c>
      <c r="N43" s="56">
        <f t="shared" si="8"/>
        <v>109843259.8450434</v>
      </c>
      <c r="O43" s="53"/>
      <c r="P43" s="56">
        <f t="shared" si="8"/>
        <v>129823127.0363545</v>
      </c>
      <c r="Q43" s="56">
        <f t="shared" si="8"/>
        <v>143623031.77231616</v>
      </c>
      <c r="R43" s="56">
        <f t="shared" si="8"/>
        <v>158737398.62852576</v>
      </c>
      <c r="S43" s="54"/>
    </row>
    <row r="44" spans="1:19" ht="14.25">
      <c r="A44" s="269" t="s">
        <v>26</v>
      </c>
      <c r="B44" s="50"/>
      <c r="C44" s="50"/>
      <c r="D44" s="50"/>
      <c r="E44" s="50"/>
      <c r="F44" s="50"/>
      <c r="G44" s="52"/>
      <c r="H44" s="56"/>
      <c r="I44" s="56">
        <f t="shared" si="7"/>
        <v>1105845.8283931036</v>
      </c>
      <c r="J44" s="56">
        <f t="shared" si="7"/>
        <v>5994069.377082137</v>
      </c>
      <c r="K44" s="53"/>
      <c r="L44" s="56">
        <f t="shared" si="8"/>
        <v>9872030.40615758</v>
      </c>
      <c r="M44" s="56">
        <f t="shared" si="8"/>
        <v>11925487.881889766</v>
      </c>
      <c r="N44" s="56">
        <f t="shared" si="8"/>
        <v>10815978.544054821</v>
      </c>
      <c r="O44" s="53"/>
      <c r="P44" s="56">
        <f t="shared" si="8"/>
        <v>10990507.964666609</v>
      </c>
      <c r="Q44" s="56">
        <f t="shared" si="8"/>
        <v>11580574.697917817</v>
      </c>
      <c r="R44" s="56">
        <f t="shared" si="8"/>
        <v>12339987.901324594</v>
      </c>
      <c r="S44" s="54"/>
    </row>
    <row r="45" spans="2:19" ht="14.25">
      <c r="B45" s="50"/>
      <c r="C45" s="50"/>
      <c r="D45" s="50"/>
      <c r="E45" s="50"/>
      <c r="F45" s="57"/>
      <c r="G45" s="53"/>
      <c r="H45" s="56"/>
      <c r="I45" s="56"/>
      <c r="J45" s="56"/>
      <c r="K45" s="53"/>
      <c r="L45" s="56"/>
      <c r="M45" s="56"/>
      <c r="N45" s="56"/>
      <c r="O45" s="53"/>
      <c r="P45" s="56"/>
      <c r="Q45" s="56"/>
      <c r="R45" s="56"/>
      <c r="S45" s="54"/>
    </row>
    <row r="46" spans="1:22" ht="14.25">
      <c r="A46" s="1" t="s">
        <v>34</v>
      </c>
      <c r="B46" s="50">
        <f>SUM(B37:B39,B42:B43)</f>
        <v>2054774610.2257843</v>
      </c>
      <c r="C46" s="50">
        <f>SUM(C37:C39,C42:C43)</f>
        <v>2414161080.2237906</v>
      </c>
      <c r="D46" s="50">
        <f>SUM(D37:D39,D42:D43)</f>
        <v>2688025801.6267724</v>
      </c>
      <c r="E46" s="50">
        <f>SUM(E37:E39,E42:E43)</f>
        <v>2911309936.111939</v>
      </c>
      <c r="F46" s="57">
        <f>SUM(F37:F39,F42:F43)</f>
        <v>3309786189.552924</v>
      </c>
      <c r="G46" s="52"/>
      <c r="H46" s="56">
        <f>SUM(H37:H39,H42:H43)</f>
        <v>3526279893.9477725</v>
      </c>
      <c r="I46" s="56">
        <f>SUM(I37:I39,I42:I44)</f>
        <v>3869980693.3170695</v>
      </c>
      <c r="J46" s="56">
        <f>SUM(J37:J39,J42:J44)</f>
        <v>4245100812.500364</v>
      </c>
      <c r="K46" s="58"/>
      <c r="L46" s="56">
        <f aca="true" t="shared" si="9" ref="L46:R46">SUM(L37:L39,L42:L44)</f>
        <v>4616677772.305617</v>
      </c>
      <c r="M46" s="56">
        <f t="shared" si="9"/>
        <v>4959447997.7062845</v>
      </c>
      <c r="N46" s="56">
        <f t="shared" si="9"/>
        <v>5616214757.2233095</v>
      </c>
      <c r="O46" s="58"/>
      <c r="P46" s="56">
        <f t="shared" si="9"/>
        <v>6141494757.994689</v>
      </c>
      <c r="Q46" s="56">
        <f t="shared" si="9"/>
        <v>6752061129.242749</v>
      </c>
      <c r="R46" s="56">
        <f t="shared" si="9"/>
        <v>7414401507.65255</v>
      </c>
      <c r="S46" s="54"/>
      <c r="T46" s="59"/>
      <c r="U46" s="59"/>
      <c r="V46" s="59"/>
    </row>
    <row r="47" spans="2:22" ht="14.25">
      <c r="B47" s="50"/>
      <c r="C47" s="50"/>
      <c r="D47" s="50"/>
      <c r="E47" s="50"/>
      <c r="F47" s="57"/>
      <c r="G47" s="52"/>
      <c r="H47" s="56"/>
      <c r="I47" s="56"/>
      <c r="J47" s="56"/>
      <c r="K47" s="58"/>
      <c r="L47" s="56"/>
      <c r="M47" s="56"/>
      <c r="N47" s="56"/>
      <c r="O47" s="58"/>
      <c r="P47" s="56"/>
      <c r="Q47" s="56"/>
      <c r="R47" s="56"/>
      <c r="S47" s="54"/>
      <c r="T47" s="59"/>
      <c r="U47" s="59"/>
      <c r="V47" s="59"/>
    </row>
    <row r="48" spans="1:22" ht="14.25">
      <c r="A48" s="22" t="s">
        <v>225</v>
      </c>
      <c r="B48" s="50"/>
      <c r="C48" s="50"/>
      <c r="D48" s="50"/>
      <c r="E48" s="50"/>
      <c r="F48" s="57"/>
      <c r="G48" s="52"/>
      <c r="H48" s="56"/>
      <c r="I48" s="56"/>
      <c r="J48" s="56"/>
      <c r="K48" s="58"/>
      <c r="L48" s="56"/>
      <c r="M48" s="56"/>
      <c r="N48" s="56"/>
      <c r="O48" s="58"/>
      <c r="P48" s="56"/>
      <c r="Q48" s="56"/>
      <c r="R48" s="56"/>
      <c r="S48" s="54"/>
      <c r="T48" s="59"/>
      <c r="U48" s="59"/>
      <c r="V48" s="59"/>
    </row>
    <row r="49" spans="1:22" ht="14.25">
      <c r="A49" s="269" t="s">
        <v>35</v>
      </c>
      <c r="B49" s="50"/>
      <c r="C49" s="50"/>
      <c r="D49" s="50"/>
      <c r="E49" s="50"/>
      <c r="F49" s="57"/>
      <c r="G49" s="52"/>
      <c r="H49" s="56"/>
      <c r="I49" s="56"/>
      <c r="J49" s="56"/>
      <c r="K49" s="58"/>
      <c r="L49" s="56">
        <f>'CH Demonstration'!B18</f>
        <v>61179447.07367699</v>
      </c>
      <c r="M49" s="56">
        <f>'CH Demonstration'!$E$36</f>
        <v>59948759.779121675</v>
      </c>
      <c r="N49" s="56">
        <f>'CH Demonstration'!$E$37</f>
        <v>61927888.72044917</v>
      </c>
      <c r="O49" s="58"/>
      <c r="P49" s="56">
        <f>'CH Demonstration'!$E$38</f>
        <v>64408466.98495197</v>
      </c>
      <c r="Q49" s="56">
        <f>'CH Demonstration'!$E$39</f>
        <v>73527878.04200958</v>
      </c>
      <c r="R49" s="56">
        <f>'CH Demonstration'!$E$40</f>
        <v>81870182.97862661</v>
      </c>
      <c r="S49" s="54"/>
      <c r="T49" s="59"/>
      <c r="U49" s="59"/>
      <c r="V49" s="59"/>
    </row>
    <row r="50" spans="1:22" ht="14.25">
      <c r="A50" s="269" t="s">
        <v>141</v>
      </c>
      <c r="B50" s="50"/>
      <c r="C50" s="50"/>
      <c r="D50" s="50"/>
      <c r="E50" s="50"/>
      <c r="F50" s="57"/>
      <c r="G50" s="52"/>
      <c r="H50" s="56"/>
      <c r="I50" s="56"/>
      <c r="J50" s="56"/>
      <c r="K50" s="58"/>
      <c r="L50" s="56"/>
      <c r="M50" s="56"/>
      <c r="N50" s="56"/>
      <c r="O50" s="58"/>
      <c r="P50" s="56">
        <f>Hypotheticals!F23</f>
        <v>37132436.34142372</v>
      </c>
      <c r="Q50" s="56">
        <f>Hypotheticals!F24</f>
        <v>40340232.15445998</v>
      </c>
      <c r="R50" s="56">
        <f>Hypotheticals!F25</f>
        <v>47213899.59380732</v>
      </c>
      <c r="S50" s="54"/>
      <c r="T50" s="59"/>
      <c r="U50" s="59"/>
      <c r="V50" s="59"/>
    </row>
    <row r="51" spans="1:22" ht="14.25">
      <c r="A51" s="269" t="s">
        <v>142</v>
      </c>
      <c r="B51" s="50"/>
      <c r="C51" s="50"/>
      <c r="D51" s="50"/>
      <c r="E51" s="50"/>
      <c r="F51" s="57"/>
      <c r="G51" s="52"/>
      <c r="H51" s="56"/>
      <c r="I51" s="56"/>
      <c r="J51" s="56"/>
      <c r="K51" s="58"/>
      <c r="L51" s="56"/>
      <c r="M51" s="56"/>
      <c r="N51" s="56"/>
      <c r="O51" s="58"/>
      <c r="P51" s="56">
        <f>Hypotheticals!C43</f>
        <v>15477025.863068981</v>
      </c>
      <c r="Q51" s="56">
        <f>Hypotheticals!C44</f>
        <v>17153536.561181936</v>
      </c>
      <c r="R51" s="56">
        <f>Hypotheticals!C45</f>
        <v>20846965.074672915</v>
      </c>
      <c r="S51" s="54"/>
      <c r="T51" s="59"/>
      <c r="U51" s="59"/>
      <c r="V51" s="59"/>
    </row>
    <row r="52" spans="1:22" ht="14.25">
      <c r="A52" s="269" t="s">
        <v>143</v>
      </c>
      <c r="B52" s="50"/>
      <c r="C52" s="50"/>
      <c r="D52" s="50"/>
      <c r="E52" s="50"/>
      <c r="F52" s="57"/>
      <c r="G52" s="52"/>
      <c r="H52" s="56"/>
      <c r="I52" s="56"/>
      <c r="J52" s="56"/>
      <c r="K52" s="58"/>
      <c r="L52" s="56"/>
      <c r="M52" s="56"/>
      <c r="N52" s="56"/>
      <c r="O52" s="58"/>
      <c r="P52" s="56">
        <f>Hypotheticals!B43</f>
        <v>43712092.4040528</v>
      </c>
      <c r="Q52" s="56">
        <f>Hypotheticals!B44</f>
        <v>41197051.41885562</v>
      </c>
      <c r="R52" s="56">
        <f>Hypotheticals!B45</f>
        <v>48216714.31644751</v>
      </c>
      <c r="S52" s="54"/>
      <c r="T52" s="59"/>
      <c r="U52" s="59"/>
      <c r="V52" s="59"/>
    </row>
    <row r="53" spans="2:22" ht="14.25">
      <c r="B53" s="50"/>
      <c r="C53" s="50"/>
      <c r="D53" s="50"/>
      <c r="E53" s="50"/>
      <c r="F53" s="57"/>
      <c r="G53" s="52"/>
      <c r="H53" s="56"/>
      <c r="I53" s="56"/>
      <c r="J53" s="56"/>
      <c r="K53" s="58"/>
      <c r="L53" s="56"/>
      <c r="M53" s="56"/>
      <c r="N53" s="56"/>
      <c r="O53" s="58"/>
      <c r="P53" s="56"/>
      <c r="Q53" s="56"/>
      <c r="R53" s="56"/>
      <c r="S53" s="54"/>
      <c r="T53" s="59"/>
      <c r="U53" s="59"/>
      <c r="V53" s="59"/>
    </row>
    <row r="54" spans="1:22" ht="15.75" thickBot="1">
      <c r="A54" s="256" t="s">
        <v>118</v>
      </c>
      <c r="B54" s="266">
        <f>SUM(B46:B52)</f>
        <v>2054774610.2257843</v>
      </c>
      <c r="C54" s="266">
        <f>SUM(C46:C52)</f>
        <v>2414161080.2237906</v>
      </c>
      <c r="D54" s="266">
        <f>SUM(D46:D52)</f>
        <v>2688025801.6267724</v>
      </c>
      <c r="E54" s="266">
        <f>SUM(E46:E52)</f>
        <v>2911309936.111939</v>
      </c>
      <c r="F54" s="266">
        <f>SUM(F46:F52)</f>
        <v>3309786189.552924</v>
      </c>
      <c r="G54" s="267"/>
      <c r="H54" s="266">
        <f>SUM(H46:H52)</f>
        <v>3526279893.9477725</v>
      </c>
      <c r="I54" s="266">
        <f>SUM(I46:I52)</f>
        <v>3869980693.3170695</v>
      </c>
      <c r="J54" s="266">
        <f>SUM(J46:J52)</f>
        <v>4245100812.500364</v>
      </c>
      <c r="K54" s="267"/>
      <c r="L54" s="266">
        <f>SUM(L46:L52)</f>
        <v>4677857219.379294</v>
      </c>
      <c r="M54" s="266">
        <f>SUM(M46:M52)</f>
        <v>5019396757.485406</v>
      </c>
      <c r="N54" s="266">
        <f>SUM(N46:N52)</f>
        <v>5678142645.943759</v>
      </c>
      <c r="O54" s="267"/>
      <c r="P54" s="266">
        <f>SUM(P46:P52)</f>
        <v>6302224779.588186</v>
      </c>
      <c r="Q54" s="266">
        <f>SUM(Q46:Q52)</f>
        <v>6924279827.419256</v>
      </c>
      <c r="R54" s="266">
        <f>SUM(R46:R52)</f>
        <v>7612549269.616103</v>
      </c>
      <c r="S54" s="54"/>
      <c r="T54" s="59"/>
      <c r="U54" s="59"/>
      <c r="V54" s="59"/>
    </row>
    <row r="55" spans="2:19" ht="14.25">
      <c r="B55" s="60"/>
      <c r="C55" s="60"/>
      <c r="D55" s="60"/>
      <c r="E55" s="60"/>
      <c r="F55" s="24"/>
      <c r="G55" s="12"/>
      <c r="H55" s="60"/>
      <c r="I55" s="60"/>
      <c r="J55" s="60"/>
      <c r="K55" s="12"/>
      <c r="L55" s="60"/>
      <c r="M55" s="60"/>
      <c r="N55" s="60"/>
      <c r="O55" s="12"/>
      <c r="P55" s="60"/>
      <c r="Q55" s="60"/>
      <c r="R55" s="60"/>
      <c r="S55" s="61"/>
    </row>
    <row r="56" spans="1:19" ht="15">
      <c r="A56" s="253" t="s">
        <v>36</v>
      </c>
      <c r="B56" s="254">
        <v>607153104.0446079</v>
      </c>
      <c r="C56" s="254">
        <v>567000000</v>
      </c>
      <c r="D56" s="254">
        <v>550500000</v>
      </c>
      <c r="E56" s="254">
        <v>560332500</v>
      </c>
      <c r="F56" s="254">
        <v>576129645</v>
      </c>
      <c r="G56" s="255"/>
      <c r="H56" s="254">
        <v>516440715</v>
      </c>
      <c r="I56" s="254">
        <v>554758400</v>
      </c>
      <c r="J56" s="254">
        <v>574571200</v>
      </c>
      <c r="K56" s="255"/>
      <c r="L56" s="254">
        <v>574571200</v>
      </c>
      <c r="M56" s="254">
        <v>574571200</v>
      </c>
      <c r="N56" s="254">
        <v>574571200</v>
      </c>
      <c r="O56" s="255"/>
      <c r="P56" s="254">
        <v>604779280</v>
      </c>
      <c r="Q56" s="254">
        <v>626377052</v>
      </c>
      <c r="R56" s="254">
        <v>619672202.7878199</v>
      </c>
      <c r="S56" s="54"/>
    </row>
    <row r="57" spans="2:18" ht="14.25">
      <c r="B57" s="51"/>
      <c r="C57" s="62"/>
      <c r="D57" s="62"/>
      <c r="E57" s="51"/>
      <c r="F57" s="51"/>
      <c r="G57" s="53"/>
      <c r="H57" s="63"/>
      <c r="I57" s="63"/>
      <c r="J57" s="63"/>
      <c r="K57" s="53"/>
      <c r="L57" s="63"/>
      <c r="M57" s="63"/>
      <c r="N57" s="63"/>
      <c r="O57" s="53"/>
      <c r="P57" s="63"/>
      <c r="Q57" s="63"/>
      <c r="R57" s="63"/>
    </row>
    <row r="58" spans="1:19" ht="15">
      <c r="A58" s="293" t="s">
        <v>37</v>
      </c>
      <c r="B58" s="294">
        <f>B54+B56</f>
        <v>2661927714.2703924</v>
      </c>
      <c r="C58" s="294">
        <f>C54+C56</f>
        <v>2981161080.2237906</v>
      </c>
      <c r="D58" s="294">
        <f>D54+D56</f>
        <v>3238525801.6267724</v>
      </c>
      <c r="E58" s="294">
        <f>E54+E56</f>
        <v>3471642436.111939</v>
      </c>
      <c r="F58" s="294">
        <f>F54+F56</f>
        <v>3885915834.552924</v>
      </c>
      <c r="G58" s="294"/>
      <c r="H58" s="294">
        <f>H54+H56</f>
        <v>4042720608.9477725</v>
      </c>
      <c r="I58" s="294">
        <f>I54+I56</f>
        <v>4424739093.31707</v>
      </c>
      <c r="J58" s="294">
        <f>J54+J56</f>
        <v>4819672012.500364</v>
      </c>
      <c r="K58" s="294"/>
      <c r="L58" s="294">
        <f aca="true" t="shared" si="10" ref="L58:R58">L54+L56</f>
        <v>5252428419.379294</v>
      </c>
      <c r="M58" s="294">
        <f t="shared" si="10"/>
        <v>5593967957.485406</v>
      </c>
      <c r="N58" s="294">
        <f t="shared" si="10"/>
        <v>6252713845.943759</v>
      </c>
      <c r="O58" s="294"/>
      <c r="P58" s="294">
        <f t="shared" si="10"/>
        <v>6907004059.588186</v>
      </c>
      <c r="Q58" s="294">
        <f t="shared" si="10"/>
        <v>7550656879.419256</v>
      </c>
      <c r="R58" s="294">
        <f t="shared" si="10"/>
        <v>8232221472.403923</v>
      </c>
      <c r="S58" s="64"/>
    </row>
    <row r="59" spans="2:18" ht="14.25">
      <c r="B59" s="25"/>
      <c r="C59" s="65"/>
      <c r="D59" s="65"/>
      <c r="E59" s="65"/>
      <c r="F59" s="65"/>
      <c r="G59" s="2"/>
      <c r="H59" s="65"/>
      <c r="I59" s="65"/>
      <c r="J59" s="65"/>
      <c r="L59" s="65"/>
      <c r="M59" s="65"/>
      <c r="N59" s="65"/>
      <c r="O59" s="65"/>
      <c r="P59" s="65"/>
      <c r="Q59" s="65"/>
      <c r="R59" s="65"/>
    </row>
  </sheetData>
  <printOptions horizontalCentered="1" verticalCentered="1"/>
  <pageMargins left="0.5" right="0.5" top="0.5" bottom="0.5" header="0.5" footer="0.5"/>
  <pageSetup horizontalDpi="600" verticalDpi="600" orientation="landscape" paperSize="5" scale="40" r:id="rId1"/>
</worksheet>
</file>

<file path=xl/worksheets/sheet3.xml><?xml version="1.0" encoding="utf-8"?>
<worksheet xmlns="http://schemas.openxmlformats.org/spreadsheetml/2006/main" xmlns:r="http://schemas.openxmlformats.org/officeDocument/2006/relationships">
  <sheetPr codeName="Sheet4"/>
  <dimension ref="A1:V1300"/>
  <sheetViews>
    <sheetView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0.00390625" style="69" customWidth="1"/>
    <col min="2" max="2" width="17.28125" style="103" bestFit="1" customWidth="1"/>
    <col min="3" max="3" width="17.00390625" style="103" bestFit="1" customWidth="1"/>
    <col min="4" max="4" width="17.8515625" style="103" customWidth="1"/>
    <col min="5" max="5" width="16.28125" style="103" bestFit="1" customWidth="1"/>
    <col min="6" max="6" width="16.7109375" style="103" bestFit="1" customWidth="1"/>
    <col min="7" max="7" width="16.28125" style="103" bestFit="1" customWidth="1"/>
    <col min="8" max="8" width="17.00390625" style="103" bestFit="1" customWidth="1"/>
    <col min="9" max="9" width="16.8515625" style="103" bestFit="1" customWidth="1"/>
    <col min="10" max="10" width="16.57421875" style="104" bestFit="1" customWidth="1"/>
    <col min="11" max="12" width="15.140625" style="69" bestFit="1" customWidth="1"/>
    <col min="13" max="13" width="14.421875" style="69" bestFit="1" customWidth="1"/>
    <col min="14" max="14" width="17.57421875" style="69" bestFit="1" customWidth="1"/>
    <col min="15" max="15" width="10.28125" style="69" bestFit="1" customWidth="1"/>
    <col min="16" max="16" width="10.7109375" style="69" bestFit="1" customWidth="1"/>
    <col min="17" max="17" width="14.00390625" style="69" customWidth="1"/>
    <col min="18" max="19" width="13.57421875" style="69" bestFit="1" customWidth="1"/>
    <col min="20" max="20" width="12.421875" style="69" bestFit="1" customWidth="1"/>
    <col min="21" max="21" width="12.28125" style="69" bestFit="1" customWidth="1"/>
    <col min="22" max="22" width="10.7109375" style="69" bestFit="1" customWidth="1"/>
    <col min="23" max="23" width="9.140625" style="69" customWidth="1"/>
    <col min="24" max="28" width="10.7109375" style="69" bestFit="1" customWidth="1"/>
    <col min="29" max="16384" width="9.140625" style="69" customWidth="1"/>
  </cols>
  <sheetData>
    <row r="1" spans="1:5" ht="18">
      <c r="A1" s="313" t="s">
        <v>61</v>
      </c>
      <c r="C1"/>
      <c r="D1"/>
      <c r="E1"/>
    </row>
    <row r="2" spans="1:5" ht="12.75">
      <c r="A2" s="69" t="s">
        <v>222</v>
      </c>
      <c r="C2"/>
      <c r="D2"/>
      <c r="E2"/>
    </row>
    <row r="3" spans="1:10" ht="13.5" thickBot="1">
      <c r="A3" s="69" t="s">
        <v>221</v>
      </c>
      <c r="C3" s="105"/>
      <c r="E3" s="107"/>
      <c r="G3" s="108"/>
      <c r="H3" s="108"/>
      <c r="I3" s="108"/>
      <c r="J3" s="104" t="s">
        <v>232</v>
      </c>
    </row>
    <row r="4" spans="2:15" ht="12.75">
      <c r="B4" s="248" t="s">
        <v>48</v>
      </c>
      <c r="C4" s="248" t="s">
        <v>15</v>
      </c>
      <c r="D4" s="248" t="s">
        <v>16</v>
      </c>
      <c r="E4" s="248" t="s">
        <v>68</v>
      </c>
      <c r="F4" s="248" t="s">
        <v>69</v>
      </c>
      <c r="G4" s="248" t="s">
        <v>70</v>
      </c>
      <c r="H4" s="248" t="s">
        <v>71</v>
      </c>
      <c r="I4" s="248" t="s">
        <v>72</v>
      </c>
      <c r="J4" s="322" t="s">
        <v>107</v>
      </c>
      <c r="K4" s="323" t="s">
        <v>108</v>
      </c>
      <c r="L4" s="324" t="s">
        <v>109</v>
      </c>
      <c r="M4"/>
      <c r="N4"/>
      <c r="O4"/>
    </row>
    <row r="5" spans="1:20" ht="13.5" thickBot="1">
      <c r="A5" s="311" t="s">
        <v>209</v>
      </c>
      <c r="B5" s="312">
        <f>SUM(B6,B9)</f>
        <v>10995120003.57</v>
      </c>
      <c r="C5" s="312">
        <f aca="true" t="shared" si="0" ref="C5:L5">SUM(C6,C9)</f>
        <v>3866792352.61</v>
      </c>
      <c r="D5" s="312">
        <f t="shared" si="0"/>
        <v>3922729067.12</v>
      </c>
      <c r="E5" s="312">
        <f t="shared" si="0"/>
        <v>4637431665.39</v>
      </c>
      <c r="F5" s="312">
        <f t="shared" si="0"/>
        <v>5271732140</v>
      </c>
      <c r="G5" s="312">
        <f t="shared" si="0"/>
        <v>5324705398.7995205</v>
      </c>
      <c r="H5" s="312">
        <f t="shared" si="0"/>
        <v>5622379876.418425</v>
      </c>
      <c r="I5" s="312">
        <f t="shared" si="0"/>
        <v>5923297908.058874</v>
      </c>
      <c r="J5" s="325">
        <f t="shared" si="0"/>
        <v>4898559812.645519</v>
      </c>
      <c r="K5" s="312">
        <f t="shared" si="0"/>
        <v>5266352542.290844</v>
      </c>
      <c r="L5" s="326">
        <f t="shared" si="0"/>
        <v>5685014735.6845045</v>
      </c>
      <c r="M5"/>
      <c r="N5"/>
      <c r="O5"/>
      <c r="P5" s="224"/>
      <c r="Q5" s="225"/>
      <c r="R5" s="225"/>
      <c r="S5" s="225"/>
      <c r="T5" s="225"/>
    </row>
    <row r="6" spans="1:15" ht="13.5" thickTop="1">
      <c r="A6" s="112" t="s">
        <v>211</v>
      </c>
      <c r="B6" s="137">
        <f aca="true" t="shared" si="1" ref="B6:L6">B8+B7</f>
        <v>8837045572.57</v>
      </c>
      <c r="C6" s="137">
        <f t="shared" si="1"/>
        <v>3339561554.61</v>
      </c>
      <c r="D6" s="137">
        <f t="shared" si="1"/>
        <v>3482438376.12</v>
      </c>
      <c r="E6" s="137">
        <f t="shared" si="1"/>
        <v>4081120072.3900003</v>
      </c>
      <c r="F6" s="137">
        <f t="shared" si="1"/>
        <v>4683045520</v>
      </c>
      <c r="G6" s="137">
        <f t="shared" si="1"/>
        <v>3980134198.79952</v>
      </c>
      <c r="H6" s="137">
        <f t="shared" si="1"/>
        <v>4277808676.418424</v>
      </c>
      <c r="I6" s="137">
        <f t="shared" si="1"/>
        <v>4578726708.058874</v>
      </c>
      <c r="J6" s="327">
        <f t="shared" si="1"/>
        <v>4898559812.645519</v>
      </c>
      <c r="K6" s="137">
        <f t="shared" si="1"/>
        <v>5266352542.290844</v>
      </c>
      <c r="L6" s="328">
        <f t="shared" si="1"/>
        <v>5685014735.6845045</v>
      </c>
      <c r="M6"/>
      <c r="N6"/>
      <c r="O6"/>
    </row>
    <row r="7" spans="1:15" s="104" customFormat="1" ht="12.75">
      <c r="A7" s="300" t="s">
        <v>208</v>
      </c>
      <c r="B7" s="244">
        <f>SUM(B14:B30)</f>
        <v>0</v>
      </c>
      <c r="C7" s="244">
        <f aca="true" t="shared" si="2" ref="C7:L7">SUM(C14:C30)</f>
        <v>730748</v>
      </c>
      <c r="D7" s="244">
        <f t="shared" si="2"/>
        <v>361936</v>
      </c>
      <c r="E7" s="244">
        <f t="shared" si="2"/>
        <v>2618802</v>
      </c>
      <c r="F7" s="244">
        <f t="shared" si="2"/>
        <v>326879160</v>
      </c>
      <c r="G7" s="244">
        <f t="shared" si="2"/>
        <v>3980134198.79952</v>
      </c>
      <c r="H7" s="244">
        <f t="shared" si="2"/>
        <v>4277808676.418424</v>
      </c>
      <c r="I7" s="244">
        <f t="shared" si="2"/>
        <v>4578726708.058874</v>
      </c>
      <c r="J7" s="329">
        <f t="shared" si="2"/>
        <v>4898559812.645519</v>
      </c>
      <c r="K7" s="244">
        <f t="shared" si="2"/>
        <v>5266352542.290844</v>
      </c>
      <c r="L7" s="330">
        <f t="shared" si="2"/>
        <v>5685014735.6845045</v>
      </c>
      <c r="M7" s="162"/>
      <c r="N7" s="162"/>
      <c r="O7" s="162"/>
    </row>
    <row r="8" spans="1:15" s="104" customFormat="1" ht="12.75">
      <c r="A8" s="300" t="s">
        <v>207</v>
      </c>
      <c r="B8" s="244">
        <f>SUM(B39:B49)</f>
        <v>8837045572.57</v>
      </c>
      <c r="C8" s="244">
        <f aca="true" t="shared" si="3" ref="C8:L8">SUM(C39:C49)</f>
        <v>3338830806.61</v>
      </c>
      <c r="D8" s="244">
        <f t="shared" si="3"/>
        <v>3482076440.12</v>
      </c>
      <c r="E8" s="244">
        <f t="shared" si="3"/>
        <v>4078501270.3900003</v>
      </c>
      <c r="F8" s="244">
        <f t="shared" si="3"/>
        <v>4356166360</v>
      </c>
      <c r="G8" s="244">
        <f t="shared" si="3"/>
        <v>0</v>
      </c>
      <c r="H8" s="244">
        <f t="shared" si="3"/>
        <v>0</v>
      </c>
      <c r="I8" s="244">
        <f t="shared" si="3"/>
        <v>0</v>
      </c>
      <c r="J8" s="329">
        <f t="shared" si="3"/>
        <v>0</v>
      </c>
      <c r="K8" s="244">
        <f t="shared" si="3"/>
        <v>0</v>
      </c>
      <c r="L8" s="330">
        <f t="shared" si="3"/>
        <v>0</v>
      </c>
      <c r="M8" s="162"/>
      <c r="N8" s="162"/>
      <c r="O8" s="162"/>
    </row>
    <row r="9" spans="1:15" ht="13.5" thickBot="1">
      <c r="A9" s="357" t="s">
        <v>210</v>
      </c>
      <c r="B9" s="358">
        <f>SUM(B33:B34)</f>
        <v>2158074431</v>
      </c>
      <c r="C9" s="358">
        <f aca="true" t="shared" si="4" ref="C9:L9">SUM(C33:C34)</f>
        <v>527230798</v>
      </c>
      <c r="D9" s="358">
        <f t="shared" si="4"/>
        <v>440290691</v>
      </c>
      <c r="E9" s="358">
        <f t="shared" si="4"/>
        <v>556311593</v>
      </c>
      <c r="F9" s="358">
        <f t="shared" si="4"/>
        <v>588686620</v>
      </c>
      <c r="G9" s="358">
        <f t="shared" si="4"/>
        <v>1344571200</v>
      </c>
      <c r="H9" s="358">
        <f t="shared" si="4"/>
        <v>1344571200</v>
      </c>
      <c r="I9" s="358">
        <f t="shared" si="4"/>
        <v>1344571200</v>
      </c>
      <c r="J9" s="359">
        <f t="shared" si="4"/>
        <v>0</v>
      </c>
      <c r="K9" s="358">
        <f t="shared" si="4"/>
        <v>0</v>
      </c>
      <c r="L9" s="360">
        <f t="shared" si="4"/>
        <v>0</v>
      </c>
      <c r="M9"/>
      <c r="N9"/>
      <c r="O9"/>
    </row>
    <row r="10" spans="1:15" s="104" customFormat="1" ht="12.75">
      <c r="A10" s="243"/>
      <c r="B10" s="244"/>
      <c r="C10" s="244"/>
      <c r="D10" s="244"/>
      <c r="E10" s="244"/>
      <c r="F10" s="244"/>
      <c r="G10" s="244"/>
      <c r="H10" s="244"/>
      <c r="I10" s="244"/>
      <c r="J10" s="329"/>
      <c r="K10" s="244"/>
      <c r="L10" s="330"/>
      <c r="M10" s="244"/>
      <c r="N10" s="244"/>
      <c r="O10" s="244"/>
    </row>
    <row r="11" spans="1:17" s="104" customFormat="1" ht="12.75">
      <c r="A11" s="301" t="s">
        <v>85</v>
      </c>
      <c r="B11" s="302" t="s">
        <v>63</v>
      </c>
      <c r="C11" s="302" t="s">
        <v>64</v>
      </c>
      <c r="D11" s="302" t="s">
        <v>64</v>
      </c>
      <c r="E11" s="302" t="s">
        <v>64</v>
      </c>
      <c r="F11" s="302" t="s">
        <v>64</v>
      </c>
      <c r="G11" s="302" t="s">
        <v>64</v>
      </c>
      <c r="H11" s="302" t="s">
        <v>64</v>
      </c>
      <c r="I11" s="302" t="s">
        <v>64</v>
      </c>
      <c r="J11" s="331" t="s">
        <v>64</v>
      </c>
      <c r="K11" s="113" t="s">
        <v>65</v>
      </c>
      <c r="L11" s="332" t="s">
        <v>65</v>
      </c>
      <c r="M11" s="112"/>
      <c r="N11" s="162"/>
      <c r="O11" s="162"/>
      <c r="P11" s="162"/>
      <c r="Q11" s="162"/>
    </row>
    <row r="12" spans="1:17" s="104" customFormat="1" ht="12.75">
      <c r="A12" s="104" t="s">
        <v>66</v>
      </c>
      <c r="B12" s="302" t="s">
        <v>10</v>
      </c>
      <c r="C12" s="302" t="s">
        <v>10</v>
      </c>
      <c r="D12" s="302" t="s">
        <v>10</v>
      </c>
      <c r="E12" s="302" t="s">
        <v>10</v>
      </c>
      <c r="F12" s="302" t="s">
        <v>10</v>
      </c>
      <c r="G12" s="302" t="s">
        <v>10</v>
      </c>
      <c r="H12" s="302" t="s">
        <v>10</v>
      </c>
      <c r="I12" s="302" t="s">
        <v>10</v>
      </c>
      <c r="J12" s="331" t="s">
        <v>10</v>
      </c>
      <c r="K12" s="113" t="s">
        <v>10</v>
      </c>
      <c r="L12" s="332" t="s">
        <v>10</v>
      </c>
      <c r="M12" s="112"/>
      <c r="N12" s="162"/>
      <c r="O12" s="162"/>
      <c r="P12" s="162"/>
      <c r="Q12" s="162"/>
    </row>
    <row r="13" spans="1:17" s="104" customFormat="1" ht="12.75">
      <c r="A13" s="303" t="s">
        <v>67</v>
      </c>
      <c r="B13" s="304" t="s">
        <v>48</v>
      </c>
      <c r="C13" s="304" t="s">
        <v>15</v>
      </c>
      <c r="D13" s="304" t="s">
        <v>16</v>
      </c>
      <c r="E13" s="304" t="s">
        <v>68</v>
      </c>
      <c r="F13" s="304" t="s">
        <v>69</v>
      </c>
      <c r="G13" s="304" t="s">
        <v>70</v>
      </c>
      <c r="H13" s="304" t="s">
        <v>71</v>
      </c>
      <c r="I13" s="304" t="s">
        <v>72</v>
      </c>
      <c r="J13" s="333" t="s">
        <v>107</v>
      </c>
      <c r="K13" s="304" t="s">
        <v>108</v>
      </c>
      <c r="L13" s="334" t="s">
        <v>109</v>
      </c>
      <c r="M13" s="112"/>
      <c r="N13" s="162"/>
      <c r="O13" s="162"/>
      <c r="P13" s="162"/>
      <c r="Q13" s="162"/>
    </row>
    <row r="14" spans="1:21" ht="12.75">
      <c r="A14" s="69" t="s">
        <v>86</v>
      </c>
      <c r="B14" s="129">
        <f>SUM('CMS-64'!B12:E12)</f>
        <v>0</v>
      </c>
      <c r="C14" s="129">
        <f>'CMS-64'!F12</f>
        <v>-808</v>
      </c>
      <c r="D14" s="129">
        <f>'CMS-64'!G12</f>
        <v>408</v>
      </c>
      <c r="E14" s="129">
        <f>'CMS-64'!H12</f>
        <v>13661</v>
      </c>
      <c r="F14" s="129">
        <f>'CMS-64'!I12</f>
        <v>1898723</v>
      </c>
      <c r="G14" s="129">
        <f>Adjustments!B112</f>
        <v>49012287.429138206</v>
      </c>
      <c r="H14" s="129">
        <f>Adjustments!C112</f>
        <v>61429976.400402434</v>
      </c>
      <c r="I14" s="129">
        <f>Adjustments!D112</f>
        <v>42756022.11627533</v>
      </c>
      <c r="J14" s="335">
        <f>Adjustments!E112</f>
        <v>29300266.010655914</v>
      </c>
      <c r="K14" s="138">
        <f>Adjustments!F112</f>
        <v>28213170.050365083</v>
      </c>
      <c r="L14" s="336">
        <f>Adjustments!G112</f>
        <v>30954227.868207496</v>
      </c>
      <c r="M14" s="115"/>
      <c r="N14"/>
      <c r="O14"/>
      <c r="P14"/>
      <c r="Q14"/>
      <c r="R14" s="136"/>
      <c r="S14" s="136"/>
      <c r="T14" s="136"/>
      <c r="U14" s="136"/>
    </row>
    <row r="15" spans="1:21" ht="12.75">
      <c r="A15" s="69" t="s">
        <v>87</v>
      </c>
      <c r="B15" s="129">
        <f>SUM('CMS-64'!B13:E13)</f>
        <v>0</v>
      </c>
      <c r="C15" s="129">
        <f>'CMS-64'!F13</f>
        <v>-4601</v>
      </c>
      <c r="D15" s="129">
        <f>'CMS-64'!G13</f>
        <v>15036</v>
      </c>
      <c r="E15" s="129">
        <f>'CMS-64'!H13</f>
        <v>155368</v>
      </c>
      <c r="F15" s="129">
        <f>'CMS-64'!I13</f>
        <v>6151838</v>
      </c>
      <c r="G15" s="129">
        <f>Adjustments!B113</f>
        <v>62693623.607477255</v>
      </c>
      <c r="H15" s="129">
        <f>Adjustments!C113</f>
        <v>48183680.60012456</v>
      </c>
      <c r="I15" s="129">
        <f>Adjustments!D113</f>
        <v>43968336.747457035</v>
      </c>
      <c r="J15" s="335">
        <f>Adjustments!E113</f>
        <v>52236561.41109115</v>
      </c>
      <c r="K15" s="138">
        <f>Adjustments!F113</f>
        <v>54242155.74613096</v>
      </c>
      <c r="L15" s="336">
        <f>Adjustments!G113</f>
        <v>55148302.34910277</v>
      </c>
      <c r="M15" s="115"/>
      <c r="N15"/>
      <c r="O15"/>
      <c r="P15"/>
      <c r="Q15"/>
      <c r="R15" s="111"/>
      <c r="S15" s="111"/>
      <c r="T15" s="111"/>
      <c r="U15" s="111"/>
    </row>
    <row r="16" spans="1:21" ht="12.75">
      <c r="A16" s="69" t="s">
        <v>88</v>
      </c>
      <c r="B16" s="129">
        <f>SUM('CMS-64'!B14:E14)</f>
        <v>0</v>
      </c>
      <c r="C16" s="129">
        <f>'CMS-64'!F14</f>
        <v>683320</v>
      </c>
      <c r="D16" s="129">
        <f>'CMS-64'!G14</f>
        <v>388868</v>
      </c>
      <c r="E16" s="129">
        <f>'CMS-64'!H14</f>
        <v>1671804</v>
      </c>
      <c r="F16" s="129">
        <f>'CMS-64'!I14</f>
        <v>192790254</v>
      </c>
      <c r="G16" s="129">
        <f>Adjustments!B114</f>
        <v>1593150414.928445</v>
      </c>
      <c r="H16" s="129">
        <f>Adjustments!C114</f>
        <v>1701050272.3278387</v>
      </c>
      <c r="I16" s="129">
        <f>Adjustments!D114</f>
        <v>1812012565.1345522</v>
      </c>
      <c r="J16" s="335">
        <f>Adjustments!E114</f>
        <v>1891174607.2214482</v>
      </c>
      <c r="K16" s="138">
        <f>Adjustments!F114</f>
        <v>2019842787.603269</v>
      </c>
      <c r="L16" s="336">
        <f>Adjustments!G114</f>
        <v>2169422810.7340875</v>
      </c>
      <c r="M16" s="115"/>
      <c r="N16"/>
      <c r="O16"/>
      <c r="P16"/>
      <c r="Q16"/>
      <c r="R16" s="111"/>
      <c r="S16" s="111"/>
      <c r="T16" s="111"/>
      <c r="U16" s="111"/>
    </row>
    <row r="17" spans="1:21" ht="12.75">
      <c r="A17" s="69" t="s">
        <v>89</v>
      </c>
      <c r="B17" s="129">
        <f>SUM('CMS-64'!B15:E15)</f>
        <v>0</v>
      </c>
      <c r="C17" s="129">
        <f>'CMS-64'!F15</f>
        <v>23590</v>
      </c>
      <c r="D17" s="129">
        <f>'CMS-64'!G15</f>
        <v>18950</v>
      </c>
      <c r="E17" s="129">
        <f>'CMS-64'!H15</f>
        <v>472232</v>
      </c>
      <c r="F17" s="129">
        <f>'CMS-64'!I15</f>
        <v>90412022</v>
      </c>
      <c r="G17" s="129">
        <f>Adjustments!B115</f>
        <v>1858065692.4192204</v>
      </c>
      <c r="H17" s="129">
        <f>Adjustments!C115</f>
        <v>1950416579.6253247</v>
      </c>
      <c r="I17" s="129">
        <f>Adjustments!D115</f>
        <v>2101045502.2896492</v>
      </c>
      <c r="J17" s="335">
        <f>Adjustments!E115</f>
        <v>2194199467.0544734</v>
      </c>
      <c r="K17" s="138">
        <f>Adjustments!F115</f>
        <v>2326813115.4792876</v>
      </c>
      <c r="L17" s="336">
        <f>Adjustments!G115</f>
        <v>2545785691.0896454</v>
      </c>
      <c r="M17" s="115"/>
      <c r="N17"/>
      <c r="O17"/>
      <c r="P17"/>
      <c r="Q17"/>
      <c r="R17" s="136"/>
      <c r="S17" s="111"/>
      <c r="T17" s="111"/>
      <c r="U17" s="111"/>
    </row>
    <row r="18" spans="1:21" ht="12.75">
      <c r="A18" s="69" t="s">
        <v>90</v>
      </c>
      <c r="B18" s="129">
        <f>SUM('CMS-64'!B16:E16)</f>
        <v>0</v>
      </c>
      <c r="C18" s="129">
        <f>'CMS-64'!F16</f>
        <v>-2439</v>
      </c>
      <c r="D18" s="129">
        <f>'CMS-64'!G16</f>
        <v>-76</v>
      </c>
      <c r="E18" s="129">
        <f>'CMS-64'!H16</f>
        <v>12445</v>
      </c>
      <c r="F18" s="129">
        <f>'CMS-64'!I16</f>
        <v>244779</v>
      </c>
      <c r="G18" s="129">
        <f>Adjustments!B116</f>
        <v>1777701.7455877254</v>
      </c>
      <c r="H18" s="129">
        <f>Adjustments!C116</f>
        <v>1332861.988239427</v>
      </c>
      <c r="I18" s="129">
        <f>Adjustments!D116</f>
        <v>1492994.3369436718</v>
      </c>
      <c r="J18" s="335">
        <f>Adjustments!E116</f>
        <v>1163288.8406399346</v>
      </c>
      <c r="K18" s="138">
        <f>Adjustments!F116</f>
        <v>1290017.661636491</v>
      </c>
      <c r="L18" s="336">
        <f>Adjustments!G116</f>
        <v>1298684.3145042837</v>
      </c>
      <c r="M18" s="115"/>
      <c r="N18"/>
      <c r="O18"/>
      <c r="P18"/>
      <c r="Q18"/>
      <c r="R18" s="111"/>
      <c r="S18" s="111"/>
      <c r="T18" s="111"/>
      <c r="U18" s="111"/>
    </row>
    <row r="19" spans="1:21" ht="12.75">
      <c r="A19" s="69" t="s">
        <v>91</v>
      </c>
      <c r="B19" s="129">
        <f>SUM('CMS-64'!B17:E17)</f>
        <v>0</v>
      </c>
      <c r="C19" s="129">
        <f>'CMS-64'!F17</f>
        <v>0</v>
      </c>
      <c r="D19" s="129">
        <f>'CMS-64'!G17</f>
        <v>0</v>
      </c>
      <c r="E19" s="129">
        <f>'CMS-64'!H17</f>
        <v>7</v>
      </c>
      <c r="F19" s="129">
        <f>'CMS-64'!I17</f>
        <v>42938</v>
      </c>
      <c r="G19" s="129">
        <f>Adjustments!B117</f>
        <v>3503369</v>
      </c>
      <c r="H19" s="129">
        <f>Adjustments!C117</f>
        <v>3919053</v>
      </c>
      <c r="I19" s="129">
        <f>Adjustments!D117</f>
        <v>5809164</v>
      </c>
      <c r="J19" s="335">
        <f>Adjustments!E117</f>
        <v>6922469.950918419</v>
      </c>
      <c r="K19" s="138">
        <f>Adjustments!F117</f>
        <v>7903275.926566677</v>
      </c>
      <c r="L19" s="336">
        <f>Adjustments!G117</f>
        <v>8689291.154116714</v>
      </c>
      <c r="M19" s="115"/>
      <c r="N19"/>
      <c r="O19"/>
      <c r="P19"/>
      <c r="Q19"/>
      <c r="R19" s="111"/>
      <c r="S19" s="111"/>
      <c r="T19" s="111"/>
      <c r="U19" s="111"/>
    </row>
    <row r="20" spans="1:21" ht="12.75">
      <c r="A20" s="69" t="s">
        <v>92</v>
      </c>
      <c r="B20" s="129">
        <f>SUM('CMS-64'!B18:E18)</f>
        <v>0</v>
      </c>
      <c r="C20" s="129">
        <f>'CMS-64'!F18</f>
        <v>15818</v>
      </c>
      <c r="D20" s="129">
        <f>'CMS-64'!G18</f>
        <v>1332</v>
      </c>
      <c r="E20" s="129">
        <f>'CMS-64'!H18</f>
        <v>-7824</v>
      </c>
      <c r="F20" s="129">
        <f>'CMS-64'!I18</f>
        <v>874100</v>
      </c>
      <c r="G20" s="129">
        <f>Adjustments!B118</f>
        <v>14500057.968129471</v>
      </c>
      <c r="H20" s="129">
        <f>Adjustments!C118</f>
        <v>16346059.055436015</v>
      </c>
      <c r="I20" s="129">
        <f>Adjustments!D118</f>
        <v>18360374.067369048</v>
      </c>
      <c r="J20" s="335">
        <f>Adjustments!E118</f>
        <v>19798161.713227168</v>
      </c>
      <c r="K20" s="138">
        <f>Adjustments!F118</f>
        <v>19762231.13609097</v>
      </c>
      <c r="L20" s="336">
        <f>Adjustments!G118</f>
        <v>22343636.646768343</v>
      </c>
      <c r="M20" s="115"/>
      <c r="N20"/>
      <c r="O20"/>
      <c r="P20"/>
      <c r="Q20"/>
      <c r="R20" s="111"/>
      <c r="S20" s="111"/>
      <c r="T20" s="111"/>
      <c r="U20" s="111"/>
    </row>
    <row r="21" spans="1:21" ht="12.75">
      <c r="A21" s="69" t="s">
        <v>75</v>
      </c>
      <c r="B21" s="129">
        <f>SUM('CMS-64'!B19:E19)</f>
        <v>0</v>
      </c>
      <c r="C21" s="129">
        <f>'CMS-64'!F19</f>
        <v>46810</v>
      </c>
      <c r="D21" s="129">
        <f>'CMS-64'!G19</f>
        <v>36918</v>
      </c>
      <c r="E21" s="129">
        <f>'CMS-64'!H19</f>
        <v>9509</v>
      </c>
      <c r="F21" s="129">
        <f>'CMS-64'!I19</f>
        <v>5462685</v>
      </c>
      <c r="G21" s="129">
        <f>Adjustments!B119</f>
        <v>85430301.5566924</v>
      </c>
      <c r="H21" s="129">
        <f>Adjustments!C119</f>
        <v>104597479.56328365</v>
      </c>
      <c r="I21" s="129">
        <f>Adjustments!D119</f>
        <v>116203684.29835314</v>
      </c>
      <c r="J21" s="335">
        <f>Adjustments!E119</f>
        <v>122857054.06836975</v>
      </c>
      <c r="K21" s="138">
        <f>Adjustments!F119</f>
        <v>138437994.25459903</v>
      </c>
      <c r="L21" s="336">
        <f>Adjustments!G119</f>
        <v>165400398.33288616</v>
      </c>
      <c r="M21" s="115"/>
      <c r="N21"/>
      <c r="O21"/>
      <c r="P21"/>
      <c r="Q21"/>
      <c r="R21" s="111"/>
      <c r="S21" s="111"/>
      <c r="T21" s="111"/>
      <c r="U21" s="111"/>
    </row>
    <row r="22" spans="1:21" ht="12.75">
      <c r="A22" s="69" t="s">
        <v>93</v>
      </c>
      <c r="B22" s="129">
        <f>SUM('CMS-64'!B20:E20)</f>
        <v>0</v>
      </c>
      <c r="C22" s="129">
        <f>'CMS-64'!F20</f>
        <v>0</v>
      </c>
      <c r="D22" s="129">
        <f>'CMS-64'!G20</f>
        <v>0</v>
      </c>
      <c r="E22" s="129">
        <f>'CMS-64'!H20</f>
        <v>1997</v>
      </c>
      <c r="F22" s="129">
        <f>'CMS-64'!I20</f>
        <v>353364</v>
      </c>
      <c r="G22" s="129">
        <f>Adjustments!B120</f>
        <v>4268563.179876061</v>
      </c>
      <c r="H22" s="129">
        <f>Adjustments!C120</f>
        <v>4611424.623534307</v>
      </c>
      <c r="I22" s="129">
        <f>Adjustments!D120</f>
        <v>3978313.9481517747</v>
      </c>
      <c r="J22" s="335">
        <f>Adjustments!E120</f>
        <v>4451011.319411439</v>
      </c>
      <c r="K22" s="138">
        <f>Adjustments!F120</f>
        <v>4465349.3924904</v>
      </c>
      <c r="L22" s="336">
        <f>Adjustments!G120</f>
        <v>4703651.776312919</v>
      </c>
      <c r="M22" s="115"/>
      <c r="N22"/>
      <c r="O22"/>
      <c r="P22"/>
      <c r="Q22"/>
      <c r="R22" s="111"/>
      <c r="S22" s="111"/>
      <c r="T22" s="111"/>
      <c r="U22" s="111"/>
    </row>
    <row r="23" spans="1:21" ht="12.75">
      <c r="A23" s="69" t="s">
        <v>74</v>
      </c>
      <c r="B23" s="129">
        <f>SUM('CMS-64'!B21:E21)</f>
        <v>0</v>
      </c>
      <c r="C23" s="129">
        <f>'CMS-64'!F21</f>
        <v>-30942</v>
      </c>
      <c r="D23" s="129">
        <f>'CMS-64'!G21</f>
        <v>2313</v>
      </c>
      <c r="E23" s="129">
        <f>'CMS-64'!H21</f>
        <v>241839</v>
      </c>
      <c r="F23" s="129">
        <f>'CMS-64'!I21</f>
        <v>11047368</v>
      </c>
      <c r="G23" s="129">
        <f>Adjustments!B121</f>
        <v>61179447.07367699</v>
      </c>
      <c r="H23" s="129">
        <f>Adjustments!C121</f>
        <v>61635800.48074281</v>
      </c>
      <c r="I23" s="129">
        <f>Adjustments!D121</f>
        <v>61927888.72044917</v>
      </c>
      <c r="J23" s="335">
        <f>Adjustments!E121</f>
        <v>64408466.98495197</v>
      </c>
      <c r="K23" s="138">
        <f>Adjustments!F121</f>
        <v>73527878.04200958</v>
      </c>
      <c r="L23" s="336">
        <f>Adjustments!G121</f>
        <v>81870182.97862661</v>
      </c>
      <c r="M23" s="115"/>
      <c r="N23"/>
      <c r="O23"/>
      <c r="P23"/>
      <c r="Q23"/>
      <c r="R23" s="111"/>
      <c r="S23" s="111"/>
      <c r="T23" s="111"/>
      <c r="U23" s="111"/>
    </row>
    <row r="24" spans="1:21" ht="12.75">
      <c r="A24" s="69" t="s">
        <v>82</v>
      </c>
      <c r="B24" s="129">
        <f>SUM('CMS-64'!B22:E22)</f>
        <v>0</v>
      </c>
      <c r="C24" s="129">
        <f>'CMS-64'!F22</f>
        <v>0</v>
      </c>
      <c r="D24" s="129">
        <f>'CMS-64'!G22</f>
        <v>0</v>
      </c>
      <c r="E24" s="129">
        <f>'CMS-64'!H22</f>
        <v>47764</v>
      </c>
      <c r="F24" s="129">
        <f>'CMS-64'!I22</f>
        <v>17272786</v>
      </c>
      <c r="G24" s="129">
        <f>Adjustments!B122</f>
        <v>200156989.8912761</v>
      </c>
      <c r="H24" s="129">
        <f>Adjustments!C122</f>
        <v>268473062.7534974</v>
      </c>
      <c r="I24" s="129">
        <f>Adjustments!D122</f>
        <v>299175543.3996735</v>
      </c>
      <c r="J24" s="335">
        <f>Adjustments!E122-J30</f>
        <v>310471772.7444604</v>
      </c>
      <c r="K24" s="138">
        <f>Adjustments!F122-K30</f>
        <v>337492047.16228974</v>
      </c>
      <c r="L24" s="336">
        <f>Adjustments!G122-L30</f>
        <v>373798091.58852357</v>
      </c>
      <c r="M24" s="252"/>
      <c r="N24"/>
      <c r="O24"/>
      <c r="P24"/>
      <c r="Q24"/>
      <c r="R24" s="111"/>
      <c r="S24" s="111"/>
      <c r="T24" s="111"/>
      <c r="U24" s="111"/>
    </row>
    <row r="25" spans="1:21" ht="12.75">
      <c r="A25" s="69" t="s">
        <v>81</v>
      </c>
      <c r="B25" s="129">
        <f>SUM('CMS-64'!B23:E23)</f>
        <v>0</v>
      </c>
      <c r="C25" s="129">
        <f>'CMS-64'!F23</f>
        <v>0</v>
      </c>
      <c r="D25" s="129">
        <f>'CMS-64'!G23</f>
        <v>0</v>
      </c>
      <c r="E25" s="129">
        <f>'CMS-64'!H23</f>
        <v>0</v>
      </c>
      <c r="F25" s="129">
        <f>'CMS-64'!I23</f>
        <v>0</v>
      </c>
      <c r="G25" s="129">
        <f>Adjustments!B123</f>
        <v>30402692</v>
      </c>
      <c r="H25" s="129">
        <f>Adjustments!C123</f>
        <v>31664243</v>
      </c>
      <c r="I25" s="129">
        <f>Adjustments!D123</f>
        <v>38868770</v>
      </c>
      <c r="J25" s="335">
        <f>Adjustments!E123</f>
        <v>38048147</v>
      </c>
      <c r="K25" s="138">
        <f>Adjustments!F123</f>
        <v>37244849.53173484</v>
      </c>
      <c r="L25" s="336">
        <f>Adjustments!G123</f>
        <v>36458511.80719967</v>
      </c>
      <c r="M25" s="115"/>
      <c r="N25"/>
      <c r="O25"/>
      <c r="P25"/>
      <c r="Q25"/>
      <c r="R25" s="111"/>
      <c r="S25" s="111"/>
      <c r="T25" s="111"/>
      <c r="U25" s="111"/>
    </row>
    <row r="26" spans="1:21" ht="12.75">
      <c r="A26" s="69" t="s">
        <v>94</v>
      </c>
      <c r="B26" s="129">
        <f>SUM('CMS-64'!B24:E24)</f>
        <v>0</v>
      </c>
      <c r="C26" s="129">
        <f>'CMS-64'!F24</f>
        <v>0</v>
      </c>
      <c r="D26" s="129">
        <f>'CMS-64'!G24</f>
        <v>0</v>
      </c>
      <c r="E26" s="129">
        <f>'CMS-64'!H24</f>
        <v>0</v>
      </c>
      <c r="F26" s="129">
        <f>'CMS-64'!I24</f>
        <v>0</v>
      </c>
      <c r="G26" s="129">
        <f>Adjustments!B124</f>
        <v>12260405</v>
      </c>
      <c r="H26" s="129">
        <f>Adjustments!C124</f>
        <v>19908325</v>
      </c>
      <c r="I26" s="129">
        <f>Adjustments!D124</f>
        <v>28492914</v>
      </c>
      <c r="J26" s="335">
        <f>Adjustments!E124</f>
        <v>62815797</v>
      </c>
      <c r="K26" s="138">
        <f>Adjustments!F124</f>
        <v>113691133.44699834</v>
      </c>
      <c r="L26" s="336">
        <f>Adjustments!G124</f>
        <v>67667463.2647437</v>
      </c>
      <c r="M26" s="115"/>
      <c r="N26"/>
      <c r="O26"/>
      <c r="P26"/>
      <c r="Q26"/>
      <c r="R26" s="111"/>
      <c r="S26" s="111"/>
      <c r="T26" s="111"/>
      <c r="U26" s="111"/>
    </row>
    <row r="27" spans="1:21" ht="12.75">
      <c r="A27" s="69" t="s">
        <v>80</v>
      </c>
      <c r="B27" s="129">
        <f>SUM('CMS-64'!B25:E25)</f>
        <v>0</v>
      </c>
      <c r="C27" s="129">
        <f>'CMS-64'!F25</f>
        <v>0</v>
      </c>
      <c r="D27" s="129">
        <f>'CMS-64'!G25</f>
        <v>-101813</v>
      </c>
      <c r="E27" s="129">
        <f>'CMS-64'!H25</f>
        <v>0</v>
      </c>
      <c r="F27" s="129">
        <f>'CMS-64'!I25</f>
        <v>328303</v>
      </c>
      <c r="G27" s="129">
        <f>Adjustments!B125</f>
        <v>3732653</v>
      </c>
      <c r="H27" s="129">
        <f>Adjustments!C125</f>
        <v>4239858</v>
      </c>
      <c r="I27" s="129">
        <f>Adjustments!D125</f>
        <v>4634635</v>
      </c>
      <c r="J27" s="335">
        <f>Adjustments!E125</f>
        <v>4391186.717327425</v>
      </c>
      <c r="K27" s="138">
        <f>Adjustments!F125</f>
        <v>4735716.722877084</v>
      </c>
      <c r="L27" s="336">
        <f>Adjustments!G125</f>
        <v>5196212.794852079</v>
      </c>
      <c r="M27" s="115"/>
      <c r="N27"/>
      <c r="O27"/>
      <c r="P27"/>
      <c r="Q27"/>
      <c r="R27" s="111"/>
      <c r="S27" s="111"/>
      <c r="T27" s="111"/>
      <c r="U27" s="111"/>
    </row>
    <row r="28" spans="1:22" ht="12.75">
      <c r="A28" s="69" t="s">
        <v>144</v>
      </c>
      <c r="B28" s="129"/>
      <c r="C28" s="129"/>
      <c r="D28" s="129"/>
      <c r="E28" s="129"/>
      <c r="F28" s="129"/>
      <c r="G28" s="129"/>
      <c r="H28" s="129"/>
      <c r="I28" s="129"/>
      <c r="J28" s="337">
        <f>Hypotheticals!F43</f>
        <v>37132436.34142372</v>
      </c>
      <c r="K28" s="131">
        <f>Hypotheticals!F44</f>
        <v>40340232.15445998</v>
      </c>
      <c r="L28" s="338">
        <f>Hypotheticals!F45</f>
        <v>47213899.59380732</v>
      </c>
      <c r="M28" s="115"/>
      <c r="N28"/>
      <c r="O28"/>
      <c r="P28"/>
      <c r="Q28"/>
      <c r="S28" s="111"/>
      <c r="T28" s="111"/>
      <c r="U28" s="111"/>
      <c r="V28" s="111"/>
    </row>
    <row r="29" spans="1:22" ht="12.75">
      <c r="A29" s="69" t="s">
        <v>145</v>
      </c>
      <c r="B29" s="129"/>
      <c r="C29" s="129"/>
      <c r="D29" s="129"/>
      <c r="E29" s="129"/>
      <c r="F29" s="129"/>
      <c r="G29" s="129"/>
      <c r="H29" s="129"/>
      <c r="I29" s="129"/>
      <c r="J29" s="337">
        <f>Hypotheticals!B43</f>
        <v>43712092.4040528</v>
      </c>
      <c r="K29" s="131">
        <f>Hypotheticals!B44</f>
        <v>41197051.41885562</v>
      </c>
      <c r="L29" s="338">
        <f>Hypotheticals!B45</f>
        <v>48216714.31644751</v>
      </c>
      <c r="M29" s="115"/>
      <c r="N29" s="115"/>
      <c r="O29" s="115"/>
      <c r="P29" s="115"/>
      <c r="Q29" s="115"/>
      <c r="S29" s="111"/>
      <c r="T29" s="111"/>
      <c r="U29" s="111"/>
      <c r="V29" s="111"/>
    </row>
    <row r="30" spans="1:22" ht="13.5" thickBot="1">
      <c r="A30" s="239" t="s">
        <v>146</v>
      </c>
      <c r="B30" s="240"/>
      <c r="C30" s="240"/>
      <c r="D30" s="240"/>
      <c r="E30" s="240"/>
      <c r="F30" s="240"/>
      <c r="G30" s="240"/>
      <c r="H30" s="240"/>
      <c r="I30" s="240"/>
      <c r="J30" s="339">
        <f>Hypotheticals!C43</f>
        <v>15477025.863068981</v>
      </c>
      <c r="K30" s="306">
        <f>Hypotheticals!C44</f>
        <v>17153536.561181936</v>
      </c>
      <c r="L30" s="340">
        <f>Hypotheticals!C45</f>
        <v>20846965.074672915</v>
      </c>
      <c r="M30" s="115"/>
      <c r="N30" s="115"/>
      <c r="O30" s="115"/>
      <c r="P30" s="115"/>
      <c r="Q30" s="115"/>
      <c r="S30" s="111"/>
      <c r="T30" s="111"/>
      <c r="U30" s="111"/>
      <c r="V30" s="111"/>
    </row>
    <row r="31" spans="1:13" s="301" customFormat="1" ht="13.5" thickTop="1">
      <c r="A31" s="301" t="s">
        <v>95</v>
      </c>
      <c r="B31" s="305">
        <f aca="true" t="shared" si="5" ref="B31:K31">SUM(B14:B30)</f>
        <v>0</v>
      </c>
      <c r="C31" s="305">
        <f t="shared" si="5"/>
        <v>730748</v>
      </c>
      <c r="D31" s="305">
        <f t="shared" si="5"/>
        <v>361936</v>
      </c>
      <c r="E31" s="305">
        <f t="shared" si="5"/>
        <v>2618802</v>
      </c>
      <c r="F31" s="305">
        <f t="shared" si="5"/>
        <v>326879160</v>
      </c>
      <c r="G31" s="305">
        <f t="shared" si="5"/>
        <v>3980134198.79952</v>
      </c>
      <c r="H31" s="305">
        <f t="shared" si="5"/>
        <v>4277808676.418424</v>
      </c>
      <c r="I31" s="305">
        <f t="shared" si="5"/>
        <v>4578726708.058874</v>
      </c>
      <c r="J31" s="341">
        <f t="shared" si="5"/>
        <v>4898559812.645519</v>
      </c>
      <c r="K31" s="305">
        <f t="shared" si="5"/>
        <v>5266352542.290844</v>
      </c>
      <c r="L31" s="342">
        <f>SUM(L14:L30)</f>
        <v>5685014735.6845045</v>
      </c>
      <c r="M31" s="166"/>
    </row>
    <row r="32" spans="10:12" ht="12.75">
      <c r="J32" s="343"/>
      <c r="K32" s="114"/>
      <c r="L32" s="315"/>
    </row>
    <row r="33" spans="1:20" s="104" customFormat="1" ht="12.75">
      <c r="A33" s="245" t="s">
        <v>36</v>
      </c>
      <c r="B33" s="246">
        <f>SUM('CMS-64'!B37:E37)</f>
        <v>2158074431</v>
      </c>
      <c r="C33" s="246">
        <f>'CMS-64'!F37</f>
        <v>527230798</v>
      </c>
      <c r="D33" s="246">
        <f>'CMS-64'!G37</f>
        <v>440290691</v>
      </c>
      <c r="E33" s="246">
        <f>'CMS-64'!H37</f>
        <v>556311593</v>
      </c>
      <c r="F33" s="246">
        <f>'CMS-64'!I37</f>
        <v>588686620</v>
      </c>
      <c r="G33" s="246">
        <v>0</v>
      </c>
      <c r="H33" s="246">
        <v>0</v>
      </c>
      <c r="I33" s="246">
        <v>0</v>
      </c>
      <c r="J33" s="344">
        <v>0</v>
      </c>
      <c r="K33" s="247">
        <v>0</v>
      </c>
      <c r="L33" s="345">
        <v>0</v>
      </c>
      <c r="M33" s="224"/>
      <c r="N33" s="224"/>
      <c r="O33" s="224"/>
      <c r="P33" s="224"/>
      <c r="Q33" s="225"/>
      <c r="R33" s="225"/>
      <c r="S33" s="225"/>
      <c r="T33" s="225"/>
    </row>
    <row r="34" spans="1:20" s="104" customFormat="1" ht="12.75">
      <c r="A34" s="245" t="s">
        <v>96</v>
      </c>
      <c r="B34" s="246">
        <f>SUM('CMS-64'!B38:E38)</f>
        <v>0</v>
      </c>
      <c r="C34" s="246">
        <f>'CMS-64'!F38</f>
        <v>0</v>
      </c>
      <c r="D34" s="246">
        <f>'CMS-64'!G38</f>
        <v>0</v>
      </c>
      <c r="E34" s="246">
        <f>'CMS-64'!H38</f>
        <v>0</v>
      </c>
      <c r="F34" s="246">
        <f>'CMS-64'!I38</f>
        <v>0</v>
      </c>
      <c r="G34" s="246">
        <f>1344571200</f>
        <v>1344571200</v>
      </c>
      <c r="H34" s="246">
        <f>1344571200</f>
        <v>1344571200</v>
      </c>
      <c r="I34" s="246">
        <f>1344571200</f>
        <v>1344571200</v>
      </c>
      <c r="J34" s="437" t="s">
        <v>183</v>
      </c>
      <c r="K34" s="438"/>
      <c r="L34" s="439"/>
      <c r="M34" s="224"/>
      <c r="N34" s="224"/>
      <c r="O34" s="224"/>
      <c r="P34" s="224"/>
      <c r="Q34" s="225"/>
      <c r="R34" s="225"/>
      <c r="S34" s="225"/>
      <c r="T34" s="225"/>
    </row>
    <row r="35" spans="10:12" ht="12.75">
      <c r="J35" s="343"/>
      <c r="K35" s="114"/>
      <c r="L35" s="315"/>
    </row>
    <row r="36" spans="1:12" ht="12.75">
      <c r="A36" s="308" t="s">
        <v>62</v>
      </c>
      <c r="B36" s="250" t="s">
        <v>63</v>
      </c>
      <c r="C36" s="250" t="s">
        <v>64</v>
      </c>
      <c r="D36" s="250" t="s">
        <v>64</v>
      </c>
      <c r="E36" s="250" t="s">
        <v>64</v>
      </c>
      <c r="F36" s="250" t="s">
        <v>64</v>
      </c>
      <c r="G36" s="250"/>
      <c r="H36" s="250"/>
      <c r="I36" s="250"/>
      <c r="J36" s="346"/>
      <c r="K36" s="347"/>
      <c r="L36" s="348"/>
    </row>
    <row r="37" spans="1:12" ht="12.75">
      <c r="A37" s="249" t="s">
        <v>66</v>
      </c>
      <c r="B37" s="250" t="s">
        <v>10</v>
      </c>
      <c r="C37" s="250" t="s">
        <v>10</v>
      </c>
      <c r="D37" s="250" t="s">
        <v>10</v>
      </c>
      <c r="E37" s="250" t="s">
        <v>10</v>
      </c>
      <c r="F37" s="250" t="s">
        <v>10</v>
      </c>
      <c r="G37" s="250"/>
      <c r="H37" s="250"/>
      <c r="I37" s="250"/>
      <c r="J37" s="346"/>
      <c r="K37" s="347"/>
      <c r="L37" s="348"/>
    </row>
    <row r="38" spans="1:12" ht="12.75">
      <c r="A38" s="309" t="s">
        <v>67</v>
      </c>
      <c r="B38" s="310" t="s">
        <v>48</v>
      </c>
      <c r="C38" s="310" t="s">
        <v>15</v>
      </c>
      <c r="D38" s="310" t="s">
        <v>16</v>
      </c>
      <c r="E38" s="310" t="s">
        <v>68</v>
      </c>
      <c r="F38" s="310" t="s">
        <v>69</v>
      </c>
      <c r="G38" s="310"/>
      <c r="H38" s="310"/>
      <c r="I38" s="310"/>
      <c r="J38" s="349"/>
      <c r="K38" s="310"/>
      <c r="L38" s="350"/>
    </row>
    <row r="39" spans="1:12" ht="12.75">
      <c r="A39" s="69" t="s">
        <v>73</v>
      </c>
      <c r="B39" s="129">
        <f>SUM('CMS-64'!B26:E26)</f>
        <v>6859017878.76</v>
      </c>
      <c r="C39" s="129">
        <f>'CMS-64'!F26</f>
        <v>2306471741.81</v>
      </c>
      <c r="D39" s="129">
        <f>'CMS-64'!G26</f>
        <v>2261009775.3900003</v>
      </c>
      <c r="E39" s="129">
        <f>'CMS-64'!H26</f>
        <v>2601915615.19</v>
      </c>
      <c r="F39" s="129">
        <f>'CMS-64'!I26</f>
        <v>2518395358</v>
      </c>
      <c r="G39" s="129"/>
      <c r="H39" s="129"/>
      <c r="I39" s="129"/>
      <c r="J39" s="327"/>
      <c r="K39" s="351"/>
      <c r="L39" s="352"/>
    </row>
    <row r="40" spans="1:12" ht="12.75">
      <c r="A40" s="69" t="s">
        <v>74</v>
      </c>
      <c r="B40" s="129">
        <f>SUM('CMS-64'!B27:E27)</f>
        <v>215574150.85</v>
      </c>
      <c r="C40" s="129">
        <f>'CMS-64'!F27</f>
        <v>105227726.07</v>
      </c>
      <c r="D40" s="129">
        <f>'CMS-64'!G27</f>
        <v>130395976</v>
      </c>
      <c r="E40" s="129">
        <f>'CMS-64'!H27</f>
        <v>130989192.88</v>
      </c>
      <c r="F40" s="129">
        <f>'CMS-64'!I27</f>
        <v>121439404</v>
      </c>
      <c r="G40" s="129"/>
      <c r="H40" s="129"/>
      <c r="I40" s="129"/>
      <c r="J40" s="337"/>
      <c r="K40" s="351"/>
      <c r="L40" s="352"/>
    </row>
    <row r="41" spans="1:12" ht="12.75">
      <c r="A41" s="69" t="s">
        <v>75</v>
      </c>
      <c r="B41" s="129">
        <f>SUM('CMS-64'!B28:E28)</f>
        <v>497143818.11</v>
      </c>
      <c r="C41" s="129">
        <f>'CMS-64'!F28</f>
        <v>167968609.31</v>
      </c>
      <c r="D41" s="129">
        <f>'CMS-64'!G28</f>
        <v>148619460.23999998</v>
      </c>
      <c r="E41" s="129">
        <f>'CMS-64'!H28</f>
        <v>37855538.980000004</v>
      </c>
      <c r="F41" s="129">
        <f>'CMS-64'!I28</f>
        <v>38912995</v>
      </c>
      <c r="G41" s="129"/>
      <c r="H41" s="129"/>
      <c r="I41" s="129"/>
      <c r="J41" s="337"/>
      <c r="K41" s="351"/>
      <c r="L41" s="352"/>
    </row>
    <row r="42" spans="1:12" ht="12.75">
      <c r="A42" s="69" t="s">
        <v>76</v>
      </c>
      <c r="B42" s="129">
        <f>SUM('CMS-64'!B29:E29)</f>
        <v>66565369.85</v>
      </c>
      <c r="C42" s="129">
        <f>'CMS-64'!F29</f>
        <v>39495660.42</v>
      </c>
      <c r="D42" s="129">
        <f>'CMS-64'!G29</f>
        <v>42159954.49</v>
      </c>
      <c r="E42" s="129">
        <f>'CMS-64'!H29</f>
        <v>51352667.34</v>
      </c>
      <c r="F42" s="129">
        <f>'CMS-64'!I29</f>
        <v>36880409</v>
      </c>
      <c r="G42" s="129"/>
      <c r="H42" s="129"/>
      <c r="I42" s="129"/>
      <c r="J42" s="337"/>
      <c r="K42" s="351"/>
      <c r="L42" s="352"/>
    </row>
    <row r="43" spans="1:12" ht="12.75">
      <c r="A43" s="69" t="s">
        <v>77</v>
      </c>
      <c r="B43" s="129">
        <f>SUM('CMS-64'!B30:E30)</f>
        <v>782895431</v>
      </c>
      <c r="C43" s="129">
        <f>'CMS-64'!F30</f>
        <v>388656152</v>
      </c>
      <c r="D43" s="129">
        <f>'CMS-64'!G30</f>
        <v>514416155</v>
      </c>
      <c r="E43" s="129">
        <f>'CMS-64'!H30</f>
        <v>719729953</v>
      </c>
      <c r="F43" s="129">
        <f>'CMS-64'!I30</f>
        <v>955297535</v>
      </c>
      <c r="G43" s="129"/>
      <c r="H43" s="129"/>
      <c r="I43" s="129"/>
      <c r="J43" s="337"/>
      <c r="K43" s="351"/>
      <c r="L43" s="352"/>
    </row>
    <row r="44" spans="1:12" ht="12.75">
      <c r="A44" s="69" t="s">
        <v>78</v>
      </c>
      <c r="B44" s="129">
        <f>SUM('CMS-64'!B31:E31)</f>
        <v>352549062</v>
      </c>
      <c r="C44" s="129">
        <f>'CMS-64'!F31</f>
        <v>287460694</v>
      </c>
      <c r="D44" s="129">
        <f>'CMS-64'!G31</f>
        <v>314311885</v>
      </c>
      <c r="E44" s="129">
        <f>'CMS-64'!H31</f>
        <v>443501008</v>
      </c>
      <c r="F44" s="129">
        <f>'CMS-64'!I31</f>
        <v>490134530</v>
      </c>
      <c r="G44" s="129"/>
      <c r="H44" s="129"/>
      <c r="I44" s="129"/>
      <c r="J44" s="337"/>
      <c r="K44" s="351"/>
      <c r="L44" s="352"/>
    </row>
    <row r="45" spans="1:12" ht="12.75">
      <c r="A45" s="69" t="s">
        <v>79</v>
      </c>
      <c r="B45" s="129">
        <f>SUM('CMS-64'!B32:E32)</f>
        <v>43728403</v>
      </c>
      <c r="C45" s="129">
        <f>'CMS-64'!F32</f>
        <v>23636152</v>
      </c>
      <c r="D45" s="129">
        <f>'CMS-64'!G32</f>
        <v>42100676</v>
      </c>
      <c r="E45" s="129">
        <f>'CMS-64'!H32</f>
        <v>28549180</v>
      </c>
      <c r="F45" s="129">
        <f>'CMS-64'!I32</f>
        <v>13394689</v>
      </c>
      <c r="G45" s="129"/>
      <c r="H45" s="129"/>
      <c r="I45" s="129"/>
      <c r="J45" s="337"/>
      <c r="K45" s="351"/>
      <c r="L45" s="352"/>
    </row>
    <row r="46" spans="1:12" ht="12.75">
      <c r="A46" s="69" t="s">
        <v>80</v>
      </c>
      <c r="B46" s="129">
        <f>SUM('CMS-64'!B33:E33)</f>
        <v>746914</v>
      </c>
      <c r="C46" s="129">
        <f>'CMS-64'!F33</f>
        <v>358953</v>
      </c>
      <c r="D46" s="129">
        <f>'CMS-64'!G33</f>
        <v>268202</v>
      </c>
      <c r="E46" s="129">
        <f>'CMS-64'!H33</f>
        <v>666171</v>
      </c>
      <c r="F46" s="129">
        <f>'CMS-64'!I33</f>
        <v>1667400</v>
      </c>
      <c r="G46" s="129"/>
      <c r="H46" s="129"/>
      <c r="I46" s="129"/>
      <c r="J46" s="337"/>
      <c r="K46" s="351"/>
      <c r="L46" s="352"/>
    </row>
    <row r="47" spans="1:12" ht="12.75">
      <c r="A47" s="69" t="s">
        <v>81</v>
      </c>
      <c r="B47" s="129">
        <f>SUM('CMS-64'!B34:E34)</f>
        <v>18824545</v>
      </c>
      <c r="C47" s="129">
        <f>'CMS-64'!F34</f>
        <v>19555118</v>
      </c>
      <c r="D47" s="129">
        <f>'CMS-64'!G34</f>
        <v>28794356</v>
      </c>
      <c r="E47" s="129">
        <f>'CMS-64'!H34</f>
        <v>34219382</v>
      </c>
      <c r="F47" s="129">
        <f>'CMS-64'!I34</f>
        <v>38951048</v>
      </c>
      <c r="G47" s="129"/>
      <c r="H47" s="129"/>
      <c r="I47" s="129"/>
      <c r="J47" s="337"/>
      <c r="K47" s="351"/>
      <c r="L47" s="352"/>
    </row>
    <row r="48" spans="1:14" ht="12.75">
      <c r="A48" s="69" t="s">
        <v>82</v>
      </c>
      <c r="B48" s="129">
        <f>SUM('CMS-64'!B35:E35)</f>
        <v>0</v>
      </c>
      <c r="C48" s="129">
        <f>'CMS-64'!F35</f>
        <v>0</v>
      </c>
      <c r="D48" s="129">
        <f>'CMS-64'!G35</f>
        <v>0</v>
      </c>
      <c r="E48" s="129">
        <f>'CMS-64'!H35</f>
        <v>29317822</v>
      </c>
      <c r="F48" s="129">
        <f>'CMS-64'!I35</f>
        <v>139324430</v>
      </c>
      <c r="G48" s="129"/>
      <c r="H48" s="129"/>
      <c r="I48" s="129"/>
      <c r="J48" s="337"/>
      <c r="K48" s="351"/>
      <c r="L48" s="352"/>
      <c r="N48" s="136"/>
    </row>
    <row r="49" spans="1:12" ht="13.5" thickBot="1">
      <c r="A49" s="239" t="s">
        <v>83</v>
      </c>
      <c r="B49" s="240">
        <f>SUM('CMS-64'!B36:E36)</f>
        <v>0</v>
      </c>
      <c r="C49" s="240">
        <f>'CMS-64'!F36</f>
        <v>0</v>
      </c>
      <c r="D49" s="240">
        <f>'CMS-64'!G36</f>
        <v>0</v>
      </c>
      <c r="E49" s="240">
        <f>'CMS-64'!H36</f>
        <v>404740</v>
      </c>
      <c r="F49" s="240">
        <f>'CMS-64'!I36</f>
        <v>1768562</v>
      </c>
      <c r="G49" s="240"/>
      <c r="H49" s="240"/>
      <c r="I49" s="240"/>
      <c r="J49" s="339"/>
      <c r="K49" s="307"/>
      <c r="L49" s="353"/>
    </row>
    <row r="50" spans="1:12" ht="13.5" thickTop="1">
      <c r="A50" s="104" t="s">
        <v>84</v>
      </c>
      <c r="B50" s="138">
        <f aca="true" t="shared" si="6" ref="B50:L50">SUM(B39:B49)</f>
        <v>8837045572.57</v>
      </c>
      <c r="C50" s="138">
        <f t="shared" si="6"/>
        <v>3338830806.61</v>
      </c>
      <c r="D50" s="138">
        <f t="shared" si="6"/>
        <v>3482076440.12</v>
      </c>
      <c r="E50" s="138">
        <f t="shared" si="6"/>
        <v>4078501270.3900003</v>
      </c>
      <c r="F50" s="138">
        <f t="shared" si="6"/>
        <v>4356166360</v>
      </c>
      <c r="G50" s="138">
        <f t="shared" si="6"/>
        <v>0</v>
      </c>
      <c r="H50" s="138">
        <f t="shared" si="6"/>
        <v>0</v>
      </c>
      <c r="I50" s="138">
        <f t="shared" si="6"/>
        <v>0</v>
      </c>
      <c r="J50" s="335">
        <f t="shared" si="6"/>
        <v>0</v>
      </c>
      <c r="K50" s="138">
        <f t="shared" si="6"/>
        <v>0</v>
      </c>
      <c r="L50" s="336">
        <f t="shared" si="6"/>
        <v>0</v>
      </c>
    </row>
    <row r="51" spans="10:20" ht="12.75">
      <c r="J51" s="343"/>
      <c r="K51" s="114"/>
      <c r="L51" s="315"/>
      <c r="Q51" s="226"/>
      <c r="R51" s="225"/>
      <c r="S51" s="225"/>
      <c r="T51" s="225"/>
    </row>
    <row r="52" spans="1:20" ht="12.75">
      <c r="A52" s="249"/>
      <c r="B52" s="250"/>
      <c r="C52" s="250"/>
      <c r="D52" s="250"/>
      <c r="E52" s="250"/>
      <c r="F52" s="250"/>
      <c r="G52" s="250"/>
      <c r="H52" s="251"/>
      <c r="I52" s="250"/>
      <c r="J52" s="354"/>
      <c r="K52" s="355"/>
      <c r="L52" s="356"/>
      <c r="R52" s="225"/>
      <c r="S52" s="225"/>
      <c r="T52" s="225"/>
    </row>
    <row r="53" spans="8:20" ht="12.75">
      <c r="H53" s="106"/>
      <c r="J53" s="343"/>
      <c r="K53" s="114"/>
      <c r="L53" s="315"/>
      <c r="R53" s="225"/>
      <c r="S53" s="225"/>
      <c r="T53" s="225"/>
    </row>
    <row r="54" spans="1:20" ht="12.75">
      <c r="A54" s="66" t="s">
        <v>233</v>
      </c>
      <c r="B54" s="411">
        <v>10995120003</v>
      </c>
      <c r="C54" s="411">
        <v>3866792350</v>
      </c>
      <c r="D54" s="411">
        <v>3922729065</v>
      </c>
      <c r="E54" s="411">
        <v>4637431667</v>
      </c>
      <c r="F54" s="411">
        <v>5271732140</v>
      </c>
      <c r="G54" s="411">
        <v>5319924437</v>
      </c>
      <c r="H54" s="411">
        <v>5625433713</v>
      </c>
      <c r="I54" s="130">
        <v>5893712590</v>
      </c>
      <c r="J54" s="412">
        <v>6241007308</v>
      </c>
      <c r="K54" s="112"/>
      <c r="L54" s="315"/>
      <c r="R54" s="225"/>
      <c r="S54" s="225"/>
      <c r="T54" s="225"/>
    </row>
    <row r="55" spans="1:20" ht="13.5" thickBot="1">
      <c r="A55" s="316" t="s">
        <v>234</v>
      </c>
      <c r="B55" s="413"/>
      <c r="C55" s="413"/>
      <c r="D55" s="413"/>
      <c r="E55" s="413"/>
      <c r="F55" s="413"/>
      <c r="G55" s="413"/>
      <c r="H55" s="413"/>
      <c r="I55" s="419"/>
      <c r="J55" s="414">
        <v>1493457409</v>
      </c>
      <c r="K55" s="112"/>
      <c r="L55" s="315"/>
      <c r="R55" s="225"/>
      <c r="S55" s="225"/>
      <c r="T55" s="225"/>
    </row>
    <row r="56" spans="1:20" ht="14.25" thickBot="1" thickTop="1">
      <c r="A56" s="317" t="s">
        <v>235</v>
      </c>
      <c r="B56" s="415">
        <f>B54-B55</f>
        <v>10995120003</v>
      </c>
      <c r="C56" s="415">
        <f aca="true" t="shared" si="7" ref="C56:J56">C54-C55</f>
        <v>3866792350</v>
      </c>
      <c r="D56" s="415">
        <f t="shared" si="7"/>
        <v>3922729065</v>
      </c>
      <c r="E56" s="415">
        <f t="shared" si="7"/>
        <v>4637431667</v>
      </c>
      <c r="F56" s="415">
        <f t="shared" si="7"/>
        <v>5271732140</v>
      </c>
      <c r="G56" s="415">
        <f t="shared" si="7"/>
        <v>5319924437</v>
      </c>
      <c r="H56" s="415">
        <f t="shared" si="7"/>
        <v>5625433713</v>
      </c>
      <c r="I56" s="420">
        <f t="shared" si="7"/>
        <v>5893712590</v>
      </c>
      <c r="J56" s="416">
        <f t="shared" si="7"/>
        <v>4747549899</v>
      </c>
      <c r="K56" s="114"/>
      <c r="L56" s="315"/>
      <c r="R56" s="225"/>
      <c r="S56" s="225"/>
      <c r="T56" s="225"/>
    </row>
    <row r="57" spans="2:20" ht="12.75">
      <c r="B57" s="178"/>
      <c r="C57" s="178"/>
      <c r="D57" s="178"/>
      <c r="E57" s="178"/>
      <c r="F57" s="178"/>
      <c r="G57" s="178"/>
      <c r="H57" s="178"/>
      <c r="I57" s="178"/>
      <c r="J57" s="320"/>
      <c r="K57" s="114"/>
      <c r="L57" s="315"/>
      <c r="R57" s="225"/>
      <c r="S57" s="225"/>
      <c r="T57" s="225"/>
    </row>
    <row r="58" spans="1:20" ht="12.75">
      <c r="A58" s="69" t="s">
        <v>223</v>
      </c>
      <c r="B58" s="178">
        <f aca="true" t="shared" si="8" ref="B58:J58">B5</f>
        <v>10995120003.57</v>
      </c>
      <c r="C58" s="178">
        <f t="shared" si="8"/>
        <v>3866792352.61</v>
      </c>
      <c r="D58" s="178">
        <f t="shared" si="8"/>
        <v>3922729067.12</v>
      </c>
      <c r="E58" s="178">
        <f t="shared" si="8"/>
        <v>4637431665.39</v>
      </c>
      <c r="F58" s="178">
        <f t="shared" si="8"/>
        <v>5271732140</v>
      </c>
      <c r="G58" s="178">
        <f t="shared" si="8"/>
        <v>5324705398.7995205</v>
      </c>
      <c r="H58" s="178">
        <f t="shared" si="8"/>
        <v>5622379876.418425</v>
      </c>
      <c r="I58" s="178">
        <f t="shared" si="8"/>
        <v>5923297908.058874</v>
      </c>
      <c r="J58" s="320">
        <f t="shared" si="8"/>
        <v>4898559812.645519</v>
      </c>
      <c r="K58" s="114"/>
      <c r="L58" s="315"/>
      <c r="R58" s="225"/>
      <c r="S58" s="225"/>
      <c r="T58" s="225"/>
    </row>
    <row r="59" spans="1:12" ht="12.75">
      <c r="A59" s="319" t="s">
        <v>236</v>
      </c>
      <c r="B59" s="178"/>
      <c r="C59" s="178"/>
      <c r="D59" s="178"/>
      <c r="E59" s="178"/>
      <c r="F59" s="178"/>
      <c r="G59" s="178"/>
      <c r="H59" s="178"/>
      <c r="I59" s="178"/>
      <c r="J59" s="320">
        <f>SUM(Adjustments!F4:F17)</f>
        <v>37828842.637927786</v>
      </c>
      <c r="K59" s="114"/>
      <c r="L59" s="315"/>
    </row>
    <row r="60" spans="1:12" ht="12.75">
      <c r="A60" s="319" t="s">
        <v>243</v>
      </c>
      <c r="B60" s="178"/>
      <c r="C60" s="178"/>
      <c r="D60" s="178"/>
      <c r="E60" s="178"/>
      <c r="F60" s="178"/>
      <c r="G60" s="178"/>
      <c r="H60" s="178"/>
      <c r="I60" s="178">
        <f>SUM(Adjustments!D81:D91)</f>
        <v>12406840.058874184</v>
      </c>
      <c r="J60" s="320">
        <f>SUM(Adjustments!E81:E91)-SUM(Adjustments!C4:C17)</f>
        <v>32336542.262116164</v>
      </c>
      <c r="K60" s="114"/>
      <c r="L60" s="315"/>
    </row>
    <row r="61" spans="1:12" ht="12.75">
      <c r="A61" s="406" t="s">
        <v>245</v>
      </c>
      <c r="B61" s="417"/>
      <c r="C61" s="417"/>
      <c r="D61" s="417"/>
      <c r="E61" s="417"/>
      <c r="F61" s="417"/>
      <c r="G61" s="417"/>
      <c r="H61" s="417">
        <f>H34-'CMS-64'!K38</f>
        <v>-61766</v>
      </c>
      <c r="I61" s="417">
        <f>I34-'CMS-64'!L38</f>
        <v>17178478</v>
      </c>
      <c r="J61" s="418"/>
      <c r="K61" s="114"/>
      <c r="L61" s="315"/>
    </row>
    <row r="62" spans="1:12" ht="12.75">
      <c r="A62" s="406" t="s">
        <v>246</v>
      </c>
      <c r="B62" s="417"/>
      <c r="C62" s="417"/>
      <c r="D62" s="417"/>
      <c r="E62" s="417"/>
      <c r="F62" s="417"/>
      <c r="G62" s="417"/>
      <c r="H62" s="417"/>
      <c r="I62" s="417"/>
      <c r="J62" s="320">
        <f>SUM(J28:J29)</f>
        <v>80844528.74547651</v>
      </c>
      <c r="K62" s="114"/>
      <c r="L62" s="315"/>
    </row>
    <row r="63" spans="1:12" ht="12.75">
      <c r="A63" s="406" t="s">
        <v>244</v>
      </c>
      <c r="B63" s="417"/>
      <c r="C63" s="417"/>
      <c r="D63" s="417"/>
      <c r="E63" s="417"/>
      <c r="F63" s="417"/>
      <c r="G63" s="417">
        <f>SUM(Adjustments!B47:B58)</f>
        <v>4780961.799519494</v>
      </c>
      <c r="H63" s="417">
        <f>SUM(Adjustments!C47:C57)</f>
        <v>-2992070.5815759236</v>
      </c>
      <c r="I63" s="417"/>
      <c r="J63" s="320"/>
      <c r="K63" s="114"/>
      <c r="L63" s="315"/>
    </row>
    <row r="64" spans="1:12" ht="13.5" thickBot="1">
      <c r="A64" s="317" t="s">
        <v>237</v>
      </c>
      <c r="B64" s="415">
        <f>B58-SUM(B59:B62)</f>
        <v>10995120003.57</v>
      </c>
      <c r="C64" s="415">
        <f aca="true" t="shared" si="9" ref="C64:J64">C58-SUM(C59:C62)</f>
        <v>3866792352.61</v>
      </c>
      <c r="D64" s="415">
        <f t="shared" si="9"/>
        <v>3922729067.12</v>
      </c>
      <c r="E64" s="415">
        <f t="shared" si="9"/>
        <v>4637431665.39</v>
      </c>
      <c r="F64" s="415">
        <f t="shared" si="9"/>
        <v>5271732140</v>
      </c>
      <c r="G64" s="415">
        <f>G58-SUM(G59:G63)</f>
        <v>5319924437.000001</v>
      </c>
      <c r="H64" s="415">
        <f>H58-SUM(H59:H63)</f>
        <v>5625433713.000001</v>
      </c>
      <c r="I64" s="415">
        <f t="shared" si="9"/>
        <v>5893712590</v>
      </c>
      <c r="J64" s="416">
        <f t="shared" si="9"/>
        <v>4747549898.999999</v>
      </c>
      <c r="K64" s="114"/>
      <c r="L64" s="315"/>
    </row>
    <row r="65" spans="10:12" ht="12.75">
      <c r="J65" s="314"/>
      <c r="K65" s="114"/>
      <c r="L65" s="315"/>
    </row>
    <row r="66" spans="1:12" ht="13.5" thickBot="1">
      <c r="A66" s="69" t="s">
        <v>238</v>
      </c>
      <c r="B66" s="103">
        <f aca="true" t="shared" si="10" ref="B66:J66">B64-B56</f>
        <v>0.5699996948242188</v>
      </c>
      <c r="C66" s="103">
        <f t="shared" si="10"/>
        <v>2.6100001335144043</v>
      </c>
      <c r="D66" s="103">
        <f t="shared" si="10"/>
        <v>2.119999885559082</v>
      </c>
      <c r="E66" s="103">
        <f t="shared" si="10"/>
        <v>-1.609999656677246</v>
      </c>
      <c r="F66" s="103">
        <f t="shared" si="10"/>
        <v>0</v>
      </c>
      <c r="G66" s="103">
        <f t="shared" si="10"/>
        <v>0</v>
      </c>
      <c r="H66" s="103">
        <f t="shared" si="10"/>
        <v>0</v>
      </c>
      <c r="I66" s="103">
        <f t="shared" si="10"/>
        <v>0</v>
      </c>
      <c r="J66" s="318">
        <f t="shared" si="10"/>
        <v>0</v>
      </c>
      <c r="K66" s="317"/>
      <c r="L66" s="321"/>
    </row>
    <row r="112" spans="1:9" s="112" customFormat="1" ht="12.75">
      <c r="A112" s="69"/>
      <c r="B112" s="103"/>
      <c r="C112" s="103"/>
      <c r="D112" s="103"/>
      <c r="E112" s="103"/>
      <c r="F112" s="103"/>
      <c r="G112" s="103"/>
      <c r="H112" s="103"/>
      <c r="I112" s="103"/>
    </row>
    <row r="113" spans="1:9" s="112" customFormat="1" ht="12.75">
      <c r="A113" s="69"/>
      <c r="B113" s="103"/>
      <c r="C113" s="103"/>
      <c r="D113" s="103"/>
      <c r="E113" s="103"/>
      <c r="F113" s="103"/>
      <c r="G113" s="103"/>
      <c r="H113" s="103"/>
      <c r="I113" s="103"/>
    </row>
    <row r="114" spans="1:9" s="112" customFormat="1" ht="12.75">
      <c r="A114" s="69"/>
      <c r="B114" s="103"/>
      <c r="C114" s="103"/>
      <c r="D114" s="103"/>
      <c r="E114" s="103"/>
      <c r="F114" s="103"/>
      <c r="G114" s="103"/>
      <c r="H114" s="103"/>
      <c r="I114" s="103"/>
    </row>
    <row r="115" spans="1:9" s="112" customFormat="1" ht="12.75">
      <c r="A115" s="69"/>
      <c r="B115" s="103"/>
      <c r="C115" s="103"/>
      <c r="D115" s="103"/>
      <c r="E115" s="103"/>
      <c r="F115" s="103"/>
      <c r="G115" s="103"/>
      <c r="H115" s="103"/>
      <c r="I115" s="103"/>
    </row>
    <row r="116" spans="1:9" s="112" customFormat="1" ht="12.75">
      <c r="A116" s="69"/>
      <c r="B116" s="103"/>
      <c r="C116" s="103"/>
      <c r="D116" s="103"/>
      <c r="E116" s="103"/>
      <c r="F116" s="103"/>
      <c r="G116" s="103"/>
      <c r="H116" s="103"/>
      <c r="I116" s="103"/>
    </row>
    <row r="117" spans="1:9" s="112" customFormat="1" ht="12.75">
      <c r="A117" s="69"/>
      <c r="B117" s="103"/>
      <c r="C117" s="103"/>
      <c r="D117" s="103"/>
      <c r="E117" s="103"/>
      <c r="F117" s="103"/>
      <c r="G117" s="103"/>
      <c r="H117" s="103"/>
      <c r="I117" s="103"/>
    </row>
    <row r="118" spans="1:9" s="112" customFormat="1" ht="12.75">
      <c r="A118" s="69"/>
      <c r="B118" s="103"/>
      <c r="C118" s="103"/>
      <c r="D118" s="103"/>
      <c r="E118" s="103"/>
      <c r="F118" s="103"/>
      <c r="G118" s="103"/>
      <c r="H118" s="103"/>
      <c r="I118" s="103"/>
    </row>
    <row r="119" spans="1:9" s="112" customFormat="1" ht="12.75">
      <c r="A119" s="69"/>
      <c r="B119" s="103"/>
      <c r="C119" s="103"/>
      <c r="D119" s="103"/>
      <c r="E119" s="103"/>
      <c r="F119" s="103"/>
      <c r="G119" s="103"/>
      <c r="H119" s="103"/>
      <c r="I119" s="103"/>
    </row>
    <row r="120" spans="1:9" s="112" customFormat="1" ht="12.75">
      <c r="A120" s="69"/>
      <c r="B120" s="103"/>
      <c r="C120" s="103"/>
      <c r="D120" s="103"/>
      <c r="E120" s="103"/>
      <c r="F120" s="103"/>
      <c r="G120" s="103"/>
      <c r="H120" s="103"/>
      <c r="I120" s="103"/>
    </row>
    <row r="121" spans="1:9" s="112" customFormat="1" ht="12.75">
      <c r="A121" s="69"/>
      <c r="B121" s="103"/>
      <c r="C121" s="103"/>
      <c r="D121" s="103"/>
      <c r="E121" s="103"/>
      <c r="F121" s="103"/>
      <c r="G121" s="103"/>
      <c r="H121" s="103"/>
      <c r="I121" s="103"/>
    </row>
    <row r="122" spans="1:9" s="112" customFormat="1" ht="12.75">
      <c r="A122" s="69"/>
      <c r="B122" s="103"/>
      <c r="C122" s="103"/>
      <c r="D122" s="103"/>
      <c r="E122" s="103"/>
      <c r="F122" s="103"/>
      <c r="G122" s="103"/>
      <c r="H122" s="103"/>
      <c r="I122" s="103"/>
    </row>
    <row r="123" spans="1:9" s="112" customFormat="1" ht="12.75">
      <c r="A123" s="69"/>
      <c r="B123" s="103"/>
      <c r="C123" s="103"/>
      <c r="D123" s="103"/>
      <c r="E123" s="103"/>
      <c r="F123" s="103"/>
      <c r="G123" s="103"/>
      <c r="H123" s="103"/>
      <c r="I123" s="103"/>
    </row>
    <row r="124" spans="1:9" s="112" customFormat="1" ht="12.75">
      <c r="A124" s="69"/>
      <c r="B124" s="103"/>
      <c r="C124" s="103"/>
      <c r="D124" s="103"/>
      <c r="E124" s="103"/>
      <c r="F124" s="103"/>
      <c r="G124" s="103"/>
      <c r="H124" s="103"/>
      <c r="I124" s="103"/>
    </row>
    <row r="125" spans="1:9" s="112" customFormat="1" ht="12.75">
      <c r="A125" s="69"/>
      <c r="B125" s="103"/>
      <c r="C125" s="103"/>
      <c r="D125" s="103"/>
      <c r="E125" s="103"/>
      <c r="F125" s="103"/>
      <c r="G125" s="103"/>
      <c r="H125" s="103"/>
      <c r="I125" s="103"/>
    </row>
    <row r="126" spans="1:9" s="112" customFormat="1" ht="12.75">
      <c r="A126" s="69"/>
      <c r="B126" s="103"/>
      <c r="C126" s="103"/>
      <c r="D126" s="103"/>
      <c r="E126" s="103"/>
      <c r="F126" s="103"/>
      <c r="G126" s="103"/>
      <c r="H126" s="103"/>
      <c r="I126" s="103"/>
    </row>
    <row r="127" spans="1:9" s="112" customFormat="1" ht="12.75">
      <c r="A127" s="69"/>
      <c r="B127" s="103"/>
      <c r="C127" s="103"/>
      <c r="D127" s="103"/>
      <c r="E127" s="103"/>
      <c r="F127" s="103"/>
      <c r="G127" s="103"/>
      <c r="H127" s="103"/>
      <c r="I127" s="103"/>
    </row>
    <row r="128" spans="1:9" s="112" customFormat="1" ht="12.75">
      <c r="A128" s="69"/>
      <c r="B128" s="103"/>
      <c r="C128" s="103"/>
      <c r="D128" s="103"/>
      <c r="E128" s="103"/>
      <c r="F128" s="103"/>
      <c r="G128" s="103"/>
      <c r="H128" s="103"/>
      <c r="I128" s="103"/>
    </row>
    <row r="129" spans="1:9" s="112" customFormat="1" ht="12.75">
      <c r="A129" s="69"/>
      <c r="B129" s="103"/>
      <c r="C129" s="103"/>
      <c r="D129" s="103"/>
      <c r="E129" s="103"/>
      <c r="F129" s="103"/>
      <c r="G129" s="103"/>
      <c r="H129" s="103"/>
      <c r="I129" s="103"/>
    </row>
    <row r="130" spans="1:9" s="112" customFormat="1" ht="12.75">
      <c r="A130" s="69"/>
      <c r="B130" s="103"/>
      <c r="C130" s="103"/>
      <c r="D130" s="103"/>
      <c r="E130" s="103"/>
      <c r="F130" s="103"/>
      <c r="G130" s="103"/>
      <c r="H130" s="103"/>
      <c r="I130" s="103"/>
    </row>
    <row r="131" spans="1:9" s="112" customFormat="1" ht="12.75">
      <c r="A131" s="69"/>
      <c r="B131" s="103"/>
      <c r="C131" s="103"/>
      <c r="D131" s="103"/>
      <c r="E131" s="103"/>
      <c r="F131" s="103"/>
      <c r="G131" s="103"/>
      <c r="H131" s="103"/>
      <c r="I131" s="103"/>
    </row>
    <row r="132" spans="1:9" s="112" customFormat="1" ht="12.75">
      <c r="A132" s="69"/>
      <c r="B132" s="103"/>
      <c r="C132" s="103"/>
      <c r="D132" s="103"/>
      <c r="E132" s="103"/>
      <c r="F132" s="103"/>
      <c r="G132" s="103"/>
      <c r="H132" s="103"/>
      <c r="I132" s="103"/>
    </row>
    <row r="133" spans="1:9" s="112" customFormat="1" ht="12.75">
      <c r="A133" s="69"/>
      <c r="B133" s="103"/>
      <c r="C133" s="103"/>
      <c r="D133" s="103"/>
      <c r="E133" s="103"/>
      <c r="F133" s="103"/>
      <c r="G133" s="103"/>
      <c r="H133" s="103"/>
      <c r="I133" s="103"/>
    </row>
    <row r="134" spans="1:9" s="112" customFormat="1" ht="12.75">
      <c r="A134" s="69"/>
      <c r="B134" s="103"/>
      <c r="C134" s="103"/>
      <c r="D134" s="103"/>
      <c r="E134" s="103"/>
      <c r="F134" s="103"/>
      <c r="G134" s="103"/>
      <c r="H134" s="103"/>
      <c r="I134" s="103"/>
    </row>
    <row r="135" spans="1:9" s="112" customFormat="1" ht="12.75">
      <c r="A135" s="69"/>
      <c r="B135" s="103"/>
      <c r="C135" s="103"/>
      <c r="D135" s="103"/>
      <c r="E135" s="103"/>
      <c r="F135" s="103"/>
      <c r="G135" s="103"/>
      <c r="H135" s="103"/>
      <c r="I135" s="103"/>
    </row>
    <row r="136" spans="2:9" s="112" customFormat="1" ht="12.75">
      <c r="B136" s="113"/>
      <c r="C136" s="113"/>
      <c r="D136" s="113"/>
      <c r="E136" s="113"/>
      <c r="F136" s="113"/>
      <c r="G136" s="113"/>
      <c r="H136" s="113"/>
      <c r="I136" s="113"/>
    </row>
    <row r="137" spans="2:9" s="112" customFormat="1" ht="12.75">
      <c r="B137" s="113"/>
      <c r="C137" s="113"/>
      <c r="D137" s="113"/>
      <c r="E137" s="113"/>
      <c r="F137" s="113"/>
      <c r="G137" s="113"/>
      <c r="H137" s="113"/>
      <c r="I137" s="113"/>
    </row>
    <row r="138" spans="2:9" s="112" customFormat="1" ht="12.75">
      <c r="B138" s="113"/>
      <c r="C138" s="113"/>
      <c r="D138" s="113"/>
      <c r="E138" s="113"/>
      <c r="F138" s="113"/>
      <c r="G138" s="113"/>
      <c r="H138" s="113"/>
      <c r="I138" s="113"/>
    </row>
    <row r="139" spans="2:9" s="112" customFormat="1" ht="12.75">
      <c r="B139" s="113"/>
      <c r="C139" s="113"/>
      <c r="D139" s="113"/>
      <c r="E139" s="113"/>
      <c r="F139" s="113"/>
      <c r="G139" s="113"/>
      <c r="H139" s="113"/>
      <c r="I139" s="113"/>
    </row>
    <row r="140" spans="2:9" s="112" customFormat="1" ht="12.75">
      <c r="B140" s="113"/>
      <c r="C140" s="113"/>
      <c r="D140" s="113"/>
      <c r="E140" s="113"/>
      <c r="F140" s="113"/>
      <c r="G140" s="113"/>
      <c r="H140" s="113"/>
      <c r="I140" s="113"/>
    </row>
    <row r="141" spans="2:9" s="112" customFormat="1" ht="12.75">
      <c r="B141" s="113"/>
      <c r="C141" s="113"/>
      <c r="D141" s="113"/>
      <c r="E141" s="113"/>
      <c r="F141" s="113"/>
      <c r="G141" s="113"/>
      <c r="H141" s="113"/>
      <c r="I141" s="113"/>
    </row>
    <row r="142" spans="2:9" s="112" customFormat="1" ht="12.75">
      <c r="B142" s="113"/>
      <c r="C142" s="113"/>
      <c r="D142" s="113"/>
      <c r="E142" s="113"/>
      <c r="F142" s="113"/>
      <c r="G142" s="113"/>
      <c r="H142" s="113"/>
      <c r="I142" s="113"/>
    </row>
    <row r="143" spans="2:9" s="112" customFormat="1" ht="12.75">
      <c r="B143" s="113"/>
      <c r="C143" s="113"/>
      <c r="D143" s="113"/>
      <c r="E143" s="113"/>
      <c r="F143" s="113"/>
      <c r="G143" s="113"/>
      <c r="H143" s="113"/>
      <c r="I143" s="113"/>
    </row>
    <row r="144" spans="2:9" s="112" customFormat="1" ht="12.75">
      <c r="B144" s="113"/>
      <c r="C144" s="113"/>
      <c r="D144" s="113"/>
      <c r="E144" s="113"/>
      <c r="F144" s="113"/>
      <c r="G144" s="113"/>
      <c r="H144" s="113"/>
      <c r="I144" s="113"/>
    </row>
    <row r="145" spans="2:9" s="112" customFormat="1" ht="12.75">
      <c r="B145" s="113"/>
      <c r="C145" s="113"/>
      <c r="D145" s="113"/>
      <c r="E145" s="113"/>
      <c r="F145" s="113"/>
      <c r="G145" s="113"/>
      <c r="H145" s="113"/>
      <c r="I145" s="113"/>
    </row>
    <row r="146" spans="2:9" s="112" customFormat="1" ht="12.75">
      <c r="B146" s="113"/>
      <c r="C146" s="113"/>
      <c r="D146" s="113"/>
      <c r="E146" s="113"/>
      <c r="F146" s="113"/>
      <c r="G146" s="113"/>
      <c r="H146" s="113"/>
      <c r="I146" s="113"/>
    </row>
    <row r="147" spans="2:9" s="112" customFormat="1" ht="12.75">
      <c r="B147" s="113"/>
      <c r="C147" s="113"/>
      <c r="D147" s="113"/>
      <c r="E147" s="113"/>
      <c r="F147" s="113"/>
      <c r="G147" s="113"/>
      <c r="H147" s="113"/>
      <c r="I147" s="113"/>
    </row>
    <row r="148" spans="2:9" s="112" customFormat="1" ht="12.75">
      <c r="B148" s="113"/>
      <c r="C148" s="113"/>
      <c r="D148" s="113"/>
      <c r="E148" s="113"/>
      <c r="F148" s="113"/>
      <c r="G148" s="113"/>
      <c r="H148" s="113"/>
      <c r="I148" s="113"/>
    </row>
    <row r="149" spans="2:9" s="112" customFormat="1" ht="12.75">
      <c r="B149" s="113"/>
      <c r="C149" s="113"/>
      <c r="D149" s="113"/>
      <c r="E149" s="113"/>
      <c r="F149" s="113"/>
      <c r="G149" s="113"/>
      <c r="H149" s="113"/>
      <c r="I149" s="113"/>
    </row>
    <row r="150" spans="2:9" s="112" customFormat="1" ht="12.75">
      <c r="B150" s="113"/>
      <c r="C150" s="113"/>
      <c r="D150" s="113"/>
      <c r="E150" s="113"/>
      <c r="F150" s="113"/>
      <c r="G150" s="113"/>
      <c r="H150" s="113"/>
      <c r="I150" s="113"/>
    </row>
    <row r="151" spans="2:9" s="112" customFormat="1" ht="12.75">
      <c r="B151" s="113"/>
      <c r="C151" s="113"/>
      <c r="D151" s="113"/>
      <c r="E151" s="113"/>
      <c r="F151" s="113"/>
      <c r="G151" s="113"/>
      <c r="H151" s="113"/>
      <c r="I151" s="113"/>
    </row>
    <row r="152" spans="2:9" s="112" customFormat="1" ht="12.75">
      <c r="B152" s="113"/>
      <c r="C152" s="113"/>
      <c r="D152" s="113"/>
      <c r="E152" s="113"/>
      <c r="F152" s="113"/>
      <c r="G152" s="113"/>
      <c r="H152" s="113"/>
      <c r="I152" s="113"/>
    </row>
    <row r="153" spans="2:9" s="112" customFormat="1" ht="12.75">
      <c r="B153" s="113"/>
      <c r="C153" s="113"/>
      <c r="D153" s="113"/>
      <c r="E153" s="113"/>
      <c r="F153" s="113"/>
      <c r="G153" s="113"/>
      <c r="H153" s="113"/>
      <c r="I153" s="113"/>
    </row>
    <row r="154" spans="2:9" s="112" customFormat="1" ht="12.75">
      <c r="B154" s="113"/>
      <c r="C154" s="113"/>
      <c r="D154" s="113"/>
      <c r="E154" s="113"/>
      <c r="F154" s="113"/>
      <c r="G154" s="113"/>
      <c r="H154" s="113"/>
      <c r="I154" s="113"/>
    </row>
    <row r="155" spans="2:9" s="112" customFormat="1" ht="12.75">
      <c r="B155" s="113"/>
      <c r="C155" s="113"/>
      <c r="D155" s="113"/>
      <c r="E155" s="113"/>
      <c r="F155" s="113"/>
      <c r="G155" s="113"/>
      <c r="H155" s="113"/>
      <c r="I155" s="113"/>
    </row>
    <row r="156" spans="2:9" s="112" customFormat="1" ht="12.75">
      <c r="B156" s="113"/>
      <c r="C156" s="113"/>
      <c r="D156" s="113"/>
      <c r="E156" s="113"/>
      <c r="F156" s="113"/>
      <c r="G156" s="113"/>
      <c r="H156" s="113"/>
      <c r="I156" s="113"/>
    </row>
    <row r="157" spans="2:9" s="112" customFormat="1" ht="12.75">
      <c r="B157" s="113"/>
      <c r="C157" s="113"/>
      <c r="D157" s="113"/>
      <c r="E157" s="113"/>
      <c r="F157" s="113"/>
      <c r="G157" s="113"/>
      <c r="H157" s="113"/>
      <c r="I157" s="113"/>
    </row>
    <row r="158" spans="2:9" s="112" customFormat="1" ht="12.75">
      <c r="B158" s="113"/>
      <c r="C158" s="113"/>
      <c r="D158" s="113"/>
      <c r="E158" s="113"/>
      <c r="F158" s="113"/>
      <c r="G158" s="113"/>
      <c r="H158" s="113"/>
      <c r="I158" s="113"/>
    </row>
    <row r="159" spans="2:9" s="112" customFormat="1" ht="12.75">
      <c r="B159" s="113"/>
      <c r="C159" s="113"/>
      <c r="D159" s="113"/>
      <c r="E159" s="113"/>
      <c r="F159" s="113"/>
      <c r="G159" s="113"/>
      <c r="H159" s="113"/>
      <c r="I159" s="113"/>
    </row>
    <row r="160" spans="2:9" s="112" customFormat="1" ht="12.75">
      <c r="B160" s="113"/>
      <c r="C160" s="113"/>
      <c r="D160" s="113"/>
      <c r="E160" s="113"/>
      <c r="F160" s="113"/>
      <c r="G160" s="113"/>
      <c r="H160" s="113"/>
      <c r="I160" s="113"/>
    </row>
    <row r="161" spans="2:9" s="112" customFormat="1" ht="12.75">
      <c r="B161" s="113"/>
      <c r="C161" s="113"/>
      <c r="D161" s="113"/>
      <c r="E161" s="113"/>
      <c r="F161" s="113"/>
      <c r="G161" s="113"/>
      <c r="H161" s="113"/>
      <c r="I161" s="113"/>
    </row>
    <row r="162" spans="2:9" s="112" customFormat="1" ht="12.75">
      <c r="B162" s="113"/>
      <c r="C162" s="113"/>
      <c r="D162" s="113"/>
      <c r="E162" s="113"/>
      <c r="F162" s="113"/>
      <c r="G162" s="113"/>
      <c r="H162" s="113"/>
      <c r="I162" s="113"/>
    </row>
    <row r="163" spans="2:9" s="112" customFormat="1" ht="12.75">
      <c r="B163" s="113"/>
      <c r="C163" s="113"/>
      <c r="D163" s="113"/>
      <c r="E163" s="113"/>
      <c r="F163" s="113"/>
      <c r="G163" s="113"/>
      <c r="H163" s="113"/>
      <c r="I163" s="113"/>
    </row>
    <row r="164" spans="2:9" s="112" customFormat="1" ht="12.75">
      <c r="B164" s="113"/>
      <c r="C164" s="113"/>
      <c r="D164" s="113"/>
      <c r="E164" s="113"/>
      <c r="F164" s="113"/>
      <c r="G164" s="113"/>
      <c r="H164" s="113"/>
      <c r="I164" s="113"/>
    </row>
    <row r="165" spans="2:9" s="112" customFormat="1" ht="12.75">
      <c r="B165" s="113"/>
      <c r="C165" s="113"/>
      <c r="D165" s="113"/>
      <c r="E165" s="113"/>
      <c r="F165" s="113"/>
      <c r="G165" s="113"/>
      <c r="H165" s="113"/>
      <c r="I165" s="113"/>
    </row>
    <row r="166" spans="2:9" s="112" customFormat="1" ht="12.75">
      <c r="B166" s="113"/>
      <c r="C166" s="113"/>
      <c r="D166" s="113"/>
      <c r="E166" s="113"/>
      <c r="F166" s="113"/>
      <c r="G166" s="113"/>
      <c r="H166" s="113"/>
      <c r="I166" s="113"/>
    </row>
    <row r="167" spans="2:9" s="112" customFormat="1" ht="12.75">
      <c r="B167" s="113"/>
      <c r="C167" s="113"/>
      <c r="D167" s="113"/>
      <c r="E167" s="113"/>
      <c r="F167" s="113"/>
      <c r="G167" s="113"/>
      <c r="H167" s="113"/>
      <c r="I167" s="113"/>
    </row>
    <row r="168" spans="2:9" s="112" customFormat="1" ht="12.75">
      <c r="B168" s="113"/>
      <c r="C168" s="113"/>
      <c r="D168" s="113"/>
      <c r="E168" s="113"/>
      <c r="F168" s="113"/>
      <c r="G168" s="113"/>
      <c r="H168" s="113"/>
      <c r="I168" s="113"/>
    </row>
    <row r="169" spans="2:9" s="112" customFormat="1" ht="12.75">
      <c r="B169" s="113"/>
      <c r="C169" s="113"/>
      <c r="D169" s="113"/>
      <c r="E169" s="113"/>
      <c r="F169" s="113"/>
      <c r="G169" s="113"/>
      <c r="H169" s="113"/>
      <c r="I169" s="113"/>
    </row>
    <row r="170" spans="2:9" s="112" customFormat="1" ht="12.75">
      <c r="B170" s="113"/>
      <c r="C170" s="113"/>
      <c r="D170" s="113"/>
      <c r="E170" s="113"/>
      <c r="F170" s="113"/>
      <c r="G170" s="113"/>
      <c r="H170" s="113"/>
      <c r="I170" s="113"/>
    </row>
    <row r="171" spans="2:9" s="112" customFormat="1" ht="12.75">
      <c r="B171" s="113"/>
      <c r="C171" s="113"/>
      <c r="D171" s="113"/>
      <c r="E171" s="113"/>
      <c r="F171" s="113"/>
      <c r="G171" s="113"/>
      <c r="H171" s="113"/>
      <c r="I171" s="113"/>
    </row>
    <row r="172" spans="2:9" s="112" customFormat="1" ht="12.75">
      <c r="B172" s="113"/>
      <c r="C172" s="113"/>
      <c r="D172" s="113"/>
      <c r="E172" s="113"/>
      <c r="F172" s="113"/>
      <c r="G172" s="113"/>
      <c r="H172" s="113"/>
      <c r="I172" s="113"/>
    </row>
    <row r="173" spans="2:9" s="112" customFormat="1" ht="12.75">
      <c r="B173" s="113"/>
      <c r="C173" s="113"/>
      <c r="D173" s="113"/>
      <c r="E173" s="113"/>
      <c r="F173" s="113"/>
      <c r="G173" s="113"/>
      <c r="H173" s="113"/>
      <c r="I173" s="113"/>
    </row>
    <row r="174" spans="2:9" s="112" customFormat="1" ht="12.75">
      <c r="B174" s="113"/>
      <c r="C174" s="113"/>
      <c r="D174" s="113"/>
      <c r="E174" s="113"/>
      <c r="F174" s="113"/>
      <c r="G174" s="113"/>
      <c r="H174" s="113"/>
      <c r="I174" s="113"/>
    </row>
    <row r="175" spans="2:9" s="112" customFormat="1" ht="12.75">
      <c r="B175" s="113"/>
      <c r="C175" s="113"/>
      <c r="D175" s="113"/>
      <c r="E175" s="113"/>
      <c r="F175" s="113"/>
      <c r="G175" s="113"/>
      <c r="H175" s="113"/>
      <c r="I175" s="113"/>
    </row>
    <row r="176" spans="2:9" s="112" customFormat="1" ht="12.75">
      <c r="B176" s="113"/>
      <c r="C176" s="113"/>
      <c r="D176" s="113"/>
      <c r="E176" s="113"/>
      <c r="F176" s="113"/>
      <c r="G176" s="113"/>
      <c r="H176" s="113"/>
      <c r="I176" s="113"/>
    </row>
    <row r="177" spans="2:9" s="112" customFormat="1" ht="12.75">
      <c r="B177" s="113"/>
      <c r="C177" s="113"/>
      <c r="D177" s="113"/>
      <c r="E177" s="113"/>
      <c r="F177" s="113"/>
      <c r="G177" s="113"/>
      <c r="H177" s="113"/>
      <c r="I177" s="113"/>
    </row>
    <row r="178" spans="2:9" s="112" customFormat="1" ht="12.75">
      <c r="B178" s="113"/>
      <c r="C178" s="113"/>
      <c r="D178" s="113"/>
      <c r="E178" s="113"/>
      <c r="F178" s="113"/>
      <c r="G178" s="113"/>
      <c r="H178" s="113"/>
      <c r="I178" s="113"/>
    </row>
    <row r="179" spans="2:9" s="112" customFormat="1" ht="12.75">
      <c r="B179" s="113"/>
      <c r="C179" s="113"/>
      <c r="D179" s="113"/>
      <c r="E179" s="113"/>
      <c r="F179" s="113"/>
      <c r="G179" s="113"/>
      <c r="H179" s="113"/>
      <c r="I179" s="113"/>
    </row>
    <row r="180" spans="2:9" s="112" customFormat="1" ht="12.75">
      <c r="B180" s="113"/>
      <c r="C180" s="113"/>
      <c r="D180" s="113"/>
      <c r="E180" s="113"/>
      <c r="F180" s="113"/>
      <c r="G180" s="113"/>
      <c r="H180" s="113"/>
      <c r="I180" s="113"/>
    </row>
    <row r="181" spans="2:9" s="112" customFormat="1" ht="12.75">
      <c r="B181" s="113"/>
      <c r="C181" s="113"/>
      <c r="D181" s="113"/>
      <c r="E181" s="113"/>
      <c r="F181" s="113"/>
      <c r="G181" s="113"/>
      <c r="H181" s="113"/>
      <c r="I181" s="113"/>
    </row>
    <row r="182" spans="2:9" s="112" customFormat="1" ht="12.75">
      <c r="B182" s="113"/>
      <c r="C182" s="113"/>
      <c r="D182" s="113"/>
      <c r="E182" s="113"/>
      <c r="F182" s="113"/>
      <c r="G182" s="113"/>
      <c r="H182" s="113"/>
      <c r="I182" s="113"/>
    </row>
    <row r="183" spans="2:9" s="112" customFormat="1" ht="12.75">
      <c r="B183" s="113"/>
      <c r="C183" s="113"/>
      <c r="D183" s="113"/>
      <c r="E183" s="113"/>
      <c r="F183" s="113"/>
      <c r="G183" s="113"/>
      <c r="H183" s="113"/>
      <c r="I183" s="113"/>
    </row>
    <row r="184" spans="2:9" s="112" customFormat="1" ht="12.75">
      <c r="B184" s="113"/>
      <c r="C184" s="113"/>
      <c r="D184" s="113"/>
      <c r="E184" s="113"/>
      <c r="F184" s="113"/>
      <c r="G184" s="113"/>
      <c r="H184" s="113"/>
      <c r="I184" s="113"/>
    </row>
    <row r="185" spans="2:9" s="112" customFormat="1" ht="12.75">
      <c r="B185" s="113"/>
      <c r="C185" s="113"/>
      <c r="D185" s="113"/>
      <c r="E185" s="113"/>
      <c r="F185" s="113"/>
      <c r="G185" s="113"/>
      <c r="H185" s="113"/>
      <c r="I185" s="113"/>
    </row>
    <row r="186" spans="2:9" s="112" customFormat="1" ht="12.75">
      <c r="B186" s="113"/>
      <c r="C186" s="113"/>
      <c r="D186" s="113"/>
      <c r="E186" s="113"/>
      <c r="F186" s="113"/>
      <c r="G186" s="113"/>
      <c r="H186" s="113"/>
      <c r="I186" s="113"/>
    </row>
    <row r="187" spans="2:9" s="112" customFormat="1" ht="12.75">
      <c r="B187" s="113"/>
      <c r="C187" s="113"/>
      <c r="D187" s="113"/>
      <c r="E187" s="113"/>
      <c r="F187" s="113"/>
      <c r="G187" s="113"/>
      <c r="H187" s="113"/>
      <c r="I187" s="113"/>
    </row>
    <row r="188" spans="2:9" s="112" customFormat="1" ht="12.75">
      <c r="B188" s="113"/>
      <c r="C188" s="113"/>
      <c r="D188" s="113"/>
      <c r="E188" s="113"/>
      <c r="F188" s="113"/>
      <c r="G188" s="113"/>
      <c r="H188" s="113"/>
      <c r="I188" s="113"/>
    </row>
    <row r="189" spans="2:9" s="112" customFormat="1" ht="12.75">
      <c r="B189" s="113"/>
      <c r="C189" s="113"/>
      <c r="D189" s="113"/>
      <c r="E189" s="113"/>
      <c r="F189" s="113"/>
      <c r="G189" s="113"/>
      <c r="H189" s="113"/>
      <c r="I189" s="113"/>
    </row>
    <row r="190" spans="2:9" s="112" customFormat="1" ht="12.75">
      <c r="B190" s="113"/>
      <c r="C190" s="113"/>
      <c r="D190" s="113"/>
      <c r="E190" s="113"/>
      <c r="F190" s="113"/>
      <c r="G190" s="113"/>
      <c r="H190" s="113"/>
      <c r="I190" s="113"/>
    </row>
    <row r="191" spans="2:9" s="112" customFormat="1" ht="12.75">
      <c r="B191" s="113"/>
      <c r="C191" s="113"/>
      <c r="D191" s="113"/>
      <c r="E191" s="113"/>
      <c r="F191" s="113"/>
      <c r="G191" s="113"/>
      <c r="H191" s="113"/>
      <c r="I191" s="113"/>
    </row>
    <row r="192" spans="2:9" s="112" customFormat="1" ht="12.75">
      <c r="B192" s="113"/>
      <c r="C192" s="113"/>
      <c r="D192" s="113"/>
      <c r="E192" s="113"/>
      <c r="F192" s="113"/>
      <c r="G192" s="113"/>
      <c r="H192" s="113"/>
      <c r="I192" s="113"/>
    </row>
    <row r="193" spans="2:9" s="112" customFormat="1" ht="12.75">
      <c r="B193" s="113"/>
      <c r="C193" s="113"/>
      <c r="D193" s="113"/>
      <c r="E193" s="113"/>
      <c r="F193" s="113"/>
      <c r="G193" s="113"/>
      <c r="H193" s="113"/>
      <c r="I193" s="113"/>
    </row>
    <row r="194" spans="2:9" s="112" customFormat="1" ht="12.75">
      <c r="B194" s="113"/>
      <c r="C194" s="113"/>
      <c r="D194" s="113"/>
      <c r="E194" s="113"/>
      <c r="F194" s="113"/>
      <c r="G194" s="113"/>
      <c r="H194" s="113"/>
      <c r="I194" s="113"/>
    </row>
    <row r="195" spans="2:9" s="112" customFormat="1" ht="12.75">
      <c r="B195" s="113"/>
      <c r="C195" s="113"/>
      <c r="D195" s="113"/>
      <c r="E195" s="113"/>
      <c r="F195" s="113"/>
      <c r="G195" s="113"/>
      <c r="H195" s="113"/>
      <c r="I195" s="113"/>
    </row>
    <row r="196" spans="2:9" s="112" customFormat="1" ht="12.75">
      <c r="B196" s="113"/>
      <c r="C196" s="113"/>
      <c r="D196" s="113"/>
      <c r="E196" s="113"/>
      <c r="F196" s="113"/>
      <c r="G196" s="113"/>
      <c r="H196" s="113"/>
      <c r="I196" s="113"/>
    </row>
    <row r="197" spans="2:9" s="112" customFormat="1" ht="12.75">
      <c r="B197" s="113"/>
      <c r="C197" s="113"/>
      <c r="D197" s="113"/>
      <c r="E197" s="113"/>
      <c r="F197" s="113"/>
      <c r="G197" s="113"/>
      <c r="H197" s="113"/>
      <c r="I197" s="113"/>
    </row>
    <row r="198" spans="2:9" s="112" customFormat="1" ht="12.75">
      <c r="B198" s="113"/>
      <c r="C198" s="113"/>
      <c r="D198" s="113"/>
      <c r="E198" s="113"/>
      <c r="F198" s="113"/>
      <c r="G198" s="113"/>
      <c r="H198" s="113"/>
      <c r="I198" s="113"/>
    </row>
    <row r="199" spans="2:9" s="112" customFormat="1" ht="12.75">
      <c r="B199" s="113"/>
      <c r="C199" s="113"/>
      <c r="D199" s="113"/>
      <c r="E199" s="113"/>
      <c r="F199" s="113"/>
      <c r="G199" s="113"/>
      <c r="H199" s="113"/>
      <c r="I199" s="113"/>
    </row>
    <row r="200" spans="2:9" s="112" customFormat="1" ht="12.75">
      <c r="B200" s="113"/>
      <c r="C200" s="113"/>
      <c r="D200" s="113"/>
      <c r="E200" s="113"/>
      <c r="F200" s="113"/>
      <c r="G200" s="113"/>
      <c r="H200" s="113"/>
      <c r="I200" s="113"/>
    </row>
    <row r="201" spans="2:9" s="112" customFormat="1" ht="12.75">
      <c r="B201" s="113"/>
      <c r="C201" s="113"/>
      <c r="D201" s="113"/>
      <c r="E201" s="113"/>
      <c r="F201" s="113"/>
      <c r="G201" s="113"/>
      <c r="H201" s="113"/>
      <c r="I201" s="113"/>
    </row>
    <row r="202" spans="2:9" s="112" customFormat="1" ht="12.75">
      <c r="B202" s="113"/>
      <c r="C202" s="113"/>
      <c r="D202" s="113"/>
      <c r="E202" s="113"/>
      <c r="F202" s="113"/>
      <c r="G202" s="113"/>
      <c r="H202" s="113"/>
      <c r="I202" s="113"/>
    </row>
    <row r="203" spans="2:9" s="112" customFormat="1" ht="12.75">
      <c r="B203" s="113"/>
      <c r="C203" s="113"/>
      <c r="D203" s="113"/>
      <c r="E203" s="113"/>
      <c r="F203" s="113"/>
      <c r="G203" s="113"/>
      <c r="H203" s="113"/>
      <c r="I203" s="113"/>
    </row>
    <row r="204" spans="2:9" s="112" customFormat="1" ht="12.75">
      <c r="B204" s="113"/>
      <c r="C204" s="113"/>
      <c r="D204" s="113"/>
      <c r="E204" s="113"/>
      <c r="F204" s="113"/>
      <c r="G204" s="113"/>
      <c r="H204" s="113"/>
      <c r="I204" s="113"/>
    </row>
    <row r="205" spans="2:9" s="112" customFormat="1" ht="12.75">
      <c r="B205" s="113"/>
      <c r="C205" s="113"/>
      <c r="D205" s="113"/>
      <c r="E205" s="113"/>
      <c r="F205" s="113"/>
      <c r="G205" s="113"/>
      <c r="H205" s="113"/>
      <c r="I205" s="113"/>
    </row>
    <row r="206" spans="2:9" s="112" customFormat="1" ht="12.75">
      <c r="B206" s="113"/>
      <c r="C206" s="113"/>
      <c r="D206" s="113"/>
      <c r="E206" s="113"/>
      <c r="F206" s="113"/>
      <c r="G206" s="113"/>
      <c r="H206" s="113"/>
      <c r="I206" s="113"/>
    </row>
    <row r="207" spans="2:9" s="112" customFormat="1" ht="12.75">
      <c r="B207" s="113"/>
      <c r="C207" s="113"/>
      <c r="D207" s="113"/>
      <c r="E207" s="113"/>
      <c r="F207" s="113"/>
      <c r="G207" s="113"/>
      <c r="H207" s="113"/>
      <c r="I207" s="113"/>
    </row>
    <row r="208" spans="2:9" s="112" customFormat="1" ht="12.75">
      <c r="B208" s="113"/>
      <c r="C208" s="113"/>
      <c r="D208" s="113"/>
      <c r="E208" s="113"/>
      <c r="F208" s="113"/>
      <c r="G208" s="113"/>
      <c r="H208" s="113"/>
      <c r="I208" s="113"/>
    </row>
    <row r="209" spans="2:9" s="112" customFormat="1" ht="12.75">
      <c r="B209" s="113"/>
      <c r="C209" s="113"/>
      <c r="D209" s="113"/>
      <c r="E209" s="113"/>
      <c r="F209" s="113"/>
      <c r="G209" s="113"/>
      <c r="H209" s="113"/>
      <c r="I209" s="113"/>
    </row>
    <row r="210" spans="2:9" s="112" customFormat="1" ht="12.75">
      <c r="B210" s="113"/>
      <c r="C210" s="113"/>
      <c r="D210" s="113"/>
      <c r="E210" s="113"/>
      <c r="F210" s="113"/>
      <c r="G210" s="113"/>
      <c r="H210" s="113"/>
      <c r="I210" s="113"/>
    </row>
    <row r="211" spans="2:9" s="112" customFormat="1" ht="12.75">
      <c r="B211" s="113"/>
      <c r="C211" s="113"/>
      <c r="D211" s="113"/>
      <c r="E211" s="113"/>
      <c r="F211" s="113"/>
      <c r="G211" s="113"/>
      <c r="H211" s="113"/>
      <c r="I211" s="113"/>
    </row>
    <row r="212" spans="2:9" s="112" customFormat="1" ht="12.75">
      <c r="B212" s="113"/>
      <c r="C212" s="113"/>
      <c r="D212" s="113"/>
      <c r="E212" s="113"/>
      <c r="F212" s="113"/>
      <c r="G212" s="113"/>
      <c r="H212" s="113"/>
      <c r="I212" s="113"/>
    </row>
    <row r="213" spans="2:9" s="112" customFormat="1" ht="12.75">
      <c r="B213" s="113"/>
      <c r="C213" s="113"/>
      <c r="D213" s="113"/>
      <c r="E213" s="113"/>
      <c r="F213" s="113"/>
      <c r="G213" s="113"/>
      <c r="H213" s="113"/>
      <c r="I213" s="113"/>
    </row>
    <row r="214" spans="2:9" s="112" customFormat="1" ht="12.75">
      <c r="B214" s="113"/>
      <c r="C214" s="113"/>
      <c r="D214" s="113"/>
      <c r="E214" s="113"/>
      <c r="F214" s="113"/>
      <c r="G214" s="113"/>
      <c r="H214" s="113"/>
      <c r="I214" s="113"/>
    </row>
    <row r="215" spans="2:9" s="112" customFormat="1" ht="12.75">
      <c r="B215" s="113"/>
      <c r="C215" s="113"/>
      <c r="D215" s="113"/>
      <c r="E215" s="113"/>
      <c r="F215" s="113"/>
      <c r="G215" s="113"/>
      <c r="H215" s="113"/>
      <c r="I215" s="113"/>
    </row>
    <row r="216" spans="2:9" s="112" customFormat="1" ht="12.75">
      <c r="B216" s="113"/>
      <c r="C216" s="113"/>
      <c r="D216" s="113"/>
      <c r="E216" s="113"/>
      <c r="F216" s="113"/>
      <c r="G216" s="113"/>
      <c r="H216" s="113"/>
      <c r="I216" s="113"/>
    </row>
    <row r="217" spans="2:9" s="112" customFormat="1" ht="12.75">
      <c r="B217" s="113"/>
      <c r="C217" s="113"/>
      <c r="D217" s="113"/>
      <c r="E217" s="113"/>
      <c r="F217" s="113"/>
      <c r="G217" s="113"/>
      <c r="H217" s="113"/>
      <c r="I217" s="113"/>
    </row>
    <row r="218" spans="2:9" s="112" customFormat="1" ht="12.75">
      <c r="B218" s="113"/>
      <c r="C218" s="113"/>
      <c r="D218" s="113"/>
      <c r="E218" s="113"/>
      <c r="F218" s="113"/>
      <c r="G218" s="113"/>
      <c r="H218" s="113"/>
      <c r="I218" s="113"/>
    </row>
    <row r="219" spans="2:9" s="112" customFormat="1" ht="12.75">
      <c r="B219" s="113"/>
      <c r="C219" s="113"/>
      <c r="D219" s="113"/>
      <c r="E219" s="113"/>
      <c r="F219" s="113"/>
      <c r="G219" s="113"/>
      <c r="H219" s="113"/>
      <c r="I219" s="113"/>
    </row>
    <row r="220" spans="2:9" s="112" customFormat="1" ht="12.75">
      <c r="B220" s="113"/>
      <c r="C220" s="113"/>
      <c r="D220" s="113"/>
      <c r="E220" s="113"/>
      <c r="F220" s="113"/>
      <c r="G220" s="113"/>
      <c r="H220" s="113"/>
      <c r="I220" s="113"/>
    </row>
    <row r="221" spans="2:9" s="112" customFormat="1" ht="12.75">
      <c r="B221" s="113"/>
      <c r="C221" s="113"/>
      <c r="D221" s="113"/>
      <c r="E221" s="113"/>
      <c r="F221" s="113"/>
      <c r="G221" s="113"/>
      <c r="H221" s="113"/>
      <c r="I221" s="113"/>
    </row>
    <row r="222" spans="2:9" s="112" customFormat="1" ht="12.75">
      <c r="B222" s="113"/>
      <c r="C222" s="113"/>
      <c r="D222" s="113"/>
      <c r="E222" s="113"/>
      <c r="F222" s="113"/>
      <c r="G222" s="113"/>
      <c r="H222" s="113"/>
      <c r="I222" s="113"/>
    </row>
    <row r="223" spans="2:9" s="112" customFormat="1" ht="12.75">
      <c r="B223" s="113"/>
      <c r="C223" s="113"/>
      <c r="D223" s="113"/>
      <c r="E223" s="113"/>
      <c r="F223" s="113"/>
      <c r="G223" s="113"/>
      <c r="H223" s="113"/>
      <c r="I223" s="113"/>
    </row>
    <row r="224" spans="2:9" s="112" customFormat="1" ht="12.75">
      <c r="B224" s="113"/>
      <c r="C224" s="113"/>
      <c r="D224" s="113"/>
      <c r="E224" s="113"/>
      <c r="F224" s="113"/>
      <c r="G224" s="113"/>
      <c r="H224" s="113"/>
      <c r="I224" s="113"/>
    </row>
    <row r="225" spans="2:9" s="112" customFormat="1" ht="12.75">
      <c r="B225" s="113"/>
      <c r="C225" s="113"/>
      <c r="D225" s="113"/>
      <c r="E225" s="113"/>
      <c r="F225" s="113"/>
      <c r="G225" s="113"/>
      <c r="H225" s="113"/>
      <c r="I225" s="113"/>
    </row>
    <row r="226" spans="2:9" s="112" customFormat="1" ht="12.75">
      <c r="B226" s="113"/>
      <c r="C226" s="113"/>
      <c r="D226" s="113"/>
      <c r="E226" s="113"/>
      <c r="F226" s="113"/>
      <c r="G226" s="113"/>
      <c r="H226" s="113"/>
      <c r="I226" s="113"/>
    </row>
    <row r="227" spans="2:9" s="112" customFormat="1" ht="12.75">
      <c r="B227" s="113"/>
      <c r="C227" s="113"/>
      <c r="D227" s="113"/>
      <c r="E227" s="113"/>
      <c r="F227" s="113"/>
      <c r="G227" s="113"/>
      <c r="H227" s="113"/>
      <c r="I227" s="113"/>
    </row>
    <row r="228" spans="2:9" s="112" customFormat="1" ht="12.75">
      <c r="B228" s="113"/>
      <c r="C228" s="113"/>
      <c r="D228" s="113"/>
      <c r="E228" s="113"/>
      <c r="F228" s="113"/>
      <c r="G228" s="113"/>
      <c r="H228" s="113"/>
      <c r="I228" s="113"/>
    </row>
    <row r="229" spans="2:9" s="112" customFormat="1" ht="12.75">
      <c r="B229" s="113"/>
      <c r="C229" s="113"/>
      <c r="D229" s="113"/>
      <c r="E229" s="113"/>
      <c r="F229" s="113"/>
      <c r="G229" s="113"/>
      <c r="H229" s="113"/>
      <c r="I229" s="113"/>
    </row>
    <row r="230" spans="2:9" s="112" customFormat="1" ht="12.75">
      <c r="B230" s="113"/>
      <c r="C230" s="113"/>
      <c r="D230" s="113"/>
      <c r="E230" s="113"/>
      <c r="F230" s="113"/>
      <c r="G230" s="113"/>
      <c r="H230" s="113"/>
      <c r="I230" s="113"/>
    </row>
    <row r="231" spans="2:9" s="112" customFormat="1" ht="12.75">
      <c r="B231" s="113"/>
      <c r="C231" s="113"/>
      <c r="D231" s="113"/>
      <c r="E231" s="113"/>
      <c r="F231" s="113"/>
      <c r="G231" s="113"/>
      <c r="H231" s="113"/>
      <c r="I231" s="113"/>
    </row>
    <row r="232" spans="2:9" s="112" customFormat="1" ht="12.75">
      <c r="B232" s="113"/>
      <c r="C232" s="113"/>
      <c r="D232" s="113"/>
      <c r="E232" s="113"/>
      <c r="F232" s="113"/>
      <c r="G232" s="113"/>
      <c r="H232" s="113"/>
      <c r="I232" s="113"/>
    </row>
    <row r="233" spans="2:9" s="112" customFormat="1" ht="12.75">
      <c r="B233" s="113"/>
      <c r="C233" s="113"/>
      <c r="D233" s="113"/>
      <c r="E233" s="113"/>
      <c r="F233" s="113"/>
      <c r="G233" s="113"/>
      <c r="H233" s="113"/>
      <c r="I233" s="113"/>
    </row>
    <row r="234" spans="2:9" s="112" customFormat="1" ht="12.75">
      <c r="B234" s="113"/>
      <c r="C234" s="113"/>
      <c r="D234" s="113"/>
      <c r="E234" s="113"/>
      <c r="F234" s="113"/>
      <c r="G234" s="113"/>
      <c r="H234" s="113"/>
      <c r="I234" s="113"/>
    </row>
    <row r="235" spans="2:9" s="112" customFormat="1" ht="12.75">
      <c r="B235" s="113"/>
      <c r="C235" s="113"/>
      <c r="D235" s="113"/>
      <c r="E235" s="113"/>
      <c r="F235" s="113"/>
      <c r="G235" s="113"/>
      <c r="H235" s="113"/>
      <c r="I235" s="113"/>
    </row>
    <row r="236" spans="2:9" s="112" customFormat="1" ht="12.75">
      <c r="B236" s="113"/>
      <c r="C236" s="113"/>
      <c r="D236" s="113"/>
      <c r="E236" s="113"/>
      <c r="F236" s="113"/>
      <c r="G236" s="113"/>
      <c r="H236" s="113"/>
      <c r="I236" s="113"/>
    </row>
    <row r="237" spans="2:9" s="112" customFormat="1" ht="12.75">
      <c r="B237" s="113"/>
      <c r="C237" s="113"/>
      <c r="D237" s="113"/>
      <c r="E237" s="113"/>
      <c r="F237" s="113"/>
      <c r="G237" s="113"/>
      <c r="H237" s="113"/>
      <c r="I237" s="113"/>
    </row>
    <row r="238" spans="2:9" s="112" customFormat="1" ht="12.75">
      <c r="B238" s="113"/>
      <c r="C238" s="113"/>
      <c r="D238" s="113"/>
      <c r="E238" s="113"/>
      <c r="F238" s="113"/>
      <c r="G238" s="113"/>
      <c r="H238" s="113"/>
      <c r="I238" s="113"/>
    </row>
    <row r="239" spans="2:9" s="112" customFormat="1" ht="12.75">
      <c r="B239" s="113"/>
      <c r="C239" s="113"/>
      <c r="D239" s="113"/>
      <c r="E239" s="113"/>
      <c r="F239" s="113"/>
      <c r="G239" s="113"/>
      <c r="H239" s="113"/>
      <c r="I239" s="113"/>
    </row>
    <row r="240" spans="2:9" s="112" customFormat="1" ht="12.75">
      <c r="B240" s="113"/>
      <c r="C240" s="113"/>
      <c r="D240" s="113"/>
      <c r="E240" s="113"/>
      <c r="F240" s="113"/>
      <c r="G240" s="113"/>
      <c r="H240" s="113"/>
      <c r="I240" s="113"/>
    </row>
    <row r="241" spans="2:9" s="112" customFormat="1" ht="12.75">
      <c r="B241" s="113"/>
      <c r="C241" s="113"/>
      <c r="D241" s="113"/>
      <c r="E241" s="113"/>
      <c r="F241" s="113"/>
      <c r="G241" s="113"/>
      <c r="H241" s="113"/>
      <c r="I241" s="113"/>
    </row>
    <row r="242" spans="2:9" s="112" customFormat="1" ht="12.75">
      <c r="B242" s="113"/>
      <c r="C242" s="113"/>
      <c r="D242" s="113"/>
      <c r="E242" s="113"/>
      <c r="F242" s="113"/>
      <c r="G242" s="113"/>
      <c r="H242" s="113"/>
      <c r="I242" s="113"/>
    </row>
    <row r="243" spans="2:9" s="112" customFormat="1" ht="12.75">
      <c r="B243" s="113"/>
      <c r="C243" s="113"/>
      <c r="D243" s="113"/>
      <c r="E243" s="113"/>
      <c r="F243" s="113"/>
      <c r="G243" s="113"/>
      <c r="H243" s="113"/>
      <c r="I243" s="113"/>
    </row>
    <row r="244" spans="2:9" s="112" customFormat="1" ht="12.75">
      <c r="B244" s="113"/>
      <c r="C244" s="113"/>
      <c r="D244" s="113"/>
      <c r="E244" s="113"/>
      <c r="F244" s="113"/>
      <c r="G244" s="113"/>
      <c r="H244" s="113"/>
      <c r="I244" s="113"/>
    </row>
    <row r="245" spans="2:9" s="112" customFormat="1" ht="12.75">
      <c r="B245" s="113"/>
      <c r="C245" s="113"/>
      <c r="D245" s="113"/>
      <c r="E245" s="113"/>
      <c r="F245" s="113"/>
      <c r="G245" s="113"/>
      <c r="H245" s="113"/>
      <c r="I245" s="113"/>
    </row>
    <row r="246" spans="2:9" s="112" customFormat="1" ht="12.75">
      <c r="B246" s="113"/>
      <c r="C246" s="113"/>
      <c r="D246" s="113"/>
      <c r="E246" s="113"/>
      <c r="F246" s="113"/>
      <c r="G246" s="113"/>
      <c r="H246" s="113"/>
      <c r="I246" s="113"/>
    </row>
    <row r="247" spans="2:9" s="112" customFormat="1" ht="12.75">
      <c r="B247" s="113"/>
      <c r="C247" s="113"/>
      <c r="D247" s="113"/>
      <c r="E247" s="113"/>
      <c r="F247" s="113"/>
      <c r="G247" s="113"/>
      <c r="H247" s="113"/>
      <c r="I247" s="113"/>
    </row>
    <row r="248" spans="2:9" s="112" customFormat="1" ht="12.75">
      <c r="B248" s="113"/>
      <c r="C248" s="113"/>
      <c r="D248" s="113"/>
      <c r="E248" s="113"/>
      <c r="F248" s="113"/>
      <c r="G248" s="113"/>
      <c r="H248" s="113"/>
      <c r="I248" s="113"/>
    </row>
    <row r="249" spans="2:9" s="112" customFormat="1" ht="12.75">
      <c r="B249" s="113"/>
      <c r="C249" s="113"/>
      <c r="D249" s="113"/>
      <c r="E249" s="113"/>
      <c r="F249" s="113"/>
      <c r="G249" s="113"/>
      <c r="H249" s="113"/>
      <c r="I249" s="113"/>
    </row>
    <row r="250" spans="2:9" s="112" customFormat="1" ht="12.75">
      <c r="B250" s="113"/>
      <c r="C250" s="113"/>
      <c r="D250" s="113"/>
      <c r="E250" s="113"/>
      <c r="F250" s="113"/>
      <c r="G250" s="113"/>
      <c r="H250" s="113"/>
      <c r="I250" s="113"/>
    </row>
    <row r="251" spans="2:9" s="112" customFormat="1" ht="12.75">
      <c r="B251" s="113"/>
      <c r="C251" s="113"/>
      <c r="D251" s="113"/>
      <c r="E251" s="113"/>
      <c r="F251" s="113"/>
      <c r="G251" s="113"/>
      <c r="H251" s="113"/>
      <c r="I251" s="113"/>
    </row>
    <row r="252" spans="2:9" s="112" customFormat="1" ht="12.75">
      <c r="B252" s="113"/>
      <c r="C252" s="113"/>
      <c r="D252" s="113"/>
      <c r="E252" s="113"/>
      <c r="F252" s="113"/>
      <c r="G252" s="113"/>
      <c r="H252" s="113"/>
      <c r="I252" s="113"/>
    </row>
    <row r="253" spans="2:9" s="112" customFormat="1" ht="12.75">
      <c r="B253" s="113"/>
      <c r="C253" s="113"/>
      <c r="D253" s="113"/>
      <c r="E253" s="113"/>
      <c r="F253" s="113"/>
      <c r="G253" s="113"/>
      <c r="H253" s="113"/>
      <c r="I253" s="113"/>
    </row>
    <row r="254" spans="2:9" s="112" customFormat="1" ht="12.75">
      <c r="B254" s="113"/>
      <c r="C254" s="113"/>
      <c r="D254" s="113"/>
      <c r="E254" s="113"/>
      <c r="F254" s="113"/>
      <c r="G254" s="113"/>
      <c r="H254" s="113"/>
      <c r="I254" s="113"/>
    </row>
    <row r="255" spans="2:9" s="112" customFormat="1" ht="12.75">
      <c r="B255" s="113"/>
      <c r="C255" s="113"/>
      <c r="D255" s="113"/>
      <c r="E255" s="113"/>
      <c r="F255" s="113"/>
      <c r="G255" s="113"/>
      <c r="H255" s="113"/>
      <c r="I255" s="113"/>
    </row>
    <row r="256" spans="2:9" s="112" customFormat="1" ht="12.75">
      <c r="B256" s="113"/>
      <c r="C256" s="113"/>
      <c r="D256" s="113"/>
      <c r="E256" s="113"/>
      <c r="F256" s="113"/>
      <c r="G256" s="113"/>
      <c r="H256" s="113"/>
      <c r="I256" s="113"/>
    </row>
    <row r="257" spans="2:9" s="112" customFormat="1" ht="12.75">
      <c r="B257" s="113"/>
      <c r="C257" s="113"/>
      <c r="D257" s="113"/>
      <c r="E257" s="113"/>
      <c r="F257" s="113"/>
      <c r="G257" s="113"/>
      <c r="H257" s="113"/>
      <c r="I257" s="113"/>
    </row>
    <row r="258" spans="2:9" s="112" customFormat="1" ht="12.75">
      <c r="B258" s="113"/>
      <c r="C258" s="113"/>
      <c r="D258" s="113"/>
      <c r="E258" s="113"/>
      <c r="F258" s="113"/>
      <c r="G258" s="113"/>
      <c r="H258" s="113"/>
      <c r="I258" s="113"/>
    </row>
    <row r="259" spans="2:9" s="112" customFormat="1" ht="12.75">
      <c r="B259" s="113"/>
      <c r="C259" s="113"/>
      <c r="D259" s="113"/>
      <c r="E259" s="113"/>
      <c r="F259" s="113"/>
      <c r="G259" s="113"/>
      <c r="H259" s="113"/>
      <c r="I259" s="113"/>
    </row>
    <row r="260" spans="2:9" s="112" customFormat="1" ht="12.75">
      <c r="B260" s="113"/>
      <c r="C260" s="113"/>
      <c r="D260" s="113"/>
      <c r="E260" s="113"/>
      <c r="F260" s="113"/>
      <c r="G260" s="113"/>
      <c r="H260" s="113"/>
      <c r="I260" s="113"/>
    </row>
    <row r="261" spans="2:9" s="112" customFormat="1" ht="12.75">
      <c r="B261" s="113"/>
      <c r="C261" s="113"/>
      <c r="D261" s="113"/>
      <c r="E261" s="113"/>
      <c r="F261" s="113"/>
      <c r="G261" s="113"/>
      <c r="H261" s="113"/>
      <c r="I261" s="113"/>
    </row>
    <row r="262" spans="2:9" s="112" customFormat="1" ht="12.75">
      <c r="B262" s="113"/>
      <c r="C262" s="113"/>
      <c r="D262" s="113"/>
      <c r="E262" s="113"/>
      <c r="F262" s="113"/>
      <c r="G262" s="113"/>
      <c r="H262" s="113"/>
      <c r="I262" s="113"/>
    </row>
    <row r="263" spans="2:9" s="112" customFormat="1" ht="12.75">
      <c r="B263" s="113"/>
      <c r="C263" s="113"/>
      <c r="D263" s="113"/>
      <c r="E263" s="113"/>
      <c r="F263" s="113"/>
      <c r="G263" s="113"/>
      <c r="H263" s="113"/>
      <c r="I263" s="113"/>
    </row>
    <row r="264" spans="2:9" s="112" customFormat="1" ht="12.75">
      <c r="B264" s="113"/>
      <c r="C264" s="113"/>
      <c r="D264" s="113"/>
      <c r="E264" s="113"/>
      <c r="F264" s="113"/>
      <c r="G264" s="113"/>
      <c r="H264" s="113"/>
      <c r="I264" s="113"/>
    </row>
    <row r="265" spans="2:9" s="112" customFormat="1" ht="12.75">
      <c r="B265" s="113"/>
      <c r="C265" s="113"/>
      <c r="D265" s="113"/>
      <c r="E265" s="113"/>
      <c r="F265" s="113"/>
      <c r="G265" s="113"/>
      <c r="H265" s="113"/>
      <c r="I265" s="113"/>
    </row>
    <row r="266" spans="2:9" s="112" customFormat="1" ht="12.75">
      <c r="B266" s="113"/>
      <c r="C266" s="113"/>
      <c r="D266" s="113"/>
      <c r="E266" s="113"/>
      <c r="F266" s="113"/>
      <c r="G266" s="113"/>
      <c r="H266" s="113"/>
      <c r="I266" s="113"/>
    </row>
    <row r="267" spans="2:9" s="112" customFormat="1" ht="12.75">
      <c r="B267" s="113"/>
      <c r="C267" s="113"/>
      <c r="D267" s="113"/>
      <c r="E267" s="113"/>
      <c r="F267" s="113"/>
      <c r="G267" s="113"/>
      <c r="H267" s="113"/>
      <c r="I267" s="113"/>
    </row>
    <row r="268" spans="2:9" s="112" customFormat="1" ht="12.75">
      <c r="B268" s="113"/>
      <c r="C268" s="113"/>
      <c r="D268" s="113"/>
      <c r="E268" s="113"/>
      <c r="F268" s="113"/>
      <c r="G268" s="113"/>
      <c r="H268" s="113"/>
      <c r="I268" s="113"/>
    </row>
    <row r="269" spans="2:9" s="112" customFormat="1" ht="12.75">
      <c r="B269" s="113"/>
      <c r="C269" s="113"/>
      <c r="D269" s="113"/>
      <c r="E269" s="113"/>
      <c r="F269" s="113"/>
      <c r="G269" s="113"/>
      <c r="H269" s="113"/>
      <c r="I269" s="113"/>
    </row>
    <row r="270" spans="2:9" s="112" customFormat="1" ht="12.75">
      <c r="B270" s="113"/>
      <c r="C270" s="113"/>
      <c r="D270" s="113"/>
      <c r="E270" s="113"/>
      <c r="F270" s="113"/>
      <c r="G270" s="113"/>
      <c r="H270" s="113"/>
      <c r="I270" s="113"/>
    </row>
    <row r="271" spans="2:9" s="112" customFormat="1" ht="12.75">
      <c r="B271" s="113"/>
      <c r="C271" s="113"/>
      <c r="D271" s="113"/>
      <c r="E271" s="113"/>
      <c r="F271" s="113"/>
      <c r="G271" s="113"/>
      <c r="H271" s="113"/>
      <c r="I271" s="113"/>
    </row>
    <row r="272" spans="2:9" s="112" customFormat="1" ht="12.75">
      <c r="B272" s="113"/>
      <c r="C272" s="113"/>
      <c r="D272" s="113"/>
      <c r="E272" s="113"/>
      <c r="F272" s="113"/>
      <c r="G272" s="113"/>
      <c r="H272" s="113"/>
      <c r="I272" s="113"/>
    </row>
    <row r="273" spans="2:9" s="112" customFormat="1" ht="12.75">
      <c r="B273" s="113"/>
      <c r="C273" s="113"/>
      <c r="D273" s="113"/>
      <c r="E273" s="113"/>
      <c r="F273" s="113"/>
      <c r="G273" s="113"/>
      <c r="H273" s="113"/>
      <c r="I273" s="113"/>
    </row>
    <row r="274" spans="2:9" s="112" customFormat="1" ht="12.75">
      <c r="B274" s="113"/>
      <c r="C274" s="113"/>
      <c r="D274" s="113"/>
      <c r="E274" s="113"/>
      <c r="F274" s="113"/>
      <c r="G274" s="113"/>
      <c r="H274" s="113"/>
      <c r="I274" s="113"/>
    </row>
    <row r="275" spans="2:9" s="112" customFormat="1" ht="12.75">
      <c r="B275" s="113"/>
      <c r="C275" s="113"/>
      <c r="D275" s="113"/>
      <c r="E275" s="113"/>
      <c r="F275" s="113"/>
      <c r="G275" s="113"/>
      <c r="H275" s="113"/>
      <c r="I275" s="113"/>
    </row>
    <row r="276" spans="2:9" s="112" customFormat="1" ht="12.75">
      <c r="B276" s="113"/>
      <c r="C276" s="113"/>
      <c r="D276" s="113"/>
      <c r="E276" s="113"/>
      <c r="F276" s="113"/>
      <c r="G276" s="113"/>
      <c r="H276" s="113"/>
      <c r="I276" s="113"/>
    </row>
    <row r="277" spans="2:9" s="112" customFormat="1" ht="12.75">
      <c r="B277" s="113"/>
      <c r="C277" s="113"/>
      <c r="D277" s="113"/>
      <c r="E277" s="113"/>
      <c r="F277" s="113"/>
      <c r="G277" s="113"/>
      <c r="H277" s="113"/>
      <c r="I277" s="113"/>
    </row>
    <row r="278" spans="2:9" s="112" customFormat="1" ht="12.75">
      <c r="B278" s="113"/>
      <c r="C278" s="113"/>
      <c r="D278" s="113"/>
      <c r="E278" s="113"/>
      <c r="F278" s="113"/>
      <c r="G278" s="113"/>
      <c r="H278" s="113"/>
      <c r="I278" s="113"/>
    </row>
    <row r="279" spans="2:9" s="112" customFormat="1" ht="12.75">
      <c r="B279" s="113"/>
      <c r="C279" s="113"/>
      <c r="D279" s="113"/>
      <c r="E279" s="113"/>
      <c r="F279" s="113"/>
      <c r="G279" s="113"/>
      <c r="H279" s="113"/>
      <c r="I279" s="113"/>
    </row>
    <row r="280" spans="2:9" s="112" customFormat="1" ht="12.75">
      <c r="B280" s="113"/>
      <c r="C280" s="113"/>
      <c r="D280" s="113"/>
      <c r="E280" s="113"/>
      <c r="F280" s="113"/>
      <c r="G280" s="113"/>
      <c r="H280" s="113"/>
      <c r="I280" s="113"/>
    </row>
    <row r="281" spans="2:9" s="112" customFormat="1" ht="12.75">
      <c r="B281" s="113"/>
      <c r="C281" s="113"/>
      <c r="D281" s="113"/>
      <c r="E281" s="113"/>
      <c r="F281" s="113"/>
      <c r="G281" s="113"/>
      <c r="H281" s="113"/>
      <c r="I281" s="113"/>
    </row>
    <row r="282" spans="2:9" s="112" customFormat="1" ht="12.75">
      <c r="B282" s="113"/>
      <c r="C282" s="113"/>
      <c r="D282" s="113"/>
      <c r="E282" s="113"/>
      <c r="F282" s="113"/>
      <c r="G282" s="113"/>
      <c r="H282" s="113"/>
      <c r="I282" s="113"/>
    </row>
    <row r="283" spans="2:9" s="112" customFormat="1" ht="12.75">
      <c r="B283" s="113"/>
      <c r="C283" s="113"/>
      <c r="D283" s="113"/>
      <c r="E283" s="113"/>
      <c r="F283" s="113"/>
      <c r="G283" s="113"/>
      <c r="H283" s="113"/>
      <c r="I283" s="113"/>
    </row>
    <row r="284" spans="2:9" s="112" customFormat="1" ht="12.75">
      <c r="B284" s="113"/>
      <c r="C284" s="113"/>
      <c r="D284" s="113"/>
      <c r="E284" s="113"/>
      <c r="F284" s="113"/>
      <c r="G284" s="113"/>
      <c r="H284" s="113"/>
      <c r="I284" s="113"/>
    </row>
    <row r="285" spans="2:9" s="112" customFormat="1" ht="12.75">
      <c r="B285" s="113"/>
      <c r="C285" s="113"/>
      <c r="D285" s="113"/>
      <c r="E285" s="113"/>
      <c r="F285" s="113"/>
      <c r="G285" s="113"/>
      <c r="H285" s="113"/>
      <c r="I285" s="113"/>
    </row>
    <row r="286" spans="2:9" s="112" customFormat="1" ht="12.75">
      <c r="B286" s="113"/>
      <c r="C286" s="113"/>
      <c r="D286" s="113"/>
      <c r="E286" s="113"/>
      <c r="F286" s="113"/>
      <c r="G286" s="113"/>
      <c r="H286" s="113"/>
      <c r="I286" s="113"/>
    </row>
    <row r="287" spans="2:9" s="112" customFormat="1" ht="12.75">
      <c r="B287" s="113"/>
      <c r="C287" s="113"/>
      <c r="D287" s="113"/>
      <c r="E287" s="113"/>
      <c r="F287" s="113"/>
      <c r="G287" s="113"/>
      <c r="H287" s="113"/>
      <c r="I287" s="113"/>
    </row>
    <row r="288" spans="2:9" s="112" customFormat="1" ht="12.75">
      <c r="B288" s="113"/>
      <c r="C288" s="113"/>
      <c r="D288" s="113"/>
      <c r="E288" s="113"/>
      <c r="F288" s="113"/>
      <c r="G288" s="113"/>
      <c r="H288" s="113"/>
      <c r="I288" s="113"/>
    </row>
    <row r="289" spans="2:9" s="112" customFormat="1" ht="12.75">
      <c r="B289" s="113"/>
      <c r="C289" s="113"/>
      <c r="D289" s="113"/>
      <c r="E289" s="113"/>
      <c r="F289" s="113"/>
      <c r="G289" s="113"/>
      <c r="H289" s="113"/>
      <c r="I289" s="113"/>
    </row>
    <row r="290" spans="2:9" s="112" customFormat="1" ht="12.75">
      <c r="B290" s="113"/>
      <c r="C290" s="113"/>
      <c r="D290" s="113"/>
      <c r="E290" s="113"/>
      <c r="F290" s="113"/>
      <c r="G290" s="113"/>
      <c r="H290" s="113"/>
      <c r="I290" s="113"/>
    </row>
    <row r="291" spans="2:9" s="112" customFormat="1" ht="12.75">
      <c r="B291" s="113"/>
      <c r="C291" s="113"/>
      <c r="D291" s="113"/>
      <c r="E291" s="113"/>
      <c r="F291" s="113"/>
      <c r="G291" s="113"/>
      <c r="H291" s="113"/>
      <c r="I291" s="113"/>
    </row>
    <row r="292" spans="2:9" s="112" customFormat="1" ht="12.75">
      <c r="B292" s="113"/>
      <c r="C292" s="113"/>
      <c r="D292" s="113"/>
      <c r="E292" s="113"/>
      <c r="F292" s="113"/>
      <c r="G292" s="113"/>
      <c r="H292" s="113"/>
      <c r="I292" s="113"/>
    </row>
    <row r="293" spans="2:9" s="112" customFormat="1" ht="12.75">
      <c r="B293" s="113"/>
      <c r="C293" s="113"/>
      <c r="D293" s="113"/>
      <c r="E293" s="113"/>
      <c r="F293" s="113"/>
      <c r="G293" s="113"/>
      <c r="H293" s="113"/>
      <c r="I293" s="113"/>
    </row>
    <row r="294" spans="2:9" s="112" customFormat="1" ht="12.75">
      <c r="B294" s="113"/>
      <c r="C294" s="113"/>
      <c r="D294" s="113"/>
      <c r="E294" s="113"/>
      <c r="F294" s="113"/>
      <c r="G294" s="113"/>
      <c r="H294" s="113"/>
      <c r="I294" s="113"/>
    </row>
    <row r="295" spans="2:9" s="112" customFormat="1" ht="12.75">
      <c r="B295" s="113"/>
      <c r="C295" s="113"/>
      <c r="D295" s="113"/>
      <c r="E295" s="113"/>
      <c r="F295" s="113"/>
      <c r="G295" s="113"/>
      <c r="H295" s="113"/>
      <c r="I295" s="113"/>
    </row>
    <row r="296" spans="2:9" s="112" customFormat="1" ht="12.75">
      <c r="B296" s="113"/>
      <c r="C296" s="113"/>
      <c r="D296" s="113"/>
      <c r="E296" s="113"/>
      <c r="F296" s="113"/>
      <c r="G296" s="113"/>
      <c r="H296" s="113"/>
      <c r="I296" s="113"/>
    </row>
    <row r="297" spans="2:9" s="112" customFormat="1" ht="12.75">
      <c r="B297" s="113"/>
      <c r="C297" s="113"/>
      <c r="D297" s="113"/>
      <c r="E297" s="113"/>
      <c r="F297" s="113"/>
      <c r="G297" s="113"/>
      <c r="H297" s="113"/>
      <c r="I297" s="113"/>
    </row>
    <row r="298" spans="2:9" s="112" customFormat="1" ht="12.75">
      <c r="B298" s="113"/>
      <c r="C298" s="113"/>
      <c r="D298" s="113"/>
      <c r="E298" s="113"/>
      <c r="F298" s="113"/>
      <c r="G298" s="113"/>
      <c r="H298" s="113"/>
      <c r="I298" s="113"/>
    </row>
    <row r="299" spans="2:9" s="112" customFormat="1" ht="12.75">
      <c r="B299" s="113"/>
      <c r="C299" s="113"/>
      <c r="D299" s="113"/>
      <c r="E299" s="113"/>
      <c r="F299" s="113"/>
      <c r="G299" s="113"/>
      <c r="H299" s="113"/>
      <c r="I299" s="113"/>
    </row>
    <row r="300" spans="2:9" s="112" customFormat="1" ht="12.75">
      <c r="B300" s="113"/>
      <c r="C300" s="113"/>
      <c r="D300" s="113"/>
      <c r="E300" s="113"/>
      <c r="F300" s="113"/>
      <c r="G300" s="113"/>
      <c r="H300" s="113"/>
      <c r="I300" s="113"/>
    </row>
    <row r="301" spans="2:9" s="112" customFormat="1" ht="12.75">
      <c r="B301" s="113"/>
      <c r="C301" s="113"/>
      <c r="D301" s="113"/>
      <c r="E301" s="113"/>
      <c r="F301" s="113"/>
      <c r="G301" s="113"/>
      <c r="H301" s="113"/>
      <c r="I301" s="113"/>
    </row>
    <row r="302" spans="2:9" s="112" customFormat="1" ht="12.75">
      <c r="B302" s="113"/>
      <c r="C302" s="113"/>
      <c r="D302" s="113"/>
      <c r="E302" s="113"/>
      <c r="F302" s="113"/>
      <c r="G302" s="113"/>
      <c r="H302" s="113"/>
      <c r="I302" s="113"/>
    </row>
    <row r="303" spans="2:9" s="112" customFormat="1" ht="12.75">
      <c r="B303" s="113"/>
      <c r="C303" s="113"/>
      <c r="D303" s="113"/>
      <c r="E303" s="113"/>
      <c r="F303" s="113"/>
      <c r="G303" s="113"/>
      <c r="H303" s="113"/>
      <c r="I303" s="113"/>
    </row>
    <row r="304" spans="2:9" s="112" customFormat="1" ht="12.75">
      <c r="B304" s="113"/>
      <c r="C304" s="113"/>
      <c r="D304" s="113"/>
      <c r="E304" s="113"/>
      <c r="F304" s="113"/>
      <c r="G304" s="113"/>
      <c r="H304" s="113"/>
      <c r="I304" s="113"/>
    </row>
    <row r="305" spans="2:9" s="112" customFormat="1" ht="12.75">
      <c r="B305" s="113"/>
      <c r="C305" s="113"/>
      <c r="D305" s="113"/>
      <c r="E305" s="113"/>
      <c r="F305" s="113"/>
      <c r="G305" s="113"/>
      <c r="H305" s="113"/>
      <c r="I305" s="113"/>
    </row>
    <row r="306" spans="2:9" s="112" customFormat="1" ht="12.75">
      <c r="B306" s="113"/>
      <c r="C306" s="113"/>
      <c r="D306" s="113"/>
      <c r="E306" s="113"/>
      <c r="F306" s="113"/>
      <c r="G306" s="113"/>
      <c r="H306" s="113"/>
      <c r="I306" s="113"/>
    </row>
    <row r="307" spans="2:9" s="112" customFormat="1" ht="12.75">
      <c r="B307" s="113"/>
      <c r="C307" s="113"/>
      <c r="D307" s="113"/>
      <c r="E307" s="113"/>
      <c r="F307" s="113"/>
      <c r="G307" s="113"/>
      <c r="H307" s="113"/>
      <c r="I307" s="113"/>
    </row>
    <row r="308" spans="2:9" s="112" customFormat="1" ht="12.75">
      <c r="B308" s="113"/>
      <c r="C308" s="113"/>
      <c r="D308" s="113"/>
      <c r="E308" s="113"/>
      <c r="F308" s="113"/>
      <c r="G308" s="113"/>
      <c r="H308" s="113"/>
      <c r="I308" s="113"/>
    </row>
    <row r="309" spans="2:9" s="112" customFormat="1" ht="12.75">
      <c r="B309" s="113"/>
      <c r="C309" s="113"/>
      <c r="D309" s="113"/>
      <c r="E309" s="113"/>
      <c r="F309" s="113"/>
      <c r="G309" s="113"/>
      <c r="H309" s="113"/>
      <c r="I309" s="113"/>
    </row>
    <row r="310" spans="2:9" s="112" customFormat="1" ht="12.75">
      <c r="B310" s="113"/>
      <c r="C310" s="113"/>
      <c r="D310" s="113"/>
      <c r="E310" s="113"/>
      <c r="F310" s="113"/>
      <c r="G310" s="113"/>
      <c r="H310" s="113"/>
      <c r="I310" s="113"/>
    </row>
    <row r="311" spans="2:9" s="112" customFormat="1" ht="12.75">
      <c r="B311" s="113"/>
      <c r="C311" s="113"/>
      <c r="D311" s="113"/>
      <c r="E311" s="113"/>
      <c r="F311" s="113"/>
      <c r="G311" s="113"/>
      <c r="H311" s="113"/>
      <c r="I311" s="113"/>
    </row>
    <row r="312" spans="2:9" s="112" customFormat="1" ht="12.75">
      <c r="B312" s="113"/>
      <c r="C312" s="113"/>
      <c r="D312" s="113"/>
      <c r="E312" s="113"/>
      <c r="F312" s="113"/>
      <c r="G312" s="113"/>
      <c r="H312" s="113"/>
      <c r="I312" s="113"/>
    </row>
    <row r="313" spans="2:9" s="112" customFormat="1" ht="12.75">
      <c r="B313" s="113"/>
      <c r="C313" s="113"/>
      <c r="D313" s="113"/>
      <c r="E313" s="113"/>
      <c r="F313" s="113"/>
      <c r="G313" s="113"/>
      <c r="H313" s="113"/>
      <c r="I313" s="113"/>
    </row>
    <row r="314" spans="2:9" s="112" customFormat="1" ht="12.75">
      <c r="B314" s="113"/>
      <c r="C314" s="113"/>
      <c r="D314" s="113"/>
      <c r="E314" s="113"/>
      <c r="F314" s="113"/>
      <c r="G314" s="113"/>
      <c r="H314" s="113"/>
      <c r="I314" s="113"/>
    </row>
    <row r="315" spans="2:9" s="112" customFormat="1" ht="12.75">
      <c r="B315" s="113"/>
      <c r="C315" s="113"/>
      <c r="D315" s="113"/>
      <c r="E315" s="113"/>
      <c r="F315" s="113"/>
      <c r="G315" s="113"/>
      <c r="H315" s="113"/>
      <c r="I315" s="113"/>
    </row>
    <row r="316" spans="2:9" s="112" customFormat="1" ht="12.75">
      <c r="B316" s="113"/>
      <c r="C316" s="113"/>
      <c r="D316" s="113"/>
      <c r="E316" s="113"/>
      <c r="F316" s="113"/>
      <c r="G316" s="113"/>
      <c r="H316" s="113"/>
      <c r="I316" s="113"/>
    </row>
    <row r="317" spans="2:9" s="112" customFormat="1" ht="12.75">
      <c r="B317" s="113"/>
      <c r="C317" s="113"/>
      <c r="D317" s="113"/>
      <c r="E317" s="113"/>
      <c r="F317" s="113"/>
      <c r="G317" s="113"/>
      <c r="H317" s="113"/>
      <c r="I317" s="113"/>
    </row>
    <row r="318" spans="2:9" s="112" customFormat="1" ht="12.75">
      <c r="B318" s="113"/>
      <c r="C318" s="113"/>
      <c r="D318" s="113"/>
      <c r="E318" s="113"/>
      <c r="F318" s="113"/>
      <c r="G318" s="113"/>
      <c r="H318" s="113"/>
      <c r="I318" s="113"/>
    </row>
    <row r="319" spans="2:9" s="112" customFormat="1" ht="12.75">
      <c r="B319" s="113"/>
      <c r="C319" s="113"/>
      <c r="D319" s="113"/>
      <c r="E319" s="113"/>
      <c r="F319" s="113"/>
      <c r="G319" s="113"/>
      <c r="H319" s="113"/>
      <c r="I319" s="113"/>
    </row>
    <row r="320" spans="2:9" s="112" customFormat="1" ht="12.75">
      <c r="B320" s="113"/>
      <c r="C320" s="113"/>
      <c r="D320" s="113"/>
      <c r="E320" s="113"/>
      <c r="F320" s="113"/>
      <c r="G320" s="113"/>
      <c r="H320" s="113"/>
      <c r="I320" s="113"/>
    </row>
    <row r="321" spans="2:9" s="112" customFormat="1" ht="12.75">
      <c r="B321" s="113"/>
      <c r="C321" s="113"/>
      <c r="D321" s="113"/>
      <c r="E321" s="113"/>
      <c r="F321" s="113"/>
      <c r="G321" s="113"/>
      <c r="H321" s="113"/>
      <c r="I321" s="113"/>
    </row>
    <row r="322" spans="2:9" s="112" customFormat="1" ht="12.75">
      <c r="B322" s="113"/>
      <c r="C322" s="113"/>
      <c r="D322" s="113"/>
      <c r="E322" s="113"/>
      <c r="F322" s="113"/>
      <c r="G322" s="113"/>
      <c r="H322" s="113"/>
      <c r="I322" s="113"/>
    </row>
    <row r="323" spans="2:9" s="112" customFormat="1" ht="12.75">
      <c r="B323" s="113"/>
      <c r="C323" s="113"/>
      <c r="D323" s="113"/>
      <c r="E323" s="113"/>
      <c r="F323" s="113"/>
      <c r="G323" s="113"/>
      <c r="H323" s="113"/>
      <c r="I323" s="113"/>
    </row>
    <row r="324" spans="2:9" s="112" customFormat="1" ht="12.75">
      <c r="B324" s="113"/>
      <c r="C324" s="113"/>
      <c r="D324" s="113"/>
      <c r="E324" s="113"/>
      <c r="F324" s="113"/>
      <c r="G324" s="113"/>
      <c r="H324" s="113"/>
      <c r="I324" s="113"/>
    </row>
    <row r="325" spans="2:9" s="112" customFormat="1" ht="12.75">
      <c r="B325" s="113"/>
      <c r="C325" s="113"/>
      <c r="D325" s="113"/>
      <c r="E325" s="113"/>
      <c r="F325" s="113"/>
      <c r="G325" s="113"/>
      <c r="H325" s="113"/>
      <c r="I325" s="113"/>
    </row>
    <row r="326" spans="2:9" s="112" customFormat="1" ht="12.75">
      <c r="B326" s="113"/>
      <c r="C326" s="113"/>
      <c r="D326" s="113"/>
      <c r="E326" s="113"/>
      <c r="F326" s="113"/>
      <c r="G326" s="113"/>
      <c r="H326" s="113"/>
      <c r="I326" s="113"/>
    </row>
    <row r="327" spans="2:9" s="112" customFormat="1" ht="12.75">
      <c r="B327" s="113"/>
      <c r="C327" s="113"/>
      <c r="D327" s="113"/>
      <c r="E327" s="113"/>
      <c r="F327" s="113"/>
      <c r="G327" s="113"/>
      <c r="H327" s="113"/>
      <c r="I327" s="113"/>
    </row>
    <row r="328" spans="2:9" s="112" customFormat="1" ht="12.75">
      <c r="B328" s="113"/>
      <c r="C328" s="113"/>
      <c r="D328" s="113"/>
      <c r="E328" s="113"/>
      <c r="F328" s="113"/>
      <c r="G328" s="113"/>
      <c r="H328" s="113"/>
      <c r="I328" s="113"/>
    </row>
    <row r="329" spans="2:9" s="112" customFormat="1" ht="12.75">
      <c r="B329" s="113"/>
      <c r="C329" s="113"/>
      <c r="D329" s="113"/>
      <c r="E329" s="113"/>
      <c r="F329" s="113"/>
      <c r="G329" s="113"/>
      <c r="H329" s="113"/>
      <c r="I329" s="113"/>
    </row>
    <row r="330" spans="2:9" s="112" customFormat="1" ht="12.75">
      <c r="B330" s="113"/>
      <c r="C330" s="113"/>
      <c r="D330" s="113"/>
      <c r="E330" s="113"/>
      <c r="F330" s="113"/>
      <c r="G330" s="113"/>
      <c r="H330" s="113"/>
      <c r="I330" s="113"/>
    </row>
    <row r="331" spans="2:9" s="112" customFormat="1" ht="12.75">
      <c r="B331" s="113"/>
      <c r="C331" s="113"/>
      <c r="D331" s="113"/>
      <c r="E331" s="113"/>
      <c r="F331" s="113"/>
      <c r="G331" s="113"/>
      <c r="H331" s="113"/>
      <c r="I331" s="113"/>
    </row>
    <row r="332" spans="2:9" s="112" customFormat="1" ht="12.75">
      <c r="B332" s="113"/>
      <c r="C332" s="113"/>
      <c r="D332" s="113"/>
      <c r="E332" s="113"/>
      <c r="F332" s="113"/>
      <c r="G332" s="113"/>
      <c r="H332" s="113"/>
      <c r="I332" s="113"/>
    </row>
    <row r="333" spans="2:9" s="112" customFormat="1" ht="12.75">
      <c r="B333" s="113"/>
      <c r="C333" s="113"/>
      <c r="D333" s="113"/>
      <c r="E333" s="113"/>
      <c r="F333" s="113"/>
      <c r="G333" s="113"/>
      <c r="H333" s="113"/>
      <c r="I333" s="113"/>
    </row>
    <row r="334" spans="2:9" s="112" customFormat="1" ht="12.75">
      <c r="B334" s="113"/>
      <c r="C334" s="113"/>
      <c r="D334" s="113"/>
      <c r="E334" s="113"/>
      <c r="F334" s="113"/>
      <c r="G334" s="113"/>
      <c r="H334" s="113"/>
      <c r="I334" s="113"/>
    </row>
    <row r="335" spans="2:9" s="112" customFormat="1" ht="12.75">
      <c r="B335" s="113"/>
      <c r="C335" s="113"/>
      <c r="D335" s="113"/>
      <c r="E335" s="113"/>
      <c r="F335" s="113"/>
      <c r="G335" s="113"/>
      <c r="H335" s="113"/>
      <c r="I335" s="113"/>
    </row>
    <row r="336" spans="2:9" s="112" customFormat="1" ht="12.75">
      <c r="B336" s="113"/>
      <c r="C336" s="113"/>
      <c r="D336" s="113"/>
      <c r="E336" s="113"/>
      <c r="F336" s="113"/>
      <c r="G336" s="113"/>
      <c r="H336" s="113"/>
      <c r="I336" s="113"/>
    </row>
    <row r="337" spans="2:9" s="112" customFormat="1" ht="12.75">
      <c r="B337" s="113"/>
      <c r="C337" s="113"/>
      <c r="D337" s="113"/>
      <c r="E337" s="113"/>
      <c r="F337" s="113"/>
      <c r="G337" s="113"/>
      <c r="H337" s="113"/>
      <c r="I337" s="113"/>
    </row>
    <row r="338" spans="2:9" s="112" customFormat="1" ht="12.75">
      <c r="B338" s="113"/>
      <c r="C338" s="113"/>
      <c r="D338" s="113"/>
      <c r="E338" s="113"/>
      <c r="F338" s="113"/>
      <c r="G338" s="113"/>
      <c r="H338" s="113"/>
      <c r="I338" s="113"/>
    </row>
    <row r="339" spans="2:9" s="112" customFormat="1" ht="12.75">
      <c r="B339" s="113"/>
      <c r="C339" s="113"/>
      <c r="D339" s="113"/>
      <c r="E339" s="113"/>
      <c r="F339" s="113"/>
      <c r="G339" s="113"/>
      <c r="H339" s="113"/>
      <c r="I339" s="113"/>
    </row>
    <row r="340" spans="2:9" s="112" customFormat="1" ht="12.75">
      <c r="B340" s="113"/>
      <c r="C340" s="113"/>
      <c r="D340" s="113"/>
      <c r="E340" s="113"/>
      <c r="F340" s="113"/>
      <c r="G340" s="113"/>
      <c r="H340" s="113"/>
      <c r="I340" s="113"/>
    </row>
    <row r="341" spans="2:9" s="112" customFormat="1" ht="12.75">
      <c r="B341" s="113"/>
      <c r="C341" s="113"/>
      <c r="D341" s="113"/>
      <c r="E341" s="113"/>
      <c r="F341" s="113"/>
      <c r="G341" s="113"/>
      <c r="H341" s="113"/>
      <c r="I341" s="113"/>
    </row>
    <row r="342" spans="2:9" s="112" customFormat="1" ht="12.75">
      <c r="B342" s="113"/>
      <c r="C342" s="113"/>
      <c r="D342" s="113"/>
      <c r="E342" s="113"/>
      <c r="F342" s="113"/>
      <c r="G342" s="113"/>
      <c r="H342" s="113"/>
      <c r="I342" s="113"/>
    </row>
    <row r="343" spans="2:9" s="112" customFormat="1" ht="12.75">
      <c r="B343" s="113"/>
      <c r="C343" s="113"/>
      <c r="D343" s="113"/>
      <c r="E343" s="113"/>
      <c r="F343" s="113"/>
      <c r="G343" s="113"/>
      <c r="H343" s="113"/>
      <c r="I343" s="113"/>
    </row>
    <row r="344" spans="2:9" s="112" customFormat="1" ht="12.75">
      <c r="B344" s="113"/>
      <c r="C344" s="113"/>
      <c r="D344" s="113"/>
      <c r="E344" s="113"/>
      <c r="F344" s="113"/>
      <c r="G344" s="113"/>
      <c r="H344" s="113"/>
      <c r="I344" s="113"/>
    </row>
    <row r="345" spans="2:9" s="112" customFormat="1" ht="12.75">
      <c r="B345" s="113"/>
      <c r="C345" s="113"/>
      <c r="D345" s="113"/>
      <c r="E345" s="113"/>
      <c r="F345" s="113"/>
      <c r="G345" s="113"/>
      <c r="H345" s="113"/>
      <c r="I345" s="113"/>
    </row>
    <row r="346" spans="2:9" s="112" customFormat="1" ht="12.75">
      <c r="B346" s="113"/>
      <c r="C346" s="113"/>
      <c r="D346" s="113"/>
      <c r="E346" s="113"/>
      <c r="F346" s="113"/>
      <c r="G346" s="113"/>
      <c r="H346" s="113"/>
      <c r="I346" s="113"/>
    </row>
    <row r="347" spans="2:9" s="112" customFormat="1" ht="12.75">
      <c r="B347" s="113"/>
      <c r="C347" s="113"/>
      <c r="D347" s="113"/>
      <c r="E347" s="113"/>
      <c r="F347" s="113"/>
      <c r="G347" s="113"/>
      <c r="H347" s="113"/>
      <c r="I347" s="113"/>
    </row>
    <row r="348" spans="2:9" s="112" customFormat="1" ht="12.75">
      <c r="B348" s="113"/>
      <c r="C348" s="113"/>
      <c r="D348" s="113"/>
      <c r="E348" s="113"/>
      <c r="F348" s="113"/>
      <c r="G348" s="113"/>
      <c r="H348" s="113"/>
      <c r="I348" s="113"/>
    </row>
    <row r="349" spans="2:9" s="112" customFormat="1" ht="12.75">
      <c r="B349" s="113"/>
      <c r="C349" s="113"/>
      <c r="D349" s="113"/>
      <c r="E349" s="113"/>
      <c r="F349" s="113"/>
      <c r="G349" s="113"/>
      <c r="H349" s="113"/>
      <c r="I349" s="113"/>
    </row>
    <row r="350" spans="2:9" s="112" customFormat="1" ht="12.75">
      <c r="B350" s="113"/>
      <c r="C350" s="113"/>
      <c r="D350" s="113"/>
      <c r="E350" s="113"/>
      <c r="F350" s="113"/>
      <c r="G350" s="113"/>
      <c r="H350" s="113"/>
      <c r="I350" s="113"/>
    </row>
    <row r="351" spans="2:9" s="112" customFormat="1" ht="12.75">
      <c r="B351" s="113"/>
      <c r="C351" s="113"/>
      <c r="D351" s="113"/>
      <c r="E351" s="113"/>
      <c r="F351" s="113"/>
      <c r="G351" s="113"/>
      <c r="H351" s="113"/>
      <c r="I351" s="113"/>
    </row>
    <row r="352" spans="2:9" s="112" customFormat="1" ht="12.75">
      <c r="B352" s="113"/>
      <c r="C352" s="113"/>
      <c r="D352" s="113"/>
      <c r="E352" s="113"/>
      <c r="F352" s="113"/>
      <c r="G352" s="113"/>
      <c r="H352" s="113"/>
      <c r="I352" s="113"/>
    </row>
    <row r="353" spans="2:9" s="112" customFormat="1" ht="12.75">
      <c r="B353" s="113"/>
      <c r="C353" s="113"/>
      <c r="D353" s="113"/>
      <c r="E353" s="113"/>
      <c r="F353" s="113"/>
      <c r="G353" s="113"/>
      <c r="H353" s="113"/>
      <c r="I353" s="113"/>
    </row>
    <row r="354" spans="2:9" s="112" customFormat="1" ht="12.75">
      <c r="B354" s="113"/>
      <c r="C354" s="113"/>
      <c r="D354" s="113"/>
      <c r="E354" s="113"/>
      <c r="F354" s="113"/>
      <c r="G354" s="113"/>
      <c r="H354" s="113"/>
      <c r="I354" s="113"/>
    </row>
    <row r="355" spans="2:9" s="112" customFormat="1" ht="12.75">
      <c r="B355" s="113"/>
      <c r="C355" s="113"/>
      <c r="D355" s="113"/>
      <c r="E355" s="113"/>
      <c r="F355" s="113"/>
      <c r="G355" s="113"/>
      <c r="H355" s="113"/>
      <c r="I355" s="113"/>
    </row>
    <row r="356" spans="2:9" s="112" customFormat="1" ht="12.75">
      <c r="B356" s="113"/>
      <c r="C356" s="113"/>
      <c r="D356" s="113"/>
      <c r="E356" s="113"/>
      <c r="F356" s="113"/>
      <c r="G356" s="113"/>
      <c r="H356" s="113"/>
      <c r="I356" s="113"/>
    </row>
    <row r="357" spans="2:9" s="112" customFormat="1" ht="12.75">
      <c r="B357" s="113"/>
      <c r="C357" s="113"/>
      <c r="D357" s="113"/>
      <c r="E357" s="113"/>
      <c r="F357" s="113"/>
      <c r="G357" s="113"/>
      <c r="H357" s="113"/>
      <c r="I357" s="113"/>
    </row>
    <row r="358" spans="2:9" s="112" customFormat="1" ht="12.75">
      <c r="B358" s="113"/>
      <c r="C358" s="113"/>
      <c r="D358" s="113"/>
      <c r="E358" s="113"/>
      <c r="F358" s="113"/>
      <c r="G358" s="113"/>
      <c r="H358" s="113"/>
      <c r="I358" s="113"/>
    </row>
    <row r="359" spans="2:9" s="112" customFormat="1" ht="12.75">
      <c r="B359" s="113"/>
      <c r="C359" s="113"/>
      <c r="D359" s="113"/>
      <c r="E359" s="113"/>
      <c r="F359" s="113"/>
      <c r="G359" s="113"/>
      <c r="H359" s="113"/>
      <c r="I359" s="113"/>
    </row>
    <row r="360" spans="2:9" s="112" customFormat="1" ht="12.75">
      <c r="B360" s="113"/>
      <c r="C360" s="113"/>
      <c r="D360" s="113"/>
      <c r="E360" s="113"/>
      <c r="F360" s="113"/>
      <c r="G360" s="113"/>
      <c r="H360" s="113"/>
      <c r="I360" s="113"/>
    </row>
    <row r="361" spans="2:9" s="112" customFormat="1" ht="12.75">
      <c r="B361" s="113"/>
      <c r="C361" s="113"/>
      <c r="D361" s="113"/>
      <c r="E361" s="113"/>
      <c r="F361" s="113"/>
      <c r="G361" s="113"/>
      <c r="H361" s="113"/>
      <c r="I361" s="113"/>
    </row>
    <row r="362" spans="2:9" s="112" customFormat="1" ht="12.75">
      <c r="B362" s="113"/>
      <c r="C362" s="113"/>
      <c r="D362" s="113"/>
      <c r="E362" s="113"/>
      <c r="F362" s="113"/>
      <c r="G362" s="113"/>
      <c r="H362" s="113"/>
      <c r="I362" s="113"/>
    </row>
    <row r="363" spans="2:9" s="112" customFormat="1" ht="12.75">
      <c r="B363" s="113"/>
      <c r="C363" s="113"/>
      <c r="D363" s="113"/>
      <c r="E363" s="113"/>
      <c r="F363" s="113"/>
      <c r="G363" s="113"/>
      <c r="H363" s="113"/>
      <c r="I363" s="113"/>
    </row>
    <row r="364" spans="2:9" s="112" customFormat="1" ht="12.75">
      <c r="B364" s="113"/>
      <c r="C364" s="113"/>
      <c r="D364" s="113"/>
      <c r="E364" s="113"/>
      <c r="F364" s="113"/>
      <c r="G364" s="113"/>
      <c r="H364" s="113"/>
      <c r="I364" s="113"/>
    </row>
    <row r="365" spans="2:9" s="112" customFormat="1" ht="12.75">
      <c r="B365" s="113"/>
      <c r="C365" s="113"/>
      <c r="D365" s="113"/>
      <c r="E365" s="113"/>
      <c r="F365" s="113"/>
      <c r="G365" s="113"/>
      <c r="H365" s="113"/>
      <c r="I365" s="113"/>
    </row>
    <row r="366" spans="2:9" s="112" customFormat="1" ht="12.75">
      <c r="B366" s="113"/>
      <c r="C366" s="113"/>
      <c r="D366" s="113"/>
      <c r="E366" s="113"/>
      <c r="F366" s="113"/>
      <c r="G366" s="113"/>
      <c r="H366" s="113"/>
      <c r="I366" s="113"/>
    </row>
    <row r="367" spans="2:9" s="112" customFormat="1" ht="12.75">
      <c r="B367" s="113"/>
      <c r="C367" s="113"/>
      <c r="D367" s="113"/>
      <c r="E367" s="113"/>
      <c r="F367" s="113"/>
      <c r="G367" s="113"/>
      <c r="H367" s="113"/>
      <c r="I367" s="113"/>
    </row>
    <row r="368" spans="2:9" s="112" customFormat="1" ht="12.75">
      <c r="B368" s="113"/>
      <c r="C368" s="113"/>
      <c r="D368" s="113"/>
      <c r="E368" s="113"/>
      <c r="F368" s="113"/>
      <c r="G368" s="113"/>
      <c r="H368" s="113"/>
      <c r="I368" s="113"/>
    </row>
    <row r="369" spans="2:9" s="112" customFormat="1" ht="12.75">
      <c r="B369" s="113"/>
      <c r="C369" s="113"/>
      <c r="D369" s="113"/>
      <c r="E369" s="113"/>
      <c r="F369" s="113"/>
      <c r="G369" s="113"/>
      <c r="H369" s="113"/>
      <c r="I369" s="113"/>
    </row>
    <row r="370" spans="2:9" s="112" customFormat="1" ht="12.75">
      <c r="B370" s="113"/>
      <c r="C370" s="113"/>
      <c r="D370" s="113"/>
      <c r="E370" s="113"/>
      <c r="F370" s="113"/>
      <c r="G370" s="113"/>
      <c r="H370" s="113"/>
      <c r="I370" s="113"/>
    </row>
    <row r="371" spans="2:9" s="112" customFormat="1" ht="12.75">
      <c r="B371" s="113"/>
      <c r="C371" s="113"/>
      <c r="D371" s="113"/>
      <c r="E371" s="113"/>
      <c r="F371" s="113"/>
      <c r="G371" s="113"/>
      <c r="H371" s="113"/>
      <c r="I371" s="113"/>
    </row>
    <row r="372" spans="2:9" s="112" customFormat="1" ht="12.75">
      <c r="B372" s="113"/>
      <c r="C372" s="113"/>
      <c r="D372" s="113"/>
      <c r="E372" s="113"/>
      <c r="F372" s="113"/>
      <c r="G372" s="113"/>
      <c r="H372" s="113"/>
      <c r="I372" s="113"/>
    </row>
    <row r="373" spans="2:9" s="112" customFormat="1" ht="12.75">
      <c r="B373" s="113"/>
      <c r="C373" s="113"/>
      <c r="D373" s="113"/>
      <c r="E373" s="113"/>
      <c r="F373" s="113"/>
      <c r="G373" s="113"/>
      <c r="H373" s="113"/>
      <c r="I373" s="113"/>
    </row>
    <row r="374" spans="2:9" s="112" customFormat="1" ht="12.75">
      <c r="B374" s="113"/>
      <c r="C374" s="113"/>
      <c r="D374" s="113"/>
      <c r="E374" s="113"/>
      <c r="F374" s="113"/>
      <c r="G374" s="113"/>
      <c r="H374" s="113"/>
      <c r="I374" s="113"/>
    </row>
    <row r="375" spans="2:9" s="112" customFormat="1" ht="12.75">
      <c r="B375" s="113"/>
      <c r="C375" s="113"/>
      <c r="D375" s="113"/>
      <c r="E375" s="113"/>
      <c r="F375" s="113"/>
      <c r="G375" s="113"/>
      <c r="H375" s="113"/>
      <c r="I375" s="113"/>
    </row>
    <row r="376" spans="2:9" s="112" customFormat="1" ht="12.75">
      <c r="B376" s="113"/>
      <c r="C376" s="113"/>
      <c r="D376" s="113"/>
      <c r="E376" s="113"/>
      <c r="F376" s="113"/>
      <c r="G376" s="113"/>
      <c r="H376" s="113"/>
      <c r="I376" s="113"/>
    </row>
    <row r="377" spans="2:9" s="112" customFormat="1" ht="12.75">
      <c r="B377" s="113"/>
      <c r="C377" s="113"/>
      <c r="D377" s="113"/>
      <c r="E377" s="113"/>
      <c r="F377" s="113"/>
      <c r="G377" s="113"/>
      <c r="H377" s="113"/>
      <c r="I377" s="113"/>
    </row>
    <row r="378" spans="2:9" s="112" customFormat="1" ht="12.75">
      <c r="B378" s="113"/>
      <c r="C378" s="113"/>
      <c r="D378" s="113"/>
      <c r="E378" s="113"/>
      <c r="F378" s="113"/>
      <c r="G378" s="113"/>
      <c r="H378" s="113"/>
      <c r="I378" s="113"/>
    </row>
    <row r="379" spans="2:9" s="112" customFormat="1" ht="12.75">
      <c r="B379" s="113"/>
      <c r="C379" s="113"/>
      <c r="D379" s="113"/>
      <c r="E379" s="113"/>
      <c r="F379" s="113"/>
      <c r="G379" s="113"/>
      <c r="H379" s="113"/>
      <c r="I379" s="113"/>
    </row>
    <row r="380" spans="2:9" s="112" customFormat="1" ht="12.75">
      <c r="B380" s="113"/>
      <c r="C380" s="113"/>
      <c r="D380" s="113"/>
      <c r="E380" s="113"/>
      <c r="F380" s="113"/>
      <c r="G380" s="113"/>
      <c r="H380" s="113"/>
      <c r="I380" s="113"/>
    </row>
    <row r="381" spans="2:9" s="112" customFormat="1" ht="12.75">
      <c r="B381" s="113"/>
      <c r="C381" s="113"/>
      <c r="D381" s="113"/>
      <c r="E381" s="113"/>
      <c r="F381" s="113"/>
      <c r="G381" s="113"/>
      <c r="H381" s="113"/>
      <c r="I381" s="113"/>
    </row>
    <row r="382" spans="2:9" s="112" customFormat="1" ht="12.75">
      <c r="B382" s="113"/>
      <c r="C382" s="113"/>
      <c r="D382" s="113"/>
      <c r="E382" s="113"/>
      <c r="F382" s="113"/>
      <c r="G382" s="113"/>
      <c r="H382" s="113"/>
      <c r="I382" s="113"/>
    </row>
    <row r="383" spans="2:9" s="112" customFormat="1" ht="12.75">
      <c r="B383" s="113"/>
      <c r="C383" s="113"/>
      <c r="D383" s="113"/>
      <c r="E383" s="113"/>
      <c r="F383" s="113"/>
      <c r="G383" s="113"/>
      <c r="H383" s="113"/>
      <c r="I383" s="113"/>
    </row>
    <row r="384" spans="2:9" s="112" customFormat="1" ht="12.75">
      <c r="B384" s="113"/>
      <c r="C384" s="113"/>
      <c r="D384" s="113"/>
      <c r="E384" s="113"/>
      <c r="F384" s="113"/>
      <c r="G384" s="113"/>
      <c r="H384" s="113"/>
      <c r="I384" s="113"/>
    </row>
    <row r="385" spans="2:9" s="112" customFormat="1" ht="12.75">
      <c r="B385" s="113"/>
      <c r="C385" s="113"/>
      <c r="D385" s="113"/>
      <c r="E385" s="113"/>
      <c r="F385" s="113"/>
      <c r="G385" s="113"/>
      <c r="H385" s="113"/>
      <c r="I385" s="113"/>
    </row>
    <row r="386" spans="2:9" s="112" customFormat="1" ht="12.75">
      <c r="B386" s="113"/>
      <c r="C386" s="113"/>
      <c r="D386" s="113"/>
      <c r="E386" s="113"/>
      <c r="F386" s="113"/>
      <c r="G386" s="113"/>
      <c r="H386" s="113"/>
      <c r="I386" s="113"/>
    </row>
    <row r="387" spans="2:9" s="112" customFormat="1" ht="12.75">
      <c r="B387" s="113"/>
      <c r="C387" s="113"/>
      <c r="D387" s="113"/>
      <c r="E387" s="113"/>
      <c r="F387" s="113"/>
      <c r="G387" s="113"/>
      <c r="H387" s="113"/>
      <c r="I387" s="113"/>
    </row>
    <row r="388" spans="2:9" s="112" customFormat="1" ht="12.75">
      <c r="B388" s="113"/>
      <c r="C388" s="113"/>
      <c r="D388" s="113"/>
      <c r="E388" s="113"/>
      <c r="F388" s="113"/>
      <c r="G388" s="113"/>
      <c r="H388" s="113"/>
      <c r="I388" s="113"/>
    </row>
    <row r="389" spans="2:9" s="112" customFormat="1" ht="12.75">
      <c r="B389" s="113"/>
      <c r="C389" s="113"/>
      <c r="D389" s="113"/>
      <c r="E389" s="113"/>
      <c r="F389" s="113"/>
      <c r="G389" s="113"/>
      <c r="H389" s="113"/>
      <c r="I389" s="113"/>
    </row>
    <row r="390" spans="2:9" s="112" customFormat="1" ht="12.75">
      <c r="B390" s="113"/>
      <c r="C390" s="113"/>
      <c r="D390" s="113"/>
      <c r="E390" s="113"/>
      <c r="F390" s="113"/>
      <c r="G390" s="113"/>
      <c r="H390" s="113"/>
      <c r="I390" s="113"/>
    </row>
    <row r="391" spans="2:9" s="112" customFormat="1" ht="12.75">
      <c r="B391" s="113"/>
      <c r="C391" s="113"/>
      <c r="D391" s="113"/>
      <c r="E391" s="113"/>
      <c r="F391" s="113"/>
      <c r="G391" s="113"/>
      <c r="H391" s="113"/>
      <c r="I391" s="113"/>
    </row>
    <row r="392" spans="2:9" s="112" customFormat="1" ht="12.75">
      <c r="B392" s="113"/>
      <c r="C392" s="113"/>
      <c r="D392" s="113"/>
      <c r="E392" s="113"/>
      <c r="F392" s="113"/>
      <c r="G392" s="113"/>
      <c r="H392" s="113"/>
      <c r="I392" s="113"/>
    </row>
    <row r="393" spans="2:9" s="112" customFormat="1" ht="12.75">
      <c r="B393" s="113"/>
      <c r="C393" s="113"/>
      <c r="D393" s="113"/>
      <c r="E393" s="113"/>
      <c r="F393" s="113"/>
      <c r="G393" s="113"/>
      <c r="H393" s="113"/>
      <c r="I393" s="113"/>
    </row>
    <row r="394" spans="2:9" s="112" customFormat="1" ht="12.75">
      <c r="B394" s="113"/>
      <c r="C394" s="113"/>
      <c r="D394" s="113"/>
      <c r="E394" s="113"/>
      <c r="F394" s="113"/>
      <c r="G394" s="113"/>
      <c r="H394" s="113"/>
      <c r="I394" s="113"/>
    </row>
    <row r="395" spans="2:9" s="112" customFormat="1" ht="12.75">
      <c r="B395" s="113"/>
      <c r="C395" s="113"/>
      <c r="D395" s="113"/>
      <c r="E395" s="113"/>
      <c r="F395" s="113"/>
      <c r="G395" s="113"/>
      <c r="H395" s="113"/>
      <c r="I395" s="113"/>
    </row>
    <row r="396" spans="2:9" s="112" customFormat="1" ht="12.75">
      <c r="B396" s="113"/>
      <c r="C396" s="113"/>
      <c r="D396" s="113"/>
      <c r="E396" s="113"/>
      <c r="F396" s="113"/>
      <c r="G396" s="113"/>
      <c r="H396" s="113"/>
      <c r="I396" s="113"/>
    </row>
    <row r="397" spans="2:9" s="112" customFormat="1" ht="12.75">
      <c r="B397" s="113"/>
      <c r="C397" s="113"/>
      <c r="D397" s="113"/>
      <c r="E397" s="113"/>
      <c r="F397" s="113"/>
      <c r="G397" s="113"/>
      <c r="H397" s="113"/>
      <c r="I397" s="113"/>
    </row>
    <row r="398" spans="2:9" s="112" customFormat="1" ht="12.75">
      <c r="B398" s="113"/>
      <c r="C398" s="113"/>
      <c r="D398" s="113"/>
      <c r="E398" s="113"/>
      <c r="F398" s="113"/>
      <c r="G398" s="113"/>
      <c r="H398" s="113"/>
      <c r="I398" s="113"/>
    </row>
    <row r="399" spans="2:9" s="112" customFormat="1" ht="12.75">
      <c r="B399" s="113"/>
      <c r="C399" s="113"/>
      <c r="D399" s="113"/>
      <c r="E399" s="113"/>
      <c r="F399" s="113"/>
      <c r="G399" s="113"/>
      <c r="H399" s="113"/>
      <c r="I399" s="113"/>
    </row>
    <row r="400" spans="2:9" s="112" customFormat="1" ht="12.75">
      <c r="B400" s="113"/>
      <c r="C400" s="113"/>
      <c r="D400" s="113"/>
      <c r="E400" s="113"/>
      <c r="F400" s="113"/>
      <c r="G400" s="113"/>
      <c r="H400" s="113"/>
      <c r="I400" s="113"/>
    </row>
    <row r="401" spans="2:9" s="112" customFormat="1" ht="12.75">
      <c r="B401" s="113"/>
      <c r="C401" s="113"/>
      <c r="D401" s="113"/>
      <c r="E401" s="113"/>
      <c r="F401" s="113"/>
      <c r="G401" s="113"/>
      <c r="H401" s="113"/>
      <c r="I401" s="113"/>
    </row>
    <row r="402" spans="2:9" s="112" customFormat="1" ht="12.75">
      <c r="B402" s="113"/>
      <c r="C402" s="113"/>
      <c r="D402" s="113"/>
      <c r="E402" s="113"/>
      <c r="F402" s="113"/>
      <c r="G402" s="113"/>
      <c r="H402" s="113"/>
      <c r="I402" s="113"/>
    </row>
    <row r="403" spans="2:9" s="112" customFormat="1" ht="12.75">
      <c r="B403" s="113"/>
      <c r="C403" s="113"/>
      <c r="D403" s="113"/>
      <c r="E403" s="113"/>
      <c r="F403" s="113"/>
      <c r="G403" s="113"/>
      <c r="H403" s="113"/>
      <c r="I403" s="113"/>
    </row>
    <row r="404" spans="2:9" s="112" customFormat="1" ht="12.75">
      <c r="B404" s="113"/>
      <c r="C404" s="113"/>
      <c r="D404" s="113"/>
      <c r="E404" s="113"/>
      <c r="F404" s="113"/>
      <c r="G404" s="113"/>
      <c r="H404" s="113"/>
      <c r="I404" s="113"/>
    </row>
    <row r="405" spans="2:9" s="112" customFormat="1" ht="12.75">
      <c r="B405" s="113"/>
      <c r="C405" s="113"/>
      <c r="D405" s="113"/>
      <c r="E405" s="113"/>
      <c r="F405" s="113"/>
      <c r="G405" s="113"/>
      <c r="H405" s="113"/>
      <c r="I405" s="113"/>
    </row>
    <row r="406" spans="2:9" s="112" customFormat="1" ht="12.75">
      <c r="B406" s="113"/>
      <c r="C406" s="113"/>
      <c r="D406" s="113"/>
      <c r="E406" s="113"/>
      <c r="F406" s="113"/>
      <c r="G406" s="113"/>
      <c r="H406" s="113"/>
      <c r="I406" s="113"/>
    </row>
    <row r="407" spans="2:9" s="112" customFormat="1" ht="12.75">
      <c r="B407" s="113"/>
      <c r="C407" s="113"/>
      <c r="D407" s="113"/>
      <c r="E407" s="113"/>
      <c r="F407" s="113"/>
      <c r="G407" s="113"/>
      <c r="H407" s="113"/>
      <c r="I407" s="113"/>
    </row>
    <row r="408" spans="2:9" s="112" customFormat="1" ht="12.75">
      <c r="B408" s="113"/>
      <c r="C408" s="113"/>
      <c r="D408" s="113"/>
      <c r="E408" s="113"/>
      <c r="F408" s="113"/>
      <c r="G408" s="113"/>
      <c r="H408" s="113"/>
      <c r="I408" s="113"/>
    </row>
    <row r="409" spans="2:9" s="112" customFormat="1" ht="12.75">
      <c r="B409" s="113"/>
      <c r="C409" s="113"/>
      <c r="D409" s="113"/>
      <c r="E409" s="113"/>
      <c r="F409" s="113"/>
      <c r="G409" s="113"/>
      <c r="H409" s="113"/>
      <c r="I409" s="113"/>
    </row>
    <row r="410" spans="2:9" s="112" customFormat="1" ht="12.75">
      <c r="B410" s="113"/>
      <c r="C410" s="113"/>
      <c r="D410" s="113"/>
      <c r="E410" s="113"/>
      <c r="F410" s="113"/>
      <c r="G410" s="113"/>
      <c r="H410" s="113"/>
      <c r="I410" s="113"/>
    </row>
    <row r="411" spans="2:9" s="112" customFormat="1" ht="12.75">
      <c r="B411" s="113"/>
      <c r="C411" s="113"/>
      <c r="D411" s="113"/>
      <c r="E411" s="113"/>
      <c r="F411" s="113"/>
      <c r="G411" s="113"/>
      <c r="H411" s="113"/>
      <c r="I411" s="113"/>
    </row>
    <row r="412" spans="2:9" s="112" customFormat="1" ht="12.75">
      <c r="B412" s="113"/>
      <c r="C412" s="113"/>
      <c r="D412" s="113"/>
      <c r="E412" s="113"/>
      <c r="F412" s="113"/>
      <c r="G412" s="113"/>
      <c r="H412" s="113"/>
      <c r="I412" s="113"/>
    </row>
    <row r="413" spans="2:9" s="112" customFormat="1" ht="12.75">
      <c r="B413" s="113"/>
      <c r="C413" s="113"/>
      <c r="D413" s="113"/>
      <c r="E413" s="113"/>
      <c r="F413" s="113"/>
      <c r="G413" s="113"/>
      <c r="H413" s="113"/>
      <c r="I413" s="113"/>
    </row>
    <row r="414" spans="2:9" s="112" customFormat="1" ht="12.75">
      <c r="B414" s="113"/>
      <c r="C414" s="113"/>
      <c r="D414" s="113"/>
      <c r="E414" s="113"/>
      <c r="F414" s="113"/>
      <c r="G414" s="113"/>
      <c r="H414" s="113"/>
      <c r="I414" s="113"/>
    </row>
    <row r="415" spans="2:9" s="112" customFormat="1" ht="12.75">
      <c r="B415" s="113"/>
      <c r="C415" s="113"/>
      <c r="D415" s="113"/>
      <c r="E415" s="113"/>
      <c r="F415" s="113"/>
      <c r="G415" s="113"/>
      <c r="H415" s="113"/>
      <c r="I415" s="113"/>
    </row>
    <row r="416" spans="2:9" s="112" customFormat="1" ht="12.75">
      <c r="B416" s="113"/>
      <c r="C416" s="113"/>
      <c r="D416" s="113"/>
      <c r="E416" s="113"/>
      <c r="F416" s="113"/>
      <c r="G416" s="113"/>
      <c r="H416" s="113"/>
      <c r="I416" s="113"/>
    </row>
    <row r="417" spans="2:9" s="112" customFormat="1" ht="12.75">
      <c r="B417" s="113"/>
      <c r="C417" s="113"/>
      <c r="D417" s="113"/>
      <c r="E417" s="113"/>
      <c r="F417" s="113"/>
      <c r="G417" s="113"/>
      <c r="H417" s="113"/>
      <c r="I417" s="113"/>
    </row>
    <row r="418" spans="2:9" s="112" customFormat="1" ht="12.75">
      <c r="B418" s="113"/>
      <c r="C418" s="113"/>
      <c r="D418" s="113"/>
      <c r="E418" s="113"/>
      <c r="F418" s="113"/>
      <c r="G418" s="113"/>
      <c r="H418" s="113"/>
      <c r="I418" s="113"/>
    </row>
    <row r="419" spans="2:9" s="112" customFormat="1" ht="12.75">
      <c r="B419" s="113"/>
      <c r="C419" s="113"/>
      <c r="D419" s="113"/>
      <c r="E419" s="113"/>
      <c r="F419" s="113"/>
      <c r="G419" s="113"/>
      <c r="H419" s="113"/>
      <c r="I419" s="113"/>
    </row>
    <row r="420" spans="2:9" s="112" customFormat="1" ht="12.75">
      <c r="B420" s="113"/>
      <c r="C420" s="113"/>
      <c r="D420" s="113"/>
      <c r="E420" s="113"/>
      <c r="F420" s="113"/>
      <c r="G420" s="113"/>
      <c r="H420" s="113"/>
      <c r="I420" s="113"/>
    </row>
    <row r="421" spans="2:9" s="112" customFormat="1" ht="12.75">
      <c r="B421" s="113"/>
      <c r="C421" s="113"/>
      <c r="D421" s="113"/>
      <c r="E421" s="113"/>
      <c r="F421" s="113"/>
      <c r="G421" s="113"/>
      <c r="H421" s="113"/>
      <c r="I421" s="113"/>
    </row>
    <row r="422" spans="2:9" s="112" customFormat="1" ht="12.75">
      <c r="B422" s="113"/>
      <c r="C422" s="113"/>
      <c r="D422" s="113"/>
      <c r="E422" s="113"/>
      <c r="F422" s="113"/>
      <c r="G422" s="113"/>
      <c r="H422" s="113"/>
      <c r="I422" s="113"/>
    </row>
    <row r="423" spans="2:9" s="112" customFormat="1" ht="12.75">
      <c r="B423" s="113"/>
      <c r="C423" s="113"/>
      <c r="D423" s="113"/>
      <c r="E423" s="113"/>
      <c r="F423" s="113"/>
      <c r="G423" s="113"/>
      <c r="H423" s="113"/>
      <c r="I423" s="113"/>
    </row>
    <row r="424" spans="2:9" s="112" customFormat="1" ht="12.75">
      <c r="B424" s="113"/>
      <c r="C424" s="113"/>
      <c r="D424" s="113"/>
      <c r="E424" s="113"/>
      <c r="F424" s="113"/>
      <c r="G424" s="113"/>
      <c r="H424" s="113"/>
      <c r="I424" s="113"/>
    </row>
    <row r="425" spans="2:9" s="112" customFormat="1" ht="12.75">
      <c r="B425" s="113"/>
      <c r="C425" s="113"/>
      <c r="D425" s="113"/>
      <c r="E425" s="113"/>
      <c r="F425" s="113"/>
      <c r="G425" s="113"/>
      <c r="H425" s="113"/>
      <c r="I425" s="113"/>
    </row>
    <row r="426" spans="2:9" s="112" customFormat="1" ht="12.75">
      <c r="B426" s="113"/>
      <c r="C426" s="113"/>
      <c r="D426" s="113"/>
      <c r="E426" s="113"/>
      <c r="F426" s="113"/>
      <c r="G426" s="113"/>
      <c r="H426" s="113"/>
      <c r="I426" s="113"/>
    </row>
    <row r="427" spans="2:9" s="112" customFormat="1" ht="12.75">
      <c r="B427" s="113"/>
      <c r="C427" s="113"/>
      <c r="D427" s="113"/>
      <c r="E427" s="113"/>
      <c r="F427" s="113"/>
      <c r="G427" s="113"/>
      <c r="H427" s="113"/>
      <c r="I427" s="113"/>
    </row>
    <row r="428" spans="2:9" s="112" customFormat="1" ht="12.75">
      <c r="B428" s="113"/>
      <c r="C428" s="113"/>
      <c r="D428" s="113"/>
      <c r="E428" s="113"/>
      <c r="F428" s="113"/>
      <c r="G428" s="113"/>
      <c r="H428" s="113"/>
      <c r="I428" s="113"/>
    </row>
    <row r="429" spans="2:9" s="112" customFormat="1" ht="12.75">
      <c r="B429" s="113"/>
      <c r="C429" s="113"/>
      <c r="D429" s="113"/>
      <c r="E429" s="113"/>
      <c r="F429" s="113"/>
      <c r="G429" s="113"/>
      <c r="H429" s="113"/>
      <c r="I429" s="113"/>
    </row>
    <row r="430" spans="2:9" s="112" customFormat="1" ht="12.75">
      <c r="B430" s="113"/>
      <c r="C430" s="113"/>
      <c r="D430" s="113"/>
      <c r="E430" s="113"/>
      <c r="F430" s="113"/>
      <c r="G430" s="113"/>
      <c r="H430" s="113"/>
      <c r="I430" s="113"/>
    </row>
    <row r="431" spans="2:9" s="112" customFormat="1" ht="12.75">
      <c r="B431" s="113"/>
      <c r="C431" s="113"/>
      <c r="D431" s="113"/>
      <c r="E431" s="113"/>
      <c r="F431" s="113"/>
      <c r="G431" s="113"/>
      <c r="H431" s="113"/>
      <c r="I431" s="113"/>
    </row>
    <row r="432" spans="2:9" s="112" customFormat="1" ht="12.75">
      <c r="B432" s="113"/>
      <c r="C432" s="113"/>
      <c r="D432" s="113"/>
      <c r="E432" s="113"/>
      <c r="F432" s="113"/>
      <c r="G432" s="113"/>
      <c r="H432" s="113"/>
      <c r="I432" s="113"/>
    </row>
    <row r="433" spans="2:9" s="112" customFormat="1" ht="12.75">
      <c r="B433" s="113"/>
      <c r="C433" s="113"/>
      <c r="D433" s="113"/>
      <c r="E433" s="113"/>
      <c r="F433" s="113"/>
      <c r="G433" s="113"/>
      <c r="H433" s="113"/>
      <c r="I433" s="113"/>
    </row>
    <row r="434" spans="2:9" s="112" customFormat="1" ht="12.75">
      <c r="B434" s="113"/>
      <c r="C434" s="113"/>
      <c r="D434" s="113"/>
      <c r="E434" s="113"/>
      <c r="F434" s="113"/>
      <c r="G434" s="113"/>
      <c r="H434" s="113"/>
      <c r="I434" s="113"/>
    </row>
    <row r="435" spans="2:9" s="112" customFormat="1" ht="12.75">
      <c r="B435" s="113"/>
      <c r="C435" s="113"/>
      <c r="D435" s="113"/>
      <c r="E435" s="113"/>
      <c r="F435" s="113"/>
      <c r="G435" s="113"/>
      <c r="H435" s="113"/>
      <c r="I435" s="113"/>
    </row>
    <row r="436" spans="2:9" s="112" customFormat="1" ht="12.75">
      <c r="B436" s="113"/>
      <c r="C436" s="113"/>
      <c r="D436" s="113"/>
      <c r="E436" s="113"/>
      <c r="F436" s="113"/>
      <c r="G436" s="113"/>
      <c r="H436" s="113"/>
      <c r="I436" s="113"/>
    </row>
    <row r="437" spans="2:9" s="112" customFormat="1" ht="12.75">
      <c r="B437" s="113"/>
      <c r="C437" s="113"/>
      <c r="D437" s="113"/>
      <c r="E437" s="113"/>
      <c r="F437" s="113"/>
      <c r="G437" s="113"/>
      <c r="H437" s="113"/>
      <c r="I437" s="113"/>
    </row>
    <row r="438" spans="2:9" s="112" customFormat="1" ht="12.75">
      <c r="B438" s="113"/>
      <c r="C438" s="113"/>
      <c r="D438" s="113"/>
      <c r="E438" s="113"/>
      <c r="F438" s="113"/>
      <c r="G438" s="113"/>
      <c r="H438" s="113"/>
      <c r="I438" s="113"/>
    </row>
    <row r="439" spans="2:9" s="112" customFormat="1" ht="12.75">
      <c r="B439" s="113"/>
      <c r="C439" s="113"/>
      <c r="D439" s="113"/>
      <c r="E439" s="113"/>
      <c r="F439" s="113"/>
      <c r="G439" s="113"/>
      <c r="H439" s="113"/>
      <c r="I439" s="113"/>
    </row>
    <row r="440" spans="2:9" s="112" customFormat="1" ht="12.75">
      <c r="B440" s="113"/>
      <c r="C440" s="113"/>
      <c r="D440" s="113"/>
      <c r="E440" s="113"/>
      <c r="F440" s="113"/>
      <c r="G440" s="113"/>
      <c r="H440" s="113"/>
      <c r="I440" s="113"/>
    </row>
    <row r="441" spans="2:9" s="112" customFormat="1" ht="12.75">
      <c r="B441" s="113"/>
      <c r="C441" s="113"/>
      <c r="D441" s="113"/>
      <c r="E441" s="113"/>
      <c r="F441" s="113"/>
      <c r="G441" s="113"/>
      <c r="H441" s="113"/>
      <c r="I441" s="113"/>
    </row>
    <row r="442" spans="2:9" s="112" customFormat="1" ht="12.75">
      <c r="B442" s="113"/>
      <c r="C442" s="113"/>
      <c r="D442" s="113"/>
      <c r="E442" s="113"/>
      <c r="F442" s="113"/>
      <c r="G442" s="113"/>
      <c r="H442" s="113"/>
      <c r="I442" s="113"/>
    </row>
    <row r="443" spans="2:9" s="112" customFormat="1" ht="12.75">
      <c r="B443" s="113"/>
      <c r="C443" s="113"/>
      <c r="D443" s="113"/>
      <c r="E443" s="113"/>
      <c r="F443" s="113"/>
      <c r="G443" s="113"/>
      <c r="H443" s="113"/>
      <c r="I443" s="113"/>
    </row>
    <row r="444" spans="2:9" s="112" customFormat="1" ht="12.75">
      <c r="B444" s="113"/>
      <c r="C444" s="113"/>
      <c r="D444" s="113"/>
      <c r="E444" s="113"/>
      <c r="F444" s="113"/>
      <c r="G444" s="113"/>
      <c r="H444" s="113"/>
      <c r="I444" s="113"/>
    </row>
    <row r="445" spans="2:9" s="112" customFormat="1" ht="12.75">
      <c r="B445" s="113"/>
      <c r="C445" s="113"/>
      <c r="D445" s="113"/>
      <c r="E445" s="113"/>
      <c r="F445" s="113"/>
      <c r="G445" s="113"/>
      <c r="H445" s="113"/>
      <c r="I445" s="113"/>
    </row>
    <row r="446" spans="2:9" s="112" customFormat="1" ht="12.75">
      <c r="B446" s="113"/>
      <c r="C446" s="113"/>
      <c r="D446" s="113"/>
      <c r="E446" s="113"/>
      <c r="F446" s="113"/>
      <c r="G446" s="113"/>
      <c r="H446" s="113"/>
      <c r="I446" s="113"/>
    </row>
    <row r="447" spans="2:9" s="112" customFormat="1" ht="12.75">
      <c r="B447" s="113"/>
      <c r="C447" s="113"/>
      <c r="D447" s="113"/>
      <c r="E447" s="113"/>
      <c r="F447" s="113"/>
      <c r="G447" s="113"/>
      <c r="H447" s="113"/>
      <c r="I447" s="113"/>
    </row>
    <row r="448" spans="2:9" s="112" customFormat="1" ht="12.75">
      <c r="B448" s="113"/>
      <c r="C448" s="113"/>
      <c r="D448" s="113"/>
      <c r="E448" s="113"/>
      <c r="F448" s="113"/>
      <c r="G448" s="113"/>
      <c r="H448" s="113"/>
      <c r="I448" s="113"/>
    </row>
    <row r="449" spans="2:9" s="112" customFormat="1" ht="12.75">
      <c r="B449" s="113"/>
      <c r="C449" s="113"/>
      <c r="D449" s="113"/>
      <c r="E449" s="113"/>
      <c r="F449" s="113"/>
      <c r="G449" s="113"/>
      <c r="H449" s="113"/>
      <c r="I449" s="113"/>
    </row>
    <row r="450" spans="2:9" s="112" customFormat="1" ht="12.75">
      <c r="B450" s="113"/>
      <c r="C450" s="113"/>
      <c r="D450" s="113"/>
      <c r="E450" s="113"/>
      <c r="F450" s="113"/>
      <c r="G450" s="113"/>
      <c r="H450" s="113"/>
      <c r="I450" s="113"/>
    </row>
    <row r="451" spans="2:9" s="112" customFormat="1" ht="12.75">
      <c r="B451" s="113"/>
      <c r="C451" s="113"/>
      <c r="D451" s="113"/>
      <c r="E451" s="113"/>
      <c r="F451" s="113"/>
      <c r="G451" s="113"/>
      <c r="H451" s="113"/>
      <c r="I451" s="113"/>
    </row>
    <row r="452" spans="2:9" s="112" customFormat="1" ht="12.75">
      <c r="B452" s="113"/>
      <c r="C452" s="113"/>
      <c r="D452" s="113"/>
      <c r="E452" s="113"/>
      <c r="F452" s="113"/>
      <c r="G452" s="113"/>
      <c r="H452" s="113"/>
      <c r="I452" s="113"/>
    </row>
    <row r="453" spans="2:9" s="112" customFormat="1" ht="12.75">
      <c r="B453" s="113"/>
      <c r="C453" s="113"/>
      <c r="D453" s="113"/>
      <c r="E453" s="113"/>
      <c r="F453" s="113"/>
      <c r="G453" s="113"/>
      <c r="H453" s="113"/>
      <c r="I453" s="113"/>
    </row>
    <row r="454" spans="2:9" s="112" customFormat="1" ht="12.75">
      <c r="B454" s="113"/>
      <c r="C454" s="113"/>
      <c r="D454" s="113"/>
      <c r="E454" s="113"/>
      <c r="F454" s="113"/>
      <c r="G454" s="113"/>
      <c r="H454" s="113"/>
      <c r="I454" s="113"/>
    </row>
    <row r="455" spans="2:9" s="112" customFormat="1" ht="12.75">
      <c r="B455" s="113"/>
      <c r="C455" s="113"/>
      <c r="D455" s="113"/>
      <c r="E455" s="113"/>
      <c r="F455" s="113"/>
      <c r="G455" s="113"/>
      <c r="H455" s="113"/>
      <c r="I455" s="113"/>
    </row>
    <row r="456" spans="2:9" s="112" customFormat="1" ht="12.75">
      <c r="B456" s="113"/>
      <c r="C456" s="113"/>
      <c r="D456" s="113"/>
      <c r="E456" s="113"/>
      <c r="F456" s="113"/>
      <c r="G456" s="113"/>
      <c r="H456" s="113"/>
      <c r="I456" s="113"/>
    </row>
    <row r="457" spans="2:9" s="112" customFormat="1" ht="12.75">
      <c r="B457" s="113"/>
      <c r="C457" s="113"/>
      <c r="D457" s="113"/>
      <c r="E457" s="113"/>
      <c r="F457" s="113"/>
      <c r="G457" s="113"/>
      <c r="H457" s="113"/>
      <c r="I457" s="113"/>
    </row>
    <row r="458" spans="2:9" s="112" customFormat="1" ht="12.75">
      <c r="B458" s="113"/>
      <c r="C458" s="113"/>
      <c r="D458" s="113"/>
      <c r="E458" s="113"/>
      <c r="F458" s="113"/>
      <c r="G458" s="113"/>
      <c r="H458" s="113"/>
      <c r="I458" s="113"/>
    </row>
    <row r="459" spans="2:9" s="112" customFormat="1" ht="12.75">
      <c r="B459" s="113"/>
      <c r="C459" s="113"/>
      <c r="D459" s="113"/>
      <c r="E459" s="113"/>
      <c r="F459" s="113"/>
      <c r="G459" s="113"/>
      <c r="H459" s="113"/>
      <c r="I459" s="113"/>
    </row>
    <row r="460" spans="2:9" s="112" customFormat="1" ht="12.75">
      <c r="B460" s="113"/>
      <c r="C460" s="113"/>
      <c r="D460" s="113"/>
      <c r="E460" s="113"/>
      <c r="F460" s="113"/>
      <c r="G460" s="113"/>
      <c r="H460" s="113"/>
      <c r="I460" s="113"/>
    </row>
    <row r="461" spans="2:9" s="112" customFormat="1" ht="12.75">
      <c r="B461" s="113"/>
      <c r="C461" s="113"/>
      <c r="D461" s="113"/>
      <c r="E461" s="113"/>
      <c r="F461" s="113"/>
      <c r="G461" s="113"/>
      <c r="H461" s="113"/>
      <c r="I461" s="113"/>
    </row>
    <row r="462" spans="2:9" s="112" customFormat="1" ht="12.75">
      <c r="B462" s="113"/>
      <c r="C462" s="113"/>
      <c r="D462" s="113"/>
      <c r="E462" s="113"/>
      <c r="F462" s="113"/>
      <c r="G462" s="113"/>
      <c r="H462" s="113"/>
      <c r="I462" s="113"/>
    </row>
    <row r="463" spans="2:9" s="112" customFormat="1" ht="12.75">
      <c r="B463" s="113"/>
      <c r="C463" s="113"/>
      <c r="D463" s="113"/>
      <c r="E463" s="113"/>
      <c r="F463" s="113"/>
      <c r="G463" s="113"/>
      <c r="H463" s="113"/>
      <c r="I463" s="113"/>
    </row>
    <row r="464" spans="2:9" s="112" customFormat="1" ht="12.75">
      <c r="B464" s="113"/>
      <c r="C464" s="113"/>
      <c r="D464" s="113"/>
      <c r="E464" s="113"/>
      <c r="F464" s="113"/>
      <c r="G464" s="113"/>
      <c r="H464" s="113"/>
      <c r="I464" s="113"/>
    </row>
    <row r="465" spans="2:9" s="112" customFormat="1" ht="12.75">
      <c r="B465" s="113"/>
      <c r="C465" s="113"/>
      <c r="D465" s="113"/>
      <c r="E465" s="113"/>
      <c r="F465" s="113"/>
      <c r="G465" s="113"/>
      <c r="H465" s="113"/>
      <c r="I465" s="113"/>
    </row>
    <row r="466" spans="2:9" s="112" customFormat="1" ht="12.75">
      <c r="B466" s="113"/>
      <c r="C466" s="113"/>
      <c r="D466" s="113"/>
      <c r="E466" s="113"/>
      <c r="F466" s="113"/>
      <c r="G466" s="113"/>
      <c r="H466" s="113"/>
      <c r="I466" s="113"/>
    </row>
    <row r="467" spans="2:9" s="112" customFormat="1" ht="12.75">
      <c r="B467" s="113"/>
      <c r="C467" s="113"/>
      <c r="D467" s="113"/>
      <c r="E467" s="113"/>
      <c r="F467" s="113"/>
      <c r="G467" s="113"/>
      <c r="H467" s="113"/>
      <c r="I467" s="113"/>
    </row>
    <row r="468" spans="2:9" s="112" customFormat="1" ht="12.75">
      <c r="B468" s="113"/>
      <c r="C468" s="113"/>
      <c r="D468" s="113"/>
      <c r="E468" s="113"/>
      <c r="F468" s="113"/>
      <c r="G468" s="113"/>
      <c r="H468" s="113"/>
      <c r="I468" s="113"/>
    </row>
    <row r="469" spans="2:9" s="112" customFormat="1" ht="12.75">
      <c r="B469" s="113"/>
      <c r="C469" s="113"/>
      <c r="D469" s="113"/>
      <c r="E469" s="113"/>
      <c r="F469" s="113"/>
      <c r="G469" s="113"/>
      <c r="H469" s="113"/>
      <c r="I469" s="113"/>
    </row>
    <row r="470" spans="2:9" s="112" customFormat="1" ht="12.75">
      <c r="B470" s="113"/>
      <c r="C470" s="113"/>
      <c r="D470" s="113"/>
      <c r="E470" s="113"/>
      <c r="F470" s="113"/>
      <c r="G470" s="113"/>
      <c r="H470" s="113"/>
      <c r="I470" s="113"/>
    </row>
    <row r="471" spans="2:9" s="112" customFormat="1" ht="12.75">
      <c r="B471" s="113"/>
      <c r="C471" s="113"/>
      <c r="D471" s="113"/>
      <c r="E471" s="113"/>
      <c r="F471" s="113"/>
      <c r="G471" s="113"/>
      <c r="H471" s="113"/>
      <c r="I471" s="113"/>
    </row>
    <row r="472" spans="2:9" s="112" customFormat="1" ht="12.75">
      <c r="B472" s="113"/>
      <c r="C472" s="113"/>
      <c r="D472" s="113"/>
      <c r="E472" s="113"/>
      <c r="F472" s="113"/>
      <c r="G472" s="113"/>
      <c r="H472" s="113"/>
      <c r="I472" s="113"/>
    </row>
    <row r="473" spans="2:9" s="112" customFormat="1" ht="12.75">
      <c r="B473" s="113"/>
      <c r="C473" s="113"/>
      <c r="D473" s="113"/>
      <c r="E473" s="113"/>
      <c r="F473" s="113"/>
      <c r="G473" s="113"/>
      <c r="H473" s="113"/>
      <c r="I473" s="113"/>
    </row>
    <row r="474" spans="2:9" s="112" customFormat="1" ht="12.75">
      <c r="B474" s="113"/>
      <c r="C474" s="113"/>
      <c r="D474" s="113"/>
      <c r="E474" s="113"/>
      <c r="F474" s="113"/>
      <c r="G474" s="113"/>
      <c r="H474" s="113"/>
      <c r="I474" s="113"/>
    </row>
    <row r="475" spans="2:9" s="112" customFormat="1" ht="12.75">
      <c r="B475" s="113"/>
      <c r="C475" s="113"/>
      <c r="D475" s="113"/>
      <c r="E475" s="113"/>
      <c r="F475" s="113"/>
      <c r="G475" s="113"/>
      <c r="H475" s="113"/>
      <c r="I475" s="113"/>
    </row>
    <row r="476" spans="2:9" s="112" customFormat="1" ht="12.75">
      <c r="B476" s="113"/>
      <c r="C476" s="113"/>
      <c r="D476" s="113"/>
      <c r="E476" s="113"/>
      <c r="F476" s="113"/>
      <c r="G476" s="113"/>
      <c r="H476" s="113"/>
      <c r="I476" s="113"/>
    </row>
    <row r="477" spans="2:9" s="112" customFormat="1" ht="12.75">
      <c r="B477" s="113"/>
      <c r="C477" s="113"/>
      <c r="D477" s="113"/>
      <c r="E477" s="113"/>
      <c r="F477" s="113"/>
      <c r="G477" s="113"/>
      <c r="H477" s="113"/>
      <c r="I477" s="113"/>
    </row>
    <row r="478" spans="2:9" s="112" customFormat="1" ht="12.75">
      <c r="B478" s="113"/>
      <c r="C478" s="113"/>
      <c r="D478" s="113"/>
      <c r="E478" s="113"/>
      <c r="F478" s="113"/>
      <c r="G478" s="113"/>
      <c r="H478" s="113"/>
      <c r="I478" s="113"/>
    </row>
    <row r="479" spans="2:9" s="112" customFormat="1" ht="12.75">
      <c r="B479" s="113"/>
      <c r="C479" s="113"/>
      <c r="D479" s="113"/>
      <c r="E479" s="113"/>
      <c r="F479" s="113"/>
      <c r="G479" s="113"/>
      <c r="H479" s="113"/>
      <c r="I479" s="113"/>
    </row>
    <row r="480" spans="2:9" s="112" customFormat="1" ht="12.75">
      <c r="B480" s="113"/>
      <c r="C480" s="113"/>
      <c r="D480" s="113"/>
      <c r="E480" s="113"/>
      <c r="F480" s="113"/>
      <c r="G480" s="113"/>
      <c r="H480" s="113"/>
      <c r="I480" s="113"/>
    </row>
    <row r="481" spans="2:9" s="112" customFormat="1" ht="12.75">
      <c r="B481" s="113"/>
      <c r="C481" s="113"/>
      <c r="D481" s="113"/>
      <c r="E481" s="113"/>
      <c r="F481" s="113"/>
      <c r="G481" s="113"/>
      <c r="H481" s="113"/>
      <c r="I481" s="113"/>
    </row>
    <row r="482" spans="2:9" s="112" customFormat="1" ht="12.75">
      <c r="B482" s="113"/>
      <c r="C482" s="113"/>
      <c r="D482" s="113"/>
      <c r="E482" s="113"/>
      <c r="F482" s="113"/>
      <c r="G482" s="113"/>
      <c r="H482" s="113"/>
      <c r="I482" s="113"/>
    </row>
    <row r="483" spans="2:9" s="112" customFormat="1" ht="12.75">
      <c r="B483" s="113"/>
      <c r="C483" s="113"/>
      <c r="D483" s="113"/>
      <c r="E483" s="113"/>
      <c r="F483" s="113"/>
      <c r="G483" s="113"/>
      <c r="H483" s="113"/>
      <c r="I483" s="113"/>
    </row>
    <row r="484" spans="2:9" s="112" customFormat="1" ht="12.75">
      <c r="B484" s="113"/>
      <c r="C484" s="113"/>
      <c r="D484" s="113"/>
      <c r="E484" s="113"/>
      <c r="F484" s="113"/>
      <c r="G484" s="113"/>
      <c r="H484" s="113"/>
      <c r="I484" s="113"/>
    </row>
    <row r="485" spans="2:9" s="112" customFormat="1" ht="12.75">
      <c r="B485" s="113"/>
      <c r="C485" s="113"/>
      <c r="D485" s="113"/>
      <c r="E485" s="113"/>
      <c r="F485" s="113"/>
      <c r="G485" s="113"/>
      <c r="H485" s="113"/>
      <c r="I485" s="113"/>
    </row>
    <row r="486" spans="2:9" s="112" customFormat="1" ht="12.75">
      <c r="B486" s="113"/>
      <c r="C486" s="113"/>
      <c r="D486" s="113"/>
      <c r="E486" s="113"/>
      <c r="F486" s="113"/>
      <c r="G486" s="113"/>
      <c r="H486" s="113"/>
      <c r="I486" s="113"/>
    </row>
    <row r="487" spans="2:9" s="112" customFormat="1" ht="12.75">
      <c r="B487" s="113"/>
      <c r="C487" s="113"/>
      <c r="D487" s="113"/>
      <c r="E487" s="113"/>
      <c r="F487" s="113"/>
      <c r="G487" s="113"/>
      <c r="H487" s="113"/>
      <c r="I487" s="113"/>
    </row>
    <row r="488" spans="2:9" s="112" customFormat="1" ht="12.75">
      <c r="B488" s="113"/>
      <c r="C488" s="113"/>
      <c r="D488" s="113"/>
      <c r="E488" s="113"/>
      <c r="F488" s="113"/>
      <c r="G488" s="113"/>
      <c r="H488" s="113"/>
      <c r="I488" s="113"/>
    </row>
    <row r="489" spans="2:9" s="112" customFormat="1" ht="12.75">
      <c r="B489" s="113"/>
      <c r="C489" s="113"/>
      <c r="D489" s="113"/>
      <c r="E489" s="113"/>
      <c r="F489" s="113"/>
      <c r="G489" s="113"/>
      <c r="H489" s="113"/>
      <c r="I489" s="113"/>
    </row>
    <row r="490" spans="2:9" s="112" customFormat="1" ht="12.75">
      <c r="B490" s="113"/>
      <c r="C490" s="113"/>
      <c r="D490" s="113"/>
      <c r="E490" s="113"/>
      <c r="F490" s="113"/>
      <c r="G490" s="113"/>
      <c r="H490" s="113"/>
      <c r="I490" s="113"/>
    </row>
    <row r="491" spans="2:9" s="112" customFormat="1" ht="12.75">
      <c r="B491" s="113"/>
      <c r="C491" s="113"/>
      <c r="D491" s="113"/>
      <c r="E491" s="113"/>
      <c r="F491" s="113"/>
      <c r="G491" s="113"/>
      <c r="H491" s="113"/>
      <c r="I491" s="113"/>
    </row>
    <row r="492" spans="2:9" s="112" customFormat="1" ht="12.75">
      <c r="B492" s="113"/>
      <c r="C492" s="113"/>
      <c r="D492" s="113"/>
      <c r="E492" s="113"/>
      <c r="F492" s="113"/>
      <c r="G492" s="113"/>
      <c r="H492" s="113"/>
      <c r="I492" s="113"/>
    </row>
    <row r="493" spans="2:9" s="112" customFormat="1" ht="12.75">
      <c r="B493" s="113"/>
      <c r="C493" s="113"/>
      <c r="D493" s="113"/>
      <c r="E493" s="113"/>
      <c r="F493" s="113"/>
      <c r="G493" s="113"/>
      <c r="H493" s="113"/>
      <c r="I493" s="113"/>
    </row>
    <row r="494" spans="2:9" s="112" customFormat="1" ht="12.75">
      <c r="B494" s="113"/>
      <c r="C494" s="113"/>
      <c r="D494" s="113"/>
      <c r="E494" s="113"/>
      <c r="F494" s="113"/>
      <c r="G494" s="113"/>
      <c r="H494" s="113"/>
      <c r="I494" s="113"/>
    </row>
    <row r="495" spans="2:9" s="112" customFormat="1" ht="12.75">
      <c r="B495" s="113"/>
      <c r="C495" s="113"/>
      <c r="D495" s="113"/>
      <c r="E495" s="113"/>
      <c r="F495" s="113"/>
      <c r="G495" s="113"/>
      <c r="H495" s="113"/>
      <c r="I495" s="113"/>
    </row>
    <row r="496" spans="2:9" s="112" customFormat="1" ht="12.75">
      <c r="B496" s="113"/>
      <c r="C496" s="113"/>
      <c r="D496" s="113"/>
      <c r="E496" s="113"/>
      <c r="F496" s="113"/>
      <c r="G496" s="113"/>
      <c r="H496" s="113"/>
      <c r="I496" s="113"/>
    </row>
    <row r="497" spans="2:9" s="112" customFormat="1" ht="12.75">
      <c r="B497" s="113"/>
      <c r="C497" s="113"/>
      <c r="D497" s="113"/>
      <c r="E497" s="113"/>
      <c r="F497" s="113"/>
      <c r="G497" s="113"/>
      <c r="H497" s="113"/>
      <c r="I497" s="113"/>
    </row>
    <row r="498" spans="2:9" s="112" customFormat="1" ht="12.75">
      <c r="B498" s="113"/>
      <c r="C498" s="113"/>
      <c r="D498" s="113"/>
      <c r="E498" s="113"/>
      <c r="F498" s="113"/>
      <c r="G498" s="113"/>
      <c r="H498" s="113"/>
      <c r="I498" s="113"/>
    </row>
    <row r="499" spans="2:9" s="112" customFormat="1" ht="12.75">
      <c r="B499" s="113"/>
      <c r="C499" s="113"/>
      <c r="D499" s="113"/>
      <c r="E499" s="113"/>
      <c r="F499" s="113"/>
      <c r="G499" s="113"/>
      <c r="H499" s="113"/>
      <c r="I499" s="113"/>
    </row>
    <row r="500" spans="2:9" s="112" customFormat="1" ht="12.75">
      <c r="B500" s="113"/>
      <c r="C500" s="113"/>
      <c r="D500" s="113"/>
      <c r="E500" s="113"/>
      <c r="F500" s="113"/>
      <c r="G500" s="113"/>
      <c r="H500" s="113"/>
      <c r="I500" s="113"/>
    </row>
    <row r="501" spans="2:9" s="112" customFormat="1" ht="12.75">
      <c r="B501" s="113"/>
      <c r="C501" s="113"/>
      <c r="D501" s="113"/>
      <c r="E501" s="113"/>
      <c r="F501" s="113"/>
      <c r="G501" s="113"/>
      <c r="H501" s="113"/>
      <c r="I501" s="113"/>
    </row>
    <row r="502" spans="2:9" s="112" customFormat="1" ht="12.75">
      <c r="B502" s="113"/>
      <c r="C502" s="113"/>
      <c r="D502" s="113"/>
      <c r="E502" s="113"/>
      <c r="F502" s="113"/>
      <c r="G502" s="113"/>
      <c r="H502" s="113"/>
      <c r="I502" s="113"/>
    </row>
    <row r="503" spans="2:9" s="112" customFormat="1" ht="12.75">
      <c r="B503" s="113"/>
      <c r="C503" s="113"/>
      <c r="D503" s="113"/>
      <c r="E503" s="113"/>
      <c r="F503" s="113"/>
      <c r="G503" s="113"/>
      <c r="H503" s="113"/>
      <c r="I503" s="113"/>
    </row>
    <row r="504" spans="2:9" s="112" customFormat="1" ht="12.75">
      <c r="B504" s="113"/>
      <c r="C504" s="113"/>
      <c r="D504" s="113"/>
      <c r="E504" s="113"/>
      <c r="F504" s="113"/>
      <c r="G504" s="113"/>
      <c r="H504" s="113"/>
      <c r="I504" s="113"/>
    </row>
    <row r="505" spans="2:9" s="112" customFormat="1" ht="12.75">
      <c r="B505" s="113"/>
      <c r="C505" s="113"/>
      <c r="D505" s="113"/>
      <c r="E505" s="113"/>
      <c r="F505" s="113"/>
      <c r="G505" s="113"/>
      <c r="H505" s="113"/>
      <c r="I505" s="113"/>
    </row>
    <row r="506" spans="2:9" s="112" customFormat="1" ht="12.75">
      <c r="B506" s="113"/>
      <c r="C506" s="113"/>
      <c r="D506" s="113"/>
      <c r="E506" s="113"/>
      <c r="F506" s="113"/>
      <c r="G506" s="113"/>
      <c r="H506" s="113"/>
      <c r="I506" s="113"/>
    </row>
    <row r="507" spans="2:9" s="112" customFormat="1" ht="12.75">
      <c r="B507" s="113"/>
      <c r="C507" s="113"/>
      <c r="D507" s="113"/>
      <c r="E507" s="113"/>
      <c r="F507" s="113"/>
      <c r="G507" s="113"/>
      <c r="H507" s="113"/>
      <c r="I507" s="113"/>
    </row>
    <row r="508" spans="2:9" s="112" customFormat="1" ht="12.75">
      <c r="B508" s="113"/>
      <c r="C508" s="113"/>
      <c r="D508" s="113"/>
      <c r="E508" s="113"/>
      <c r="F508" s="113"/>
      <c r="G508" s="113"/>
      <c r="H508" s="113"/>
      <c r="I508" s="113"/>
    </row>
    <row r="509" spans="2:9" s="112" customFormat="1" ht="12.75">
      <c r="B509" s="113"/>
      <c r="C509" s="113"/>
      <c r="D509" s="113"/>
      <c r="E509" s="113"/>
      <c r="F509" s="113"/>
      <c r="G509" s="113"/>
      <c r="H509" s="113"/>
      <c r="I509" s="113"/>
    </row>
    <row r="510" spans="2:9" s="112" customFormat="1" ht="12.75">
      <c r="B510" s="113"/>
      <c r="C510" s="113"/>
      <c r="D510" s="113"/>
      <c r="E510" s="113"/>
      <c r="F510" s="113"/>
      <c r="G510" s="113"/>
      <c r="H510" s="113"/>
      <c r="I510" s="113"/>
    </row>
    <row r="511" spans="2:9" s="112" customFormat="1" ht="12.75">
      <c r="B511" s="113"/>
      <c r="C511" s="113"/>
      <c r="D511" s="113"/>
      <c r="E511" s="113"/>
      <c r="F511" s="113"/>
      <c r="G511" s="113"/>
      <c r="H511" s="113"/>
      <c r="I511" s="113"/>
    </row>
    <row r="512" spans="2:9" s="112" customFormat="1" ht="12.75">
      <c r="B512" s="113"/>
      <c r="C512" s="113"/>
      <c r="D512" s="113"/>
      <c r="E512" s="113"/>
      <c r="F512" s="113"/>
      <c r="G512" s="113"/>
      <c r="H512" s="113"/>
      <c r="I512" s="113"/>
    </row>
    <row r="513" spans="2:9" s="112" customFormat="1" ht="12.75">
      <c r="B513" s="113"/>
      <c r="C513" s="113"/>
      <c r="D513" s="113"/>
      <c r="E513" s="113"/>
      <c r="F513" s="113"/>
      <c r="G513" s="113"/>
      <c r="H513" s="113"/>
      <c r="I513" s="113"/>
    </row>
    <row r="514" spans="2:9" s="112" customFormat="1" ht="12.75">
      <c r="B514" s="113"/>
      <c r="C514" s="113"/>
      <c r="D514" s="113"/>
      <c r="E514" s="113"/>
      <c r="F514" s="113"/>
      <c r="G514" s="113"/>
      <c r="H514" s="113"/>
      <c r="I514" s="113"/>
    </row>
    <row r="515" spans="2:9" s="112" customFormat="1" ht="12.75">
      <c r="B515" s="113"/>
      <c r="C515" s="113"/>
      <c r="D515" s="113"/>
      <c r="E515" s="113"/>
      <c r="F515" s="113"/>
      <c r="G515" s="113"/>
      <c r="H515" s="113"/>
      <c r="I515" s="113"/>
    </row>
    <row r="516" spans="2:9" s="112" customFormat="1" ht="12.75">
      <c r="B516" s="113"/>
      <c r="C516" s="113"/>
      <c r="D516" s="113"/>
      <c r="E516" s="113"/>
      <c r="F516" s="113"/>
      <c r="G516" s="113"/>
      <c r="H516" s="113"/>
      <c r="I516" s="113"/>
    </row>
    <row r="517" spans="2:9" s="112" customFormat="1" ht="12.75">
      <c r="B517" s="113"/>
      <c r="C517" s="113"/>
      <c r="D517" s="113"/>
      <c r="E517" s="113"/>
      <c r="F517" s="113"/>
      <c r="G517" s="113"/>
      <c r="H517" s="113"/>
      <c r="I517" s="113"/>
    </row>
    <row r="518" spans="2:9" s="112" customFormat="1" ht="12.75">
      <c r="B518" s="113"/>
      <c r="C518" s="113"/>
      <c r="D518" s="113"/>
      <c r="E518" s="113"/>
      <c r="F518" s="113"/>
      <c r="G518" s="113"/>
      <c r="H518" s="113"/>
      <c r="I518" s="113"/>
    </row>
    <row r="519" spans="2:9" s="112" customFormat="1" ht="12.75">
      <c r="B519" s="113"/>
      <c r="C519" s="113"/>
      <c r="D519" s="113"/>
      <c r="E519" s="113"/>
      <c r="F519" s="113"/>
      <c r="G519" s="113"/>
      <c r="H519" s="113"/>
      <c r="I519" s="113"/>
    </row>
    <row r="520" spans="2:9" s="112" customFormat="1" ht="12.75">
      <c r="B520" s="113"/>
      <c r="C520" s="113"/>
      <c r="D520" s="113"/>
      <c r="E520" s="113"/>
      <c r="F520" s="113"/>
      <c r="G520" s="113"/>
      <c r="H520" s="113"/>
      <c r="I520" s="113"/>
    </row>
    <row r="521" spans="2:9" s="112" customFormat="1" ht="12.75">
      <c r="B521" s="113"/>
      <c r="C521" s="113"/>
      <c r="D521" s="113"/>
      <c r="E521" s="113"/>
      <c r="F521" s="113"/>
      <c r="G521" s="113"/>
      <c r="H521" s="113"/>
      <c r="I521" s="113"/>
    </row>
    <row r="522" spans="2:9" s="112" customFormat="1" ht="12.75">
      <c r="B522" s="113"/>
      <c r="C522" s="113"/>
      <c r="D522" s="113"/>
      <c r="E522" s="113"/>
      <c r="F522" s="113"/>
      <c r="G522" s="113"/>
      <c r="H522" s="113"/>
      <c r="I522" s="113"/>
    </row>
    <row r="523" spans="2:9" s="112" customFormat="1" ht="12.75">
      <c r="B523" s="113"/>
      <c r="C523" s="113"/>
      <c r="D523" s="113"/>
      <c r="E523" s="113"/>
      <c r="F523" s="113"/>
      <c r="G523" s="113"/>
      <c r="H523" s="113"/>
      <c r="I523" s="113"/>
    </row>
    <row r="524" spans="2:9" s="112" customFormat="1" ht="12.75">
      <c r="B524" s="113"/>
      <c r="C524" s="113"/>
      <c r="D524" s="113"/>
      <c r="E524" s="113"/>
      <c r="F524" s="113"/>
      <c r="G524" s="113"/>
      <c r="H524" s="113"/>
      <c r="I524" s="113"/>
    </row>
    <row r="525" spans="2:9" s="112" customFormat="1" ht="12.75">
      <c r="B525" s="113"/>
      <c r="C525" s="113"/>
      <c r="D525" s="113"/>
      <c r="E525" s="113"/>
      <c r="F525" s="113"/>
      <c r="G525" s="113"/>
      <c r="H525" s="113"/>
      <c r="I525" s="113"/>
    </row>
    <row r="526" spans="2:9" s="112" customFormat="1" ht="12.75">
      <c r="B526" s="113"/>
      <c r="C526" s="113"/>
      <c r="D526" s="113"/>
      <c r="E526" s="113"/>
      <c r="F526" s="113"/>
      <c r="G526" s="113"/>
      <c r="H526" s="113"/>
      <c r="I526" s="113"/>
    </row>
    <row r="527" spans="2:9" s="112" customFormat="1" ht="12.75">
      <c r="B527" s="113"/>
      <c r="C527" s="113"/>
      <c r="D527" s="113"/>
      <c r="E527" s="113"/>
      <c r="F527" s="113"/>
      <c r="G527" s="113"/>
      <c r="H527" s="113"/>
      <c r="I527" s="113"/>
    </row>
    <row r="528" spans="2:9" s="112" customFormat="1" ht="12.75">
      <c r="B528" s="113"/>
      <c r="C528" s="113"/>
      <c r="D528" s="113"/>
      <c r="E528" s="113"/>
      <c r="F528" s="113"/>
      <c r="G528" s="113"/>
      <c r="H528" s="113"/>
      <c r="I528" s="113"/>
    </row>
    <row r="529" spans="2:9" s="112" customFormat="1" ht="12.75">
      <c r="B529" s="113"/>
      <c r="C529" s="113"/>
      <c r="D529" s="113"/>
      <c r="E529" s="113"/>
      <c r="F529" s="113"/>
      <c r="G529" s="113"/>
      <c r="H529" s="113"/>
      <c r="I529" s="113"/>
    </row>
    <row r="530" spans="2:9" s="112" customFormat="1" ht="12.75">
      <c r="B530" s="113"/>
      <c r="C530" s="113"/>
      <c r="D530" s="113"/>
      <c r="E530" s="113"/>
      <c r="F530" s="113"/>
      <c r="G530" s="113"/>
      <c r="H530" s="113"/>
      <c r="I530" s="113"/>
    </row>
    <row r="531" spans="2:9" s="112" customFormat="1" ht="12.75">
      <c r="B531" s="113"/>
      <c r="C531" s="113"/>
      <c r="D531" s="113"/>
      <c r="E531" s="113"/>
      <c r="F531" s="113"/>
      <c r="G531" s="113"/>
      <c r="H531" s="113"/>
      <c r="I531" s="113"/>
    </row>
    <row r="532" spans="2:9" s="112" customFormat="1" ht="12.75">
      <c r="B532" s="113"/>
      <c r="C532" s="113"/>
      <c r="D532" s="113"/>
      <c r="E532" s="113"/>
      <c r="F532" s="113"/>
      <c r="G532" s="113"/>
      <c r="H532" s="113"/>
      <c r="I532" s="113"/>
    </row>
    <row r="533" spans="2:9" s="112" customFormat="1" ht="12.75">
      <c r="B533" s="113"/>
      <c r="C533" s="113"/>
      <c r="D533" s="113"/>
      <c r="E533" s="113"/>
      <c r="F533" s="113"/>
      <c r="G533" s="113"/>
      <c r="H533" s="113"/>
      <c r="I533" s="113"/>
    </row>
    <row r="534" spans="2:9" s="112" customFormat="1" ht="12.75">
      <c r="B534" s="113"/>
      <c r="C534" s="113"/>
      <c r="D534" s="113"/>
      <c r="E534" s="113"/>
      <c r="F534" s="113"/>
      <c r="G534" s="113"/>
      <c r="H534" s="113"/>
      <c r="I534" s="113"/>
    </row>
    <row r="535" spans="2:9" s="112" customFormat="1" ht="12.75">
      <c r="B535" s="113"/>
      <c r="C535" s="113"/>
      <c r="D535" s="113"/>
      <c r="E535" s="113"/>
      <c r="F535" s="113"/>
      <c r="G535" s="113"/>
      <c r="H535" s="113"/>
      <c r="I535" s="113"/>
    </row>
    <row r="536" spans="2:9" s="112" customFormat="1" ht="12.75">
      <c r="B536" s="113"/>
      <c r="C536" s="113"/>
      <c r="D536" s="113"/>
      <c r="E536" s="113"/>
      <c r="F536" s="113"/>
      <c r="G536" s="113"/>
      <c r="H536" s="113"/>
      <c r="I536" s="113"/>
    </row>
    <row r="537" spans="2:9" s="112" customFormat="1" ht="12.75">
      <c r="B537" s="113"/>
      <c r="C537" s="113"/>
      <c r="D537" s="113"/>
      <c r="E537" s="113"/>
      <c r="F537" s="113"/>
      <c r="G537" s="113"/>
      <c r="H537" s="113"/>
      <c r="I537" s="113"/>
    </row>
    <row r="538" spans="2:9" s="112" customFormat="1" ht="12.75">
      <c r="B538" s="113"/>
      <c r="C538" s="113"/>
      <c r="D538" s="113"/>
      <c r="E538" s="113"/>
      <c r="F538" s="113"/>
      <c r="G538" s="113"/>
      <c r="H538" s="113"/>
      <c r="I538" s="113"/>
    </row>
    <row r="539" spans="2:9" s="112" customFormat="1" ht="12.75">
      <c r="B539" s="113"/>
      <c r="C539" s="113"/>
      <c r="D539" s="113"/>
      <c r="E539" s="113"/>
      <c r="F539" s="113"/>
      <c r="G539" s="113"/>
      <c r="H539" s="113"/>
      <c r="I539" s="113"/>
    </row>
    <row r="540" spans="2:9" s="112" customFormat="1" ht="12.75">
      <c r="B540" s="113"/>
      <c r="C540" s="113"/>
      <c r="D540" s="113"/>
      <c r="E540" s="113"/>
      <c r="F540" s="113"/>
      <c r="G540" s="113"/>
      <c r="H540" s="113"/>
      <c r="I540" s="113"/>
    </row>
    <row r="541" spans="2:9" s="112" customFormat="1" ht="12.75">
      <c r="B541" s="113"/>
      <c r="C541" s="113"/>
      <c r="D541" s="113"/>
      <c r="E541" s="113"/>
      <c r="F541" s="113"/>
      <c r="G541" s="113"/>
      <c r="H541" s="113"/>
      <c r="I541" s="113"/>
    </row>
    <row r="542" spans="2:9" s="112" customFormat="1" ht="12.75">
      <c r="B542" s="113"/>
      <c r="C542" s="113"/>
      <c r="D542" s="113"/>
      <c r="E542" s="113"/>
      <c r="F542" s="113"/>
      <c r="G542" s="113"/>
      <c r="H542" s="113"/>
      <c r="I542" s="113"/>
    </row>
    <row r="543" spans="2:9" s="112" customFormat="1" ht="12.75">
      <c r="B543" s="113"/>
      <c r="C543" s="113"/>
      <c r="D543" s="113"/>
      <c r="E543" s="113"/>
      <c r="F543" s="113"/>
      <c r="G543" s="113"/>
      <c r="H543" s="113"/>
      <c r="I543" s="113"/>
    </row>
    <row r="544" spans="2:9" s="112" customFormat="1" ht="12.75">
      <c r="B544" s="113"/>
      <c r="C544" s="113"/>
      <c r="D544" s="113"/>
      <c r="E544" s="113"/>
      <c r="F544" s="113"/>
      <c r="G544" s="113"/>
      <c r="H544" s="113"/>
      <c r="I544" s="113"/>
    </row>
    <row r="545" spans="2:9" s="112" customFormat="1" ht="12.75">
      <c r="B545" s="113"/>
      <c r="C545" s="113"/>
      <c r="D545" s="113"/>
      <c r="E545" s="113"/>
      <c r="F545" s="113"/>
      <c r="G545" s="113"/>
      <c r="H545" s="113"/>
      <c r="I545" s="113"/>
    </row>
    <row r="546" spans="2:9" s="112" customFormat="1" ht="12.75">
      <c r="B546" s="113"/>
      <c r="C546" s="113"/>
      <c r="D546" s="113"/>
      <c r="E546" s="113"/>
      <c r="F546" s="113"/>
      <c r="G546" s="113"/>
      <c r="H546" s="113"/>
      <c r="I546" s="113"/>
    </row>
    <row r="547" spans="2:9" s="112" customFormat="1" ht="12.75">
      <c r="B547" s="113"/>
      <c r="C547" s="113"/>
      <c r="D547" s="113"/>
      <c r="E547" s="113"/>
      <c r="F547" s="113"/>
      <c r="G547" s="113"/>
      <c r="H547" s="113"/>
      <c r="I547" s="113"/>
    </row>
    <row r="548" spans="2:9" s="112" customFormat="1" ht="12.75">
      <c r="B548" s="113"/>
      <c r="C548" s="113"/>
      <c r="D548" s="113"/>
      <c r="E548" s="113"/>
      <c r="F548" s="113"/>
      <c r="G548" s="113"/>
      <c r="H548" s="113"/>
      <c r="I548" s="113"/>
    </row>
    <row r="549" spans="2:9" s="112" customFormat="1" ht="12.75">
      <c r="B549" s="113"/>
      <c r="C549" s="113"/>
      <c r="D549" s="113"/>
      <c r="E549" s="113"/>
      <c r="F549" s="113"/>
      <c r="G549" s="113"/>
      <c r="H549" s="113"/>
      <c r="I549" s="113"/>
    </row>
    <row r="550" spans="2:9" s="112" customFormat="1" ht="12.75">
      <c r="B550" s="113"/>
      <c r="C550" s="113"/>
      <c r="D550" s="113"/>
      <c r="E550" s="113"/>
      <c r="F550" s="113"/>
      <c r="G550" s="113"/>
      <c r="H550" s="113"/>
      <c r="I550" s="113"/>
    </row>
    <row r="551" spans="2:9" s="112" customFormat="1" ht="12.75">
      <c r="B551" s="113"/>
      <c r="C551" s="113"/>
      <c r="D551" s="113"/>
      <c r="E551" s="113"/>
      <c r="F551" s="113"/>
      <c r="G551" s="113"/>
      <c r="H551" s="113"/>
      <c r="I551" s="113"/>
    </row>
    <row r="552" spans="2:9" s="112" customFormat="1" ht="12.75">
      <c r="B552" s="113"/>
      <c r="C552" s="113"/>
      <c r="D552" s="113"/>
      <c r="E552" s="113"/>
      <c r="F552" s="113"/>
      <c r="G552" s="113"/>
      <c r="H552" s="113"/>
      <c r="I552" s="113"/>
    </row>
    <row r="553" spans="2:9" s="112" customFormat="1" ht="12.75">
      <c r="B553" s="113"/>
      <c r="C553" s="113"/>
      <c r="D553" s="113"/>
      <c r="E553" s="113"/>
      <c r="F553" s="113"/>
      <c r="G553" s="113"/>
      <c r="H553" s="113"/>
      <c r="I553" s="113"/>
    </row>
    <row r="554" spans="2:9" s="112" customFormat="1" ht="12.75">
      <c r="B554" s="113"/>
      <c r="C554" s="113"/>
      <c r="D554" s="113"/>
      <c r="E554" s="113"/>
      <c r="F554" s="113"/>
      <c r="G554" s="113"/>
      <c r="H554" s="113"/>
      <c r="I554" s="113"/>
    </row>
    <row r="555" spans="2:9" s="112" customFormat="1" ht="12.75">
      <c r="B555" s="113"/>
      <c r="C555" s="113"/>
      <c r="D555" s="113"/>
      <c r="E555" s="113"/>
      <c r="F555" s="113"/>
      <c r="G555" s="113"/>
      <c r="H555" s="113"/>
      <c r="I555" s="113"/>
    </row>
    <row r="556" spans="2:9" s="112" customFormat="1" ht="12.75">
      <c r="B556" s="113"/>
      <c r="C556" s="113"/>
      <c r="D556" s="113"/>
      <c r="E556" s="113"/>
      <c r="F556" s="113"/>
      <c r="G556" s="113"/>
      <c r="H556" s="113"/>
      <c r="I556" s="113"/>
    </row>
    <row r="557" spans="2:9" s="112" customFormat="1" ht="12.75">
      <c r="B557" s="113"/>
      <c r="C557" s="113"/>
      <c r="D557" s="113"/>
      <c r="E557" s="113"/>
      <c r="F557" s="113"/>
      <c r="G557" s="113"/>
      <c r="H557" s="113"/>
      <c r="I557" s="113"/>
    </row>
    <row r="558" spans="2:9" s="112" customFormat="1" ht="12.75">
      <c r="B558" s="113"/>
      <c r="C558" s="113"/>
      <c r="D558" s="113"/>
      <c r="E558" s="113"/>
      <c r="F558" s="113"/>
      <c r="G558" s="113"/>
      <c r="H558" s="113"/>
      <c r="I558" s="113"/>
    </row>
    <row r="559" spans="2:9" s="112" customFormat="1" ht="12.75">
      <c r="B559" s="113"/>
      <c r="C559" s="113"/>
      <c r="D559" s="113"/>
      <c r="E559" s="113"/>
      <c r="F559" s="113"/>
      <c r="G559" s="113"/>
      <c r="H559" s="113"/>
      <c r="I559" s="113"/>
    </row>
    <row r="560" spans="2:9" s="112" customFormat="1" ht="12.75">
      <c r="B560" s="113"/>
      <c r="C560" s="113"/>
      <c r="D560" s="113"/>
      <c r="E560" s="113"/>
      <c r="F560" s="113"/>
      <c r="G560" s="113"/>
      <c r="H560" s="113"/>
      <c r="I560" s="113"/>
    </row>
    <row r="561" spans="2:9" s="112" customFormat="1" ht="12.75">
      <c r="B561" s="113"/>
      <c r="C561" s="113"/>
      <c r="D561" s="113"/>
      <c r="E561" s="113"/>
      <c r="F561" s="113"/>
      <c r="G561" s="113"/>
      <c r="H561" s="113"/>
      <c r="I561" s="113"/>
    </row>
    <row r="562" spans="2:9" s="112" customFormat="1" ht="12.75">
      <c r="B562" s="113"/>
      <c r="C562" s="113"/>
      <c r="D562" s="113"/>
      <c r="E562" s="113"/>
      <c r="F562" s="113"/>
      <c r="G562" s="113"/>
      <c r="H562" s="113"/>
      <c r="I562" s="113"/>
    </row>
    <row r="563" spans="2:9" s="112" customFormat="1" ht="12.75">
      <c r="B563" s="113"/>
      <c r="C563" s="113"/>
      <c r="D563" s="113"/>
      <c r="E563" s="113"/>
      <c r="F563" s="113"/>
      <c r="G563" s="113"/>
      <c r="H563" s="113"/>
      <c r="I563" s="113"/>
    </row>
    <row r="564" spans="2:9" s="112" customFormat="1" ht="12.75">
      <c r="B564" s="113"/>
      <c r="C564" s="113"/>
      <c r="D564" s="113"/>
      <c r="E564" s="113"/>
      <c r="F564" s="113"/>
      <c r="G564" s="113"/>
      <c r="H564" s="113"/>
      <c r="I564" s="113"/>
    </row>
    <row r="565" spans="2:9" s="112" customFormat="1" ht="12.75">
      <c r="B565" s="113"/>
      <c r="C565" s="113"/>
      <c r="D565" s="113"/>
      <c r="E565" s="113"/>
      <c r="F565" s="113"/>
      <c r="G565" s="113"/>
      <c r="H565" s="113"/>
      <c r="I565" s="113"/>
    </row>
    <row r="566" spans="2:9" s="112" customFormat="1" ht="12.75">
      <c r="B566" s="113"/>
      <c r="C566" s="113"/>
      <c r="D566" s="113"/>
      <c r="E566" s="113"/>
      <c r="F566" s="113"/>
      <c r="G566" s="113"/>
      <c r="H566" s="113"/>
      <c r="I566" s="113"/>
    </row>
    <row r="567" spans="2:9" s="112" customFormat="1" ht="12.75">
      <c r="B567" s="113"/>
      <c r="C567" s="113"/>
      <c r="D567" s="113"/>
      <c r="E567" s="113"/>
      <c r="F567" s="113"/>
      <c r="G567" s="113"/>
      <c r="H567" s="113"/>
      <c r="I567" s="113"/>
    </row>
    <row r="568" spans="2:9" s="112" customFormat="1" ht="12.75">
      <c r="B568" s="113"/>
      <c r="C568" s="113"/>
      <c r="D568" s="113"/>
      <c r="E568" s="113"/>
      <c r="F568" s="113"/>
      <c r="G568" s="113"/>
      <c r="H568" s="113"/>
      <c r="I568" s="113"/>
    </row>
    <row r="569" spans="2:9" s="112" customFormat="1" ht="12.75">
      <c r="B569" s="113"/>
      <c r="C569" s="113"/>
      <c r="D569" s="113"/>
      <c r="E569" s="113"/>
      <c r="F569" s="113"/>
      <c r="G569" s="113"/>
      <c r="H569" s="113"/>
      <c r="I569" s="113"/>
    </row>
    <row r="570" spans="2:9" s="112" customFormat="1" ht="12.75">
      <c r="B570" s="113"/>
      <c r="C570" s="113"/>
      <c r="D570" s="113"/>
      <c r="E570" s="113"/>
      <c r="F570" s="113"/>
      <c r="G570" s="113"/>
      <c r="H570" s="113"/>
      <c r="I570" s="113"/>
    </row>
    <row r="571" spans="2:9" s="112" customFormat="1" ht="12.75">
      <c r="B571" s="113"/>
      <c r="C571" s="113"/>
      <c r="D571" s="113"/>
      <c r="E571" s="113"/>
      <c r="F571" s="113"/>
      <c r="G571" s="113"/>
      <c r="H571" s="113"/>
      <c r="I571" s="113"/>
    </row>
    <row r="572" spans="2:9" s="112" customFormat="1" ht="12.75">
      <c r="B572" s="113"/>
      <c r="C572" s="113"/>
      <c r="D572" s="113"/>
      <c r="E572" s="113"/>
      <c r="F572" s="113"/>
      <c r="G572" s="113"/>
      <c r="H572" s="113"/>
      <c r="I572" s="113"/>
    </row>
    <row r="573" spans="2:9" s="112" customFormat="1" ht="12.75">
      <c r="B573" s="113"/>
      <c r="C573" s="113"/>
      <c r="D573" s="113"/>
      <c r="E573" s="113"/>
      <c r="F573" s="113"/>
      <c r="G573" s="113"/>
      <c r="H573" s="113"/>
      <c r="I573" s="113"/>
    </row>
    <row r="574" spans="2:9" s="112" customFormat="1" ht="12.75">
      <c r="B574" s="113"/>
      <c r="C574" s="113"/>
      <c r="D574" s="113"/>
      <c r="E574" s="113"/>
      <c r="F574" s="113"/>
      <c r="G574" s="113"/>
      <c r="H574" s="113"/>
      <c r="I574" s="113"/>
    </row>
    <row r="575" spans="2:9" s="112" customFormat="1" ht="12.75">
      <c r="B575" s="113"/>
      <c r="C575" s="113"/>
      <c r="D575" s="113"/>
      <c r="E575" s="113"/>
      <c r="F575" s="113"/>
      <c r="G575" s="113"/>
      <c r="H575" s="113"/>
      <c r="I575" s="113"/>
    </row>
    <row r="576" spans="2:9" s="112" customFormat="1" ht="12.75">
      <c r="B576" s="113"/>
      <c r="C576" s="113"/>
      <c r="D576" s="113"/>
      <c r="E576" s="113"/>
      <c r="F576" s="113"/>
      <c r="G576" s="113"/>
      <c r="H576" s="113"/>
      <c r="I576" s="113"/>
    </row>
    <row r="577" spans="2:9" s="112" customFormat="1" ht="12.75">
      <c r="B577" s="113"/>
      <c r="C577" s="113"/>
      <c r="D577" s="113"/>
      <c r="E577" s="113"/>
      <c r="F577" s="113"/>
      <c r="G577" s="113"/>
      <c r="H577" s="113"/>
      <c r="I577" s="113"/>
    </row>
    <row r="578" spans="2:9" s="112" customFormat="1" ht="12.75">
      <c r="B578" s="113"/>
      <c r="C578" s="113"/>
      <c r="D578" s="113"/>
      <c r="E578" s="113"/>
      <c r="F578" s="113"/>
      <c r="G578" s="113"/>
      <c r="H578" s="113"/>
      <c r="I578" s="113"/>
    </row>
    <row r="579" spans="2:9" s="112" customFormat="1" ht="12.75">
      <c r="B579" s="113"/>
      <c r="C579" s="113"/>
      <c r="D579" s="113"/>
      <c r="E579" s="113"/>
      <c r="F579" s="113"/>
      <c r="G579" s="113"/>
      <c r="H579" s="113"/>
      <c r="I579" s="113"/>
    </row>
    <row r="580" spans="2:9" s="112" customFormat="1" ht="12.75">
      <c r="B580" s="113"/>
      <c r="C580" s="113"/>
      <c r="D580" s="113"/>
      <c r="E580" s="113"/>
      <c r="F580" s="113"/>
      <c r="G580" s="113"/>
      <c r="H580" s="113"/>
      <c r="I580" s="113"/>
    </row>
    <row r="581" spans="2:9" s="112" customFormat="1" ht="12.75">
      <c r="B581" s="113"/>
      <c r="C581" s="113"/>
      <c r="D581" s="113"/>
      <c r="E581" s="113"/>
      <c r="F581" s="113"/>
      <c r="G581" s="113"/>
      <c r="H581" s="113"/>
      <c r="I581" s="113"/>
    </row>
    <row r="582" spans="2:9" s="112" customFormat="1" ht="12.75">
      <c r="B582" s="113"/>
      <c r="C582" s="113"/>
      <c r="D582" s="113"/>
      <c r="E582" s="113"/>
      <c r="F582" s="113"/>
      <c r="G582" s="113"/>
      <c r="H582" s="113"/>
      <c r="I582" s="113"/>
    </row>
    <row r="583" spans="2:9" s="112" customFormat="1" ht="12.75">
      <c r="B583" s="113"/>
      <c r="C583" s="113"/>
      <c r="D583" s="113"/>
      <c r="E583" s="113"/>
      <c r="F583" s="113"/>
      <c r="G583" s="113"/>
      <c r="H583" s="113"/>
      <c r="I583" s="113"/>
    </row>
    <row r="584" spans="2:9" s="112" customFormat="1" ht="12.75">
      <c r="B584" s="113"/>
      <c r="C584" s="113"/>
      <c r="D584" s="113"/>
      <c r="E584" s="113"/>
      <c r="F584" s="113"/>
      <c r="G584" s="113"/>
      <c r="H584" s="113"/>
      <c r="I584" s="113"/>
    </row>
    <row r="585" spans="2:9" s="112" customFormat="1" ht="12.75">
      <c r="B585" s="113"/>
      <c r="C585" s="113"/>
      <c r="D585" s="113"/>
      <c r="E585" s="113"/>
      <c r="F585" s="113"/>
      <c r="G585" s="113"/>
      <c r="H585" s="113"/>
      <c r="I585" s="113"/>
    </row>
    <row r="586" spans="2:9" s="112" customFormat="1" ht="12.75">
      <c r="B586" s="113"/>
      <c r="C586" s="113"/>
      <c r="D586" s="113"/>
      <c r="E586" s="113"/>
      <c r="F586" s="113"/>
      <c r="G586" s="113"/>
      <c r="H586" s="113"/>
      <c r="I586" s="113"/>
    </row>
    <row r="587" spans="2:9" s="112" customFormat="1" ht="12.75">
      <c r="B587" s="113"/>
      <c r="C587" s="113"/>
      <c r="D587" s="113"/>
      <c r="E587" s="113"/>
      <c r="F587" s="113"/>
      <c r="G587" s="113"/>
      <c r="H587" s="113"/>
      <c r="I587" s="113"/>
    </row>
    <row r="588" spans="2:9" s="112" customFormat="1" ht="12.75">
      <c r="B588" s="113"/>
      <c r="C588" s="113"/>
      <c r="D588" s="113"/>
      <c r="E588" s="113"/>
      <c r="F588" s="113"/>
      <c r="G588" s="113"/>
      <c r="H588" s="113"/>
      <c r="I588" s="113"/>
    </row>
    <row r="589" spans="2:9" s="112" customFormat="1" ht="12.75">
      <c r="B589" s="113"/>
      <c r="C589" s="113"/>
      <c r="D589" s="113"/>
      <c r="E589" s="113"/>
      <c r="F589" s="113"/>
      <c r="G589" s="113"/>
      <c r="H589" s="113"/>
      <c r="I589" s="113"/>
    </row>
    <row r="590" spans="2:9" s="112" customFormat="1" ht="12.75">
      <c r="B590" s="113"/>
      <c r="C590" s="113"/>
      <c r="D590" s="113"/>
      <c r="E590" s="113"/>
      <c r="F590" s="113"/>
      <c r="G590" s="113"/>
      <c r="H590" s="113"/>
      <c r="I590" s="113"/>
    </row>
    <row r="591" spans="2:9" s="112" customFormat="1" ht="12.75">
      <c r="B591" s="113"/>
      <c r="C591" s="113"/>
      <c r="D591" s="113"/>
      <c r="E591" s="113"/>
      <c r="F591" s="113"/>
      <c r="G591" s="113"/>
      <c r="H591" s="113"/>
      <c r="I591" s="113"/>
    </row>
    <row r="592" spans="2:9" s="112" customFormat="1" ht="12.75">
      <c r="B592" s="113"/>
      <c r="C592" s="113"/>
      <c r="D592" s="113"/>
      <c r="E592" s="113"/>
      <c r="F592" s="113"/>
      <c r="G592" s="113"/>
      <c r="H592" s="113"/>
      <c r="I592" s="113"/>
    </row>
    <row r="593" spans="2:9" s="112" customFormat="1" ht="12.75">
      <c r="B593" s="113"/>
      <c r="C593" s="113"/>
      <c r="D593" s="113"/>
      <c r="E593" s="113"/>
      <c r="F593" s="113"/>
      <c r="G593" s="113"/>
      <c r="H593" s="113"/>
      <c r="I593" s="113"/>
    </row>
    <row r="594" spans="2:9" s="112" customFormat="1" ht="12.75">
      <c r="B594" s="113"/>
      <c r="C594" s="113"/>
      <c r="D594" s="113"/>
      <c r="E594" s="113"/>
      <c r="F594" s="113"/>
      <c r="G594" s="113"/>
      <c r="H594" s="113"/>
      <c r="I594" s="113"/>
    </row>
    <row r="595" spans="2:9" s="112" customFormat="1" ht="12.75">
      <c r="B595" s="113"/>
      <c r="C595" s="113"/>
      <c r="D595" s="113"/>
      <c r="E595" s="113"/>
      <c r="F595" s="113"/>
      <c r="G595" s="113"/>
      <c r="H595" s="113"/>
      <c r="I595" s="113"/>
    </row>
    <row r="596" spans="2:9" s="112" customFormat="1" ht="12.75">
      <c r="B596" s="113"/>
      <c r="C596" s="113"/>
      <c r="D596" s="113"/>
      <c r="E596" s="113"/>
      <c r="F596" s="113"/>
      <c r="G596" s="113"/>
      <c r="H596" s="113"/>
      <c r="I596" s="113"/>
    </row>
    <row r="597" spans="2:9" s="112" customFormat="1" ht="12.75">
      <c r="B597" s="113"/>
      <c r="C597" s="113"/>
      <c r="D597" s="113"/>
      <c r="E597" s="113"/>
      <c r="F597" s="113"/>
      <c r="G597" s="113"/>
      <c r="H597" s="113"/>
      <c r="I597" s="113"/>
    </row>
    <row r="598" spans="2:9" s="112" customFormat="1" ht="12.75">
      <c r="B598" s="113"/>
      <c r="C598" s="113"/>
      <c r="D598" s="113"/>
      <c r="E598" s="113"/>
      <c r="F598" s="113"/>
      <c r="G598" s="113"/>
      <c r="H598" s="113"/>
      <c r="I598" s="113"/>
    </row>
    <row r="599" spans="2:9" s="112" customFormat="1" ht="12.75">
      <c r="B599" s="113"/>
      <c r="C599" s="113"/>
      <c r="D599" s="113"/>
      <c r="E599" s="113"/>
      <c r="F599" s="113"/>
      <c r="G599" s="113"/>
      <c r="H599" s="113"/>
      <c r="I599" s="113"/>
    </row>
    <row r="600" spans="2:9" s="112" customFormat="1" ht="12.75">
      <c r="B600" s="113"/>
      <c r="C600" s="113"/>
      <c r="D600" s="113"/>
      <c r="E600" s="113"/>
      <c r="F600" s="113"/>
      <c r="G600" s="113"/>
      <c r="H600" s="113"/>
      <c r="I600" s="113"/>
    </row>
    <row r="601" spans="2:9" s="112" customFormat="1" ht="12.75">
      <c r="B601" s="113"/>
      <c r="C601" s="113"/>
      <c r="D601" s="113"/>
      <c r="E601" s="113"/>
      <c r="F601" s="113"/>
      <c r="G601" s="113"/>
      <c r="H601" s="113"/>
      <c r="I601" s="113"/>
    </row>
    <row r="602" spans="2:9" s="112" customFormat="1" ht="12.75">
      <c r="B602" s="113"/>
      <c r="C602" s="113"/>
      <c r="D602" s="113"/>
      <c r="E602" s="113"/>
      <c r="F602" s="113"/>
      <c r="G602" s="113"/>
      <c r="H602" s="113"/>
      <c r="I602" s="113"/>
    </row>
    <row r="603" spans="2:9" s="112" customFormat="1" ht="12.75">
      <c r="B603" s="113"/>
      <c r="C603" s="113"/>
      <c r="D603" s="113"/>
      <c r="E603" s="113"/>
      <c r="F603" s="113"/>
      <c r="G603" s="113"/>
      <c r="H603" s="113"/>
      <c r="I603" s="113"/>
    </row>
    <row r="604" spans="2:9" s="112" customFormat="1" ht="12.75">
      <c r="B604" s="113"/>
      <c r="C604" s="113"/>
      <c r="D604" s="113"/>
      <c r="E604" s="113"/>
      <c r="F604" s="113"/>
      <c r="G604" s="113"/>
      <c r="H604" s="113"/>
      <c r="I604" s="113"/>
    </row>
    <row r="605" spans="2:9" s="112" customFormat="1" ht="12.75">
      <c r="B605" s="113"/>
      <c r="C605" s="113"/>
      <c r="D605" s="113"/>
      <c r="E605" s="113"/>
      <c r="F605" s="113"/>
      <c r="G605" s="113"/>
      <c r="H605" s="113"/>
      <c r="I605" s="113"/>
    </row>
    <row r="606" spans="2:9" s="112" customFormat="1" ht="12.75">
      <c r="B606" s="113"/>
      <c r="C606" s="113"/>
      <c r="D606" s="113"/>
      <c r="E606" s="113"/>
      <c r="F606" s="113"/>
      <c r="G606" s="113"/>
      <c r="H606" s="113"/>
      <c r="I606" s="113"/>
    </row>
    <row r="607" spans="2:9" s="112" customFormat="1" ht="12.75">
      <c r="B607" s="113"/>
      <c r="C607" s="113"/>
      <c r="D607" s="113"/>
      <c r="E607" s="113"/>
      <c r="F607" s="113"/>
      <c r="G607" s="113"/>
      <c r="H607" s="113"/>
      <c r="I607" s="113"/>
    </row>
    <row r="608" spans="2:9" s="112" customFormat="1" ht="12.75">
      <c r="B608" s="113"/>
      <c r="C608" s="113"/>
      <c r="D608" s="113"/>
      <c r="E608" s="113"/>
      <c r="F608" s="113"/>
      <c r="G608" s="113"/>
      <c r="H608" s="113"/>
      <c r="I608" s="113"/>
    </row>
    <row r="609" spans="2:9" s="112" customFormat="1" ht="12.75">
      <c r="B609" s="113"/>
      <c r="C609" s="113"/>
      <c r="D609" s="113"/>
      <c r="E609" s="113"/>
      <c r="F609" s="113"/>
      <c r="G609" s="113"/>
      <c r="H609" s="113"/>
      <c r="I609" s="113"/>
    </row>
    <row r="610" spans="2:9" s="112" customFormat="1" ht="12.75">
      <c r="B610" s="113"/>
      <c r="C610" s="113"/>
      <c r="D610" s="113"/>
      <c r="E610" s="113"/>
      <c r="F610" s="113"/>
      <c r="G610" s="113"/>
      <c r="H610" s="113"/>
      <c r="I610" s="113"/>
    </row>
    <row r="611" spans="2:9" s="112" customFormat="1" ht="12.75">
      <c r="B611" s="113"/>
      <c r="C611" s="113"/>
      <c r="D611" s="113"/>
      <c r="E611" s="113"/>
      <c r="F611" s="113"/>
      <c r="G611" s="113"/>
      <c r="H611" s="113"/>
      <c r="I611" s="113"/>
    </row>
    <row r="612" spans="2:9" s="112" customFormat="1" ht="12.75">
      <c r="B612" s="113"/>
      <c r="C612" s="113"/>
      <c r="D612" s="113"/>
      <c r="E612" s="113"/>
      <c r="F612" s="113"/>
      <c r="G612" s="113"/>
      <c r="H612" s="113"/>
      <c r="I612" s="113"/>
    </row>
    <row r="613" spans="2:9" s="112" customFormat="1" ht="12.75">
      <c r="B613" s="113"/>
      <c r="C613" s="113"/>
      <c r="D613" s="113"/>
      <c r="E613" s="113"/>
      <c r="F613" s="113"/>
      <c r="G613" s="113"/>
      <c r="H613" s="113"/>
      <c r="I613" s="113"/>
    </row>
    <row r="614" spans="2:9" s="112" customFormat="1" ht="12.75">
      <c r="B614" s="113"/>
      <c r="C614" s="113"/>
      <c r="D614" s="113"/>
      <c r="E614" s="113"/>
      <c r="F614" s="113"/>
      <c r="G614" s="113"/>
      <c r="H614" s="113"/>
      <c r="I614" s="113"/>
    </row>
    <row r="615" spans="2:9" s="112" customFormat="1" ht="12.75">
      <c r="B615" s="113"/>
      <c r="C615" s="113"/>
      <c r="D615" s="113"/>
      <c r="E615" s="113"/>
      <c r="F615" s="113"/>
      <c r="G615" s="113"/>
      <c r="H615" s="113"/>
      <c r="I615" s="113"/>
    </row>
    <row r="616" spans="2:9" s="112" customFormat="1" ht="12.75">
      <c r="B616" s="113"/>
      <c r="C616" s="113"/>
      <c r="D616" s="113"/>
      <c r="E616" s="113"/>
      <c r="F616" s="113"/>
      <c r="G616" s="113"/>
      <c r="H616" s="113"/>
      <c r="I616" s="113"/>
    </row>
    <row r="617" spans="2:9" s="112" customFormat="1" ht="12.75">
      <c r="B617" s="113"/>
      <c r="C617" s="113"/>
      <c r="D617" s="113"/>
      <c r="E617" s="113"/>
      <c r="F617" s="113"/>
      <c r="G617" s="113"/>
      <c r="H617" s="113"/>
      <c r="I617" s="113"/>
    </row>
    <row r="618" spans="2:9" s="112" customFormat="1" ht="12.75">
      <c r="B618" s="113"/>
      <c r="C618" s="113"/>
      <c r="D618" s="113"/>
      <c r="E618" s="113"/>
      <c r="F618" s="113"/>
      <c r="G618" s="113"/>
      <c r="H618" s="113"/>
      <c r="I618" s="113"/>
    </row>
    <row r="619" spans="2:9" s="112" customFormat="1" ht="12.75">
      <c r="B619" s="113"/>
      <c r="C619" s="113"/>
      <c r="D619" s="113"/>
      <c r="E619" s="113"/>
      <c r="F619" s="113"/>
      <c r="G619" s="113"/>
      <c r="H619" s="113"/>
      <c r="I619" s="113"/>
    </row>
    <row r="620" spans="2:9" s="112" customFormat="1" ht="12.75">
      <c r="B620" s="113"/>
      <c r="C620" s="113"/>
      <c r="D620" s="113"/>
      <c r="E620" s="113"/>
      <c r="F620" s="113"/>
      <c r="G620" s="113"/>
      <c r="H620" s="113"/>
      <c r="I620" s="113"/>
    </row>
    <row r="621" spans="2:9" s="112" customFormat="1" ht="12.75">
      <c r="B621" s="113"/>
      <c r="C621" s="113"/>
      <c r="D621" s="113"/>
      <c r="E621" s="113"/>
      <c r="F621" s="113"/>
      <c r="G621" s="113"/>
      <c r="H621" s="113"/>
      <c r="I621" s="113"/>
    </row>
    <row r="622" spans="2:9" s="112" customFormat="1" ht="12.75">
      <c r="B622" s="113"/>
      <c r="C622" s="113"/>
      <c r="D622" s="113"/>
      <c r="E622" s="113"/>
      <c r="F622" s="113"/>
      <c r="G622" s="113"/>
      <c r="H622" s="113"/>
      <c r="I622" s="113"/>
    </row>
    <row r="623" spans="2:9" s="112" customFormat="1" ht="12.75">
      <c r="B623" s="113"/>
      <c r="C623" s="113"/>
      <c r="D623" s="113"/>
      <c r="E623" s="113"/>
      <c r="F623" s="113"/>
      <c r="G623" s="113"/>
      <c r="H623" s="113"/>
      <c r="I623" s="113"/>
    </row>
    <row r="624" spans="2:9" s="112" customFormat="1" ht="12.75">
      <c r="B624" s="113"/>
      <c r="C624" s="113"/>
      <c r="D624" s="113"/>
      <c r="E624" s="113"/>
      <c r="F624" s="113"/>
      <c r="G624" s="113"/>
      <c r="H624" s="113"/>
      <c r="I624" s="113"/>
    </row>
    <row r="625" spans="2:9" s="112" customFormat="1" ht="12.75">
      <c r="B625" s="113"/>
      <c r="C625" s="113"/>
      <c r="D625" s="113"/>
      <c r="E625" s="113"/>
      <c r="F625" s="113"/>
      <c r="G625" s="113"/>
      <c r="H625" s="113"/>
      <c r="I625" s="113"/>
    </row>
    <row r="626" spans="2:9" s="112" customFormat="1" ht="12.75">
      <c r="B626" s="113"/>
      <c r="C626" s="113"/>
      <c r="D626" s="113"/>
      <c r="E626" s="113"/>
      <c r="F626" s="113"/>
      <c r="G626" s="113"/>
      <c r="H626" s="113"/>
      <c r="I626" s="113"/>
    </row>
    <row r="627" spans="2:9" s="112" customFormat="1" ht="12.75">
      <c r="B627" s="113"/>
      <c r="C627" s="113"/>
      <c r="D627" s="113"/>
      <c r="E627" s="113"/>
      <c r="F627" s="113"/>
      <c r="G627" s="113"/>
      <c r="H627" s="113"/>
      <c r="I627" s="113"/>
    </row>
    <row r="628" spans="2:9" s="112" customFormat="1" ht="12.75">
      <c r="B628" s="113"/>
      <c r="C628" s="113"/>
      <c r="D628" s="113"/>
      <c r="E628" s="113"/>
      <c r="F628" s="113"/>
      <c r="G628" s="113"/>
      <c r="H628" s="113"/>
      <c r="I628" s="113"/>
    </row>
    <row r="629" spans="2:9" s="112" customFormat="1" ht="12.75">
      <c r="B629" s="113"/>
      <c r="C629" s="113"/>
      <c r="D629" s="113"/>
      <c r="E629" s="113"/>
      <c r="F629" s="113"/>
      <c r="G629" s="113"/>
      <c r="H629" s="113"/>
      <c r="I629" s="113"/>
    </row>
    <row r="630" spans="2:9" s="112" customFormat="1" ht="12.75">
      <c r="B630" s="113"/>
      <c r="C630" s="113"/>
      <c r="D630" s="113"/>
      <c r="E630" s="113"/>
      <c r="F630" s="113"/>
      <c r="G630" s="113"/>
      <c r="H630" s="113"/>
      <c r="I630" s="113"/>
    </row>
    <row r="631" spans="2:9" s="112" customFormat="1" ht="12.75">
      <c r="B631" s="113"/>
      <c r="C631" s="113"/>
      <c r="D631" s="113"/>
      <c r="E631" s="113"/>
      <c r="F631" s="113"/>
      <c r="G631" s="113"/>
      <c r="H631" s="113"/>
      <c r="I631" s="113"/>
    </row>
    <row r="632" spans="2:9" s="112" customFormat="1" ht="12.75">
      <c r="B632" s="113"/>
      <c r="C632" s="113"/>
      <c r="D632" s="113"/>
      <c r="E632" s="113"/>
      <c r="F632" s="113"/>
      <c r="G632" s="113"/>
      <c r="H632" s="113"/>
      <c r="I632" s="113"/>
    </row>
    <row r="633" spans="2:9" s="112" customFormat="1" ht="12.75">
      <c r="B633" s="113"/>
      <c r="C633" s="113"/>
      <c r="D633" s="113"/>
      <c r="E633" s="113"/>
      <c r="F633" s="113"/>
      <c r="G633" s="113"/>
      <c r="H633" s="113"/>
      <c r="I633" s="113"/>
    </row>
    <row r="634" spans="2:9" s="112" customFormat="1" ht="12.75">
      <c r="B634" s="113"/>
      <c r="C634" s="113"/>
      <c r="D634" s="113"/>
      <c r="E634" s="113"/>
      <c r="F634" s="113"/>
      <c r="G634" s="113"/>
      <c r="H634" s="113"/>
      <c r="I634" s="113"/>
    </row>
    <row r="635" spans="2:9" s="112" customFormat="1" ht="12.75">
      <c r="B635" s="113"/>
      <c r="C635" s="113"/>
      <c r="D635" s="113"/>
      <c r="E635" s="113"/>
      <c r="F635" s="113"/>
      <c r="G635" s="113"/>
      <c r="H635" s="113"/>
      <c r="I635" s="113"/>
    </row>
    <row r="636" spans="2:9" s="112" customFormat="1" ht="12.75">
      <c r="B636" s="113"/>
      <c r="C636" s="113"/>
      <c r="D636" s="113"/>
      <c r="E636" s="113"/>
      <c r="F636" s="113"/>
      <c r="G636" s="113"/>
      <c r="H636" s="113"/>
      <c r="I636" s="113"/>
    </row>
    <row r="637" spans="2:9" s="112" customFormat="1" ht="12.75">
      <c r="B637" s="113"/>
      <c r="C637" s="113"/>
      <c r="D637" s="113"/>
      <c r="E637" s="113"/>
      <c r="F637" s="113"/>
      <c r="G637" s="113"/>
      <c r="H637" s="113"/>
      <c r="I637" s="113"/>
    </row>
    <row r="638" spans="2:9" s="112" customFormat="1" ht="12.75">
      <c r="B638" s="113"/>
      <c r="C638" s="113"/>
      <c r="D638" s="113"/>
      <c r="E638" s="113"/>
      <c r="F638" s="113"/>
      <c r="G638" s="113"/>
      <c r="H638" s="113"/>
      <c r="I638" s="113"/>
    </row>
    <row r="639" spans="2:9" s="112" customFormat="1" ht="12.75">
      <c r="B639" s="113"/>
      <c r="C639" s="113"/>
      <c r="D639" s="113"/>
      <c r="E639" s="113"/>
      <c r="F639" s="113"/>
      <c r="G639" s="113"/>
      <c r="H639" s="113"/>
      <c r="I639" s="113"/>
    </row>
    <row r="640" spans="2:9" s="112" customFormat="1" ht="12.75">
      <c r="B640" s="113"/>
      <c r="C640" s="113"/>
      <c r="D640" s="113"/>
      <c r="E640" s="113"/>
      <c r="F640" s="113"/>
      <c r="G640" s="113"/>
      <c r="H640" s="113"/>
      <c r="I640" s="113"/>
    </row>
    <row r="641" spans="2:9" s="112" customFormat="1" ht="12.75">
      <c r="B641" s="113"/>
      <c r="C641" s="113"/>
      <c r="D641" s="113"/>
      <c r="E641" s="113"/>
      <c r="F641" s="113"/>
      <c r="G641" s="113"/>
      <c r="H641" s="113"/>
      <c r="I641" s="113"/>
    </row>
    <row r="642" spans="2:9" s="112" customFormat="1" ht="12.75">
      <c r="B642" s="113"/>
      <c r="C642" s="113"/>
      <c r="D642" s="113"/>
      <c r="E642" s="113"/>
      <c r="F642" s="113"/>
      <c r="G642" s="113"/>
      <c r="H642" s="113"/>
      <c r="I642" s="113"/>
    </row>
    <row r="643" spans="2:9" s="112" customFormat="1" ht="12.75">
      <c r="B643" s="113"/>
      <c r="C643" s="113"/>
      <c r="D643" s="113"/>
      <c r="E643" s="113"/>
      <c r="F643" s="113"/>
      <c r="G643" s="113"/>
      <c r="H643" s="113"/>
      <c r="I643" s="113"/>
    </row>
    <row r="644" spans="2:9" s="112" customFormat="1" ht="12.75">
      <c r="B644" s="113"/>
      <c r="C644" s="113"/>
      <c r="D644" s="113"/>
      <c r="E644" s="113"/>
      <c r="F644" s="113"/>
      <c r="G644" s="113"/>
      <c r="H644" s="113"/>
      <c r="I644" s="113"/>
    </row>
    <row r="645" spans="2:9" s="112" customFormat="1" ht="12.75">
      <c r="B645" s="113"/>
      <c r="C645" s="113"/>
      <c r="D645" s="113"/>
      <c r="E645" s="113"/>
      <c r="F645" s="113"/>
      <c r="G645" s="113"/>
      <c r="H645" s="113"/>
      <c r="I645" s="113"/>
    </row>
    <row r="646" spans="2:9" s="112" customFormat="1" ht="12.75">
      <c r="B646" s="113"/>
      <c r="C646" s="113"/>
      <c r="D646" s="113"/>
      <c r="E646" s="113"/>
      <c r="F646" s="113"/>
      <c r="G646" s="113"/>
      <c r="H646" s="113"/>
      <c r="I646" s="113"/>
    </row>
    <row r="647" spans="2:9" s="112" customFormat="1" ht="12.75">
      <c r="B647" s="113"/>
      <c r="C647" s="113"/>
      <c r="D647" s="113"/>
      <c r="E647" s="113"/>
      <c r="F647" s="113"/>
      <c r="G647" s="113"/>
      <c r="H647" s="113"/>
      <c r="I647" s="113"/>
    </row>
    <row r="648" spans="2:9" s="112" customFormat="1" ht="12.75">
      <c r="B648" s="113"/>
      <c r="C648" s="113"/>
      <c r="D648" s="113"/>
      <c r="E648" s="113"/>
      <c r="F648" s="113"/>
      <c r="G648" s="113"/>
      <c r="H648" s="113"/>
      <c r="I648" s="113"/>
    </row>
    <row r="649" spans="2:9" s="112" customFormat="1" ht="12.75">
      <c r="B649" s="113"/>
      <c r="C649" s="113"/>
      <c r="D649" s="113"/>
      <c r="E649" s="113"/>
      <c r="F649" s="113"/>
      <c r="G649" s="113"/>
      <c r="H649" s="113"/>
      <c r="I649" s="113"/>
    </row>
    <row r="650" spans="2:9" s="112" customFormat="1" ht="12.75">
      <c r="B650" s="113"/>
      <c r="C650" s="113"/>
      <c r="D650" s="113"/>
      <c r="E650" s="113"/>
      <c r="F650" s="113"/>
      <c r="G650" s="113"/>
      <c r="H650" s="113"/>
      <c r="I650" s="113"/>
    </row>
    <row r="651" spans="2:9" s="112" customFormat="1" ht="12.75">
      <c r="B651" s="113"/>
      <c r="C651" s="113"/>
      <c r="D651" s="113"/>
      <c r="E651" s="113"/>
      <c r="F651" s="113"/>
      <c r="G651" s="113"/>
      <c r="H651" s="113"/>
      <c r="I651" s="113"/>
    </row>
    <row r="652" spans="2:9" s="112" customFormat="1" ht="12.75">
      <c r="B652" s="113"/>
      <c r="C652" s="113"/>
      <c r="D652" s="113"/>
      <c r="E652" s="113"/>
      <c r="F652" s="113"/>
      <c r="G652" s="113"/>
      <c r="H652" s="113"/>
      <c r="I652" s="113"/>
    </row>
    <row r="653" spans="2:9" s="112" customFormat="1" ht="12.75">
      <c r="B653" s="113"/>
      <c r="C653" s="113"/>
      <c r="D653" s="113"/>
      <c r="E653" s="113"/>
      <c r="F653" s="113"/>
      <c r="G653" s="113"/>
      <c r="H653" s="113"/>
      <c r="I653" s="113"/>
    </row>
    <row r="654" spans="2:9" s="112" customFormat="1" ht="12.75">
      <c r="B654" s="113"/>
      <c r="C654" s="113"/>
      <c r="D654" s="113"/>
      <c r="E654" s="113"/>
      <c r="F654" s="113"/>
      <c r="G654" s="113"/>
      <c r="H654" s="113"/>
      <c r="I654" s="113"/>
    </row>
    <row r="655" spans="2:9" s="112" customFormat="1" ht="12.75">
      <c r="B655" s="113"/>
      <c r="C655" s="113"/>
      <c r="D655" s="113"/>
      <c r="E655" s="113"/>
      <c r="F655" s="113"/>
      <c r="G655" s="113"/>
      <c r="H655" s="113"/>
      <c r="I655" s="113"/>
    </row>
    <row r="656" spans="2:9" s="112" customFormat="1" ht="12.75">
      <c r="B656" s="113"/>
      <c r="C656" s="113"/>
      <c r="D656" s="113"/>
      <c r="E656" s="113"/>
      <c r="F656" s="113"/>
      <c r="G656" s="113"/>
      <c r="H656" s="113"/>
      <c r="I656" s="113"/>
    </row>
    <row r="657" spans="2:9" s="112" customFormat="1" ht="12.75">
      <c r="B657" s="113"/>
      <c r="C657" s="113"/>
      <c r="D657" s="113"/>
      <c r="E657" s="113"/>
      <c r="F657" s="113"/>
      <c r="G657" s="113"/>
      <c r="H657" s="113"/>
      <c r="I657" s="113"/>
    </row>
    <row r="658" spans="2:9" s="112" customFormat="1" ht="12.75">
      <c r="B658" s="113"/>
      <c r="C658" s="113"/>
      <c r="D658" s="113"/>
      <c r="E658" s="113"/>
      <c r="F658" s="113"/>
      <c r="G658" s="113"/>
      <c r="H658" s="113"/>
      <c r="I658" s="113"/>
    </row>
    <row r="659" spans="2:9" s="112" customFormat="1" ht="12.75">
      <c r="B659" s="113"/>
      <c r="C659" s="113"/>
      <c r="D659" s="113"/>
      <c r="E659" s="113"/>
      <c r="F659" s="113"/>
      <c r="G659" s="113"/>
      <c r="H659" s="113"/>
      <c r="I659" s="113"/>
    </row>
    <row r="660" spans="2:9" s="112" customFormat="1" ht="12.75">
      <c r="B660" s="113"/>
      <c r="C660" s="113"/>
      <c r="D660" s="113"/>
      <c r="E660" s="113"/>
      <c r="F660" s="113"/>
      <c r="G660" s="113"/>
      <c r="H660" s="113"/>
      <c r="I660" s="113"/>
    </row>
    <row r="661" spans="2:9" s="112" customFormat="1" ht="12.75">
      <c r="B661" s="113"/>
      <c r="C661" s="113"/>
      <c r="D661" s="113"/>
      <c r="E661" s="113"/>
      <c r="F661" s="113"/>
      <c r="G661" s="113"/>
      <c r="H661" s="113"/>
      <c r="I661" s="113"/>
    </row>
    <row r="662" spans="2:9" s="112" customFormat="1" ht="12.75">
      <c r="B662" s="113"/>
      <c r="C662" s="113"/>
      <c r="D662" s="113"/>
      <c r="E662" s="113"/>
      <c r="F662" s="113"/>
      <c r="G662" s="113"/>
      <c r="H662" s="113"/>
      <c r="I662" s="113"/>
    </row>
    <row r="663" spans="2:9" s="112" customFormat="1" ht="12.75">
      <c r="B663" s="113"/>
      <c r="C663" s="113"/>
      <c r="D663" s="113"/>
      <c r="E663" s="113"/>
      <c r="F663" s="113"/>
      <c r="G663" s="113"/>
      <c r="H663" s="113"/>
      <c r="I663" s="113"/>
    </row>
    <row r="664" spans="2:9" s="112" customFormat="1" ht="12.75">
      <c r="B664" s="113"/>
      <c r="C664" s="113"/>
      <c r="D664" s="113"/>
      <c r="E664" s="113"/>
      <c r="F664" s="113"/>
      <c r="G664" s="113"/>
      <c r="H664" s="113"/>
      <c r="I664" s="113"/>
    </row>
    <row r="665" spans="2:9" s="112" customFormat="1" ht="12.75">
      <c r="B665" s="113"/>
      <c r="C665" s="113"/>
      <c r="D665" s="113"/>
      <c r="E665" s="113"/>
      <c r="F665" s="113"/>
      <c r="G665" s="113"/>
      <c r="H665" s="113"/>
      <c r="I665" s="113"/>
    </row>
    <row r="666" spans="2:9" s="112" customFormat="1" ht="12.75">
      <c r="B666" s="113"/>
      <c r="C666" s="113"/>
      <c r="D666" s="113"/>
      <c r="E666" s="113"/>
      <c r="F666" s="113"/>
      <c r="G666" s="113"/>
      <c r="H666" s="113"/>
      <c r="I666" s="113"/>
    </row>
    <row r="667" spans="2:9" s="112" customFormat="1" ht="12.75">
      <c r="B667" s="113"/>
      <c r="C667" s="113"/>
      <c r="D667" s="113"/>
      <c r="E667" s="113"/>
      <c r="F667" s="113"/>
      <c r="G667" s="113"/>
      <c r="H667" s="113"/>
      <c r="I667" s="113"/>
    </row>
    <row r="668" spans="2:9" s="112" customFormat="1" ht="12.75">
      <c r="B668" s="113"/>
      <c r="C668" s="113"/>
      <c r="D668" s="113"/>
      <c r="E668" s="113"/>
      <c r="F668" s="113"/>
      <c r="G668" s="113"/>
      <c r="H668" s="113"/>
      <c r="I668" s="113"/>
    </row>
    <row r="669" spans="2:9" s="112" customFormat="1" ht="12.75">
      <c r="B669" s="113"/>
      <c r="C669" s="113"/>
      <c r="D669" s="113"/>
      <c r="E669" s="113"/>
      <c r="F669" s="113"/>
      <c r="G669" s="113"/>
      <c r="H669" s="113"/>
      <c r="I669" s="113"/>
    </row>
    <row r="670" spans="2:9" s="112" customFormat="1" ht="12.75">
      <c r="B670" s="113"/>
      <c r="C670" s="113"/>
      <c r="D670" s="113"/>
      <c r="E670" s="113"/>
      <c r="F670" s="113"/>
      <c r="G670" s="113"/>
      <c r="H670" s="113"/>
      <c r="I670" s="113"/>
    </row>
    <row r="671" spans="2:9" s="112" customFormat="1" ht="12.75">
      <c r="B671" s="113"/>
      <c r="C671" s="113"/>
      <c r="D671" s="113"/>
      <c r="E671" s="113"/>
      <c r="F671" s="113"/>
      <c r="G671" s="113"/>
      <c r="H671" s="113"/>
      <c r="I671" s="113"/>
    </row>
    <row r="672" spans="2:9" s="112" customFormat="1" ht="12.75">
      <c r="B672" s="113"/>
      <c r="C672" s="113"/>
      <c r="D672" s="113"/>
      <c r="E672" s="113"/>
      <c r="F672" s="113"/>
      <c r="G672" s="113"/>
      <c r="H672" s="113"/>
      <c r="I672" s="113"/>
    </row>
    <row r="673" spans="2:9" s="112" customFormat="1" ht="12.75">
      <c r="B673" s="113"/>
      <c r="C673" s="113"/>
      <c r="D673" s="113"/>
      <c r="E673" s="113"/>
      <c r="F673" s="113"/>
      <c r="G673" s="113"/>
      <c r="H673" s="113"/>
      <c r="I673" s="113"/>
    </row>
    <row r="674" spans="2:9" s="112" customFormat="1" ht="12.75">
      <c r="B674" s="113"/>
      <c r="C674" s="113"/>
      <c r="D674" s="113"/>
      <c r="E674" s="113"/>
      <c r="F674" s="113"/>
      <c r="G674" s="113"/>
      <c r="H674" s="113"/>
      <c r="I674" s="113"/>
    </row>
    <row r="675" spans="2:9" s="112" customFormat="1" ht="12.75">
      <c r="B675" s="113"/>
      <c r="C675" s="113"/>
      <c r="D675" s="113"/>
      <c r="E675" s="113"/>
      <c r="F675" s="113"/>
      <c r="G675" s="113"/>
      <c r="H675" s="113"/>
      <c r="I675" s="113"/>
    </row>
    <row r="676" spans="2:9" s="112" customFormat="1" ht="12.75">
      <c r="B676" s="113"/>
      <c r="C676" s="113"/>
      <c r="D676" s="113"/>
      <c r="E676" s="113"/>
      <c r="F676" s="113"/>
      <c r="G676" s="113"/>
      <c r="H676" s="113"/>
      <c r="I676" s="113"/>
    </row>
    <row r="677" spans="2:9" s="112" customFormat="1" ht="12.75">
      <c r="B677" s="113"/>
      <c r="C677" s="113"/>
      <c r="D677" s="113"/>
      <c r="E677" s="113"/>
      <c r="F677" s="113"/>
      <c r="G677" s="113"/>
      <c r="H677" s="113"/>
      <c r="I677" s="113"/>
    </row>
    <row r="678" spans="2:9" s="112" customFormat="1" ht="12.75">
      <c r="B678" s="113"/>
      <c r="C678" s="113"/>
      <c r="D678" s="113"/>
      <c r="E678" s="113"/>
      <c r="F678" s="113"/>
      <c r="G678" s="113"/>
      <c r="H678" s="113"/>
      <c r="I678" s="113"/>
    </row>
    <row r="679" spans="2:9" s="112" customFormat="1" ht="12.75">
      <c r="B679" s="113"/>
      <c r="C679" s="113"/>
      <c r="D679" s="113"/>
      <c r="E679" s="113"/>
      <c r="F679" s="113"/>
      <c r="G679" s="113"/>
      <c r="H679" s="113"/>
      <c r="I679" s="113"/>
    </row>
    <row r="680" spans="2:9" s="112" customFormat="1" ht="12.75">
      <c r="B680" s="113"/>
      <c r="C680" s="113"/>
      <c r="D680" s="113"/>
      <c r="E680" s="113"/>
      <c r="F680" s="113"/>
      <c r="G680" s="113"/>
      <c r="H680" s="113"/>
      <c r="I680" s="113"/>
    </row>
    <row r="681" spans="2:9" s="112" customFormat="1" ht="12.75">
      <c r="B681" s="113"/>
      <c r="C681" s="113"/>
      <c r="D681" s="113"/>
      <c r="E681" s="113"/>
      <c r="F681" s="113"/>
      <c r="G681" s="113"/>
      <c r="H681" s="113"/>
      <c r="I681" s="113"/>
    </row>
    <row r="682" spans="2:9" s="112" customFormat="1" ht="12.75">
      <c r="B682" s="113"/>
      <c r="C682" s="113"/>
      <c r="D682" s="113"/>
      <c r="E682" s="113"/>
      <c r="F682" s="113"/>
      <c r="G682" s="113"/>
      <c r="H682" s="113"/>
      <c r="I682" s="113"/>
    </row>
    <row r="683" spans="2:9" s="112" customFormat="1" ht="12.75">
      <c r="B683" s="113"/>
      <c r="C683" s="113"/>
      <c r="D683" s="113"/>
      <c r="E683" s="113"/>
      <c r="F683" s="113"/>
      <c r="G683" s="113"/>
      <c r="H683" s="113"/>
      <c r="I683" s="113"/>
    </row>
    <row r="684" spans="2:9" s="112" customFormat="1" ht="12.75">
      <c r="B684" s="113"/>
      <c r="C684" s="113"/>
      <c r="D684" s="113"/>
      <c r="E684" s="113"/>
      <c r="F684" s="113"/>
      <c r="G684" s="113"/>
      <c r="H684" s="113"/>
      <c r="I684" s="113"/>
    </row>
    <row r="685" spans="2:9" s="112" customFormat="1" ht="12.75">
      <c r="B685" s="113"/>
      <c r="C685" s="113"/>
      <c r="D685" s="113"/>
      <c r="E685" s="113"/>
      <c r="F685" s="113"/>
      <c r="G685" s="113"/>
      <c r="H685" s="113"/>
      <c r="I685" s="113"/>
    </row>
    <row r="686" spans="2:9" s="112" customFormat="1" ht="12.75">
      <c r="B686" s="113"/>
      <c r="C686" s="113"/>
      <c r="D686" s="113"/>
      <c r="E686" s="113"/>
      <c r="F686" s="113"/>
      <c r="G686" s="113"/>
      <c r="H686" s="113"/>
      <c r="I686" s="113"/>
    </row>
    <row r="687" spans="2:9" s="112" customFormat="1" ht="12.75">
      <c r="B687" s="113"/>
      <c r="C687" s="113"/>
      <c r="D687" s="113"/>
      <c r="E687" s="113"/>
      <c r="F687" s="113"/>
      <c r="G687" s="113"/>
      <c r="H687" s="113"/>
      <c r="I687" s="113"/>
    </row>
    <row r="688" spans="2:9" s="112" customFormat="1" ht="12.75">
      <c r="B688" s="113"/>
      <c r="C688" s="113"/>
      <c r="D688" s="113"/>
      <c r="E688" s="113"/>
      <c r="F688" s="113"/>
      <c r="G688" s="113"/>
      <c r="H688" s="113"/>
      <c r="I688" s="113"/>
    </row>
    <row r="689" spans="2:9" s="112" customFormat="1" ht="12.75">
      <c r="B689" s="113"/>
      <c r="C689" s="113"/>
      <c r="D689" s="113"/>
      <c r="E689" s="113"/>
      <c r="F689" s="113"/>
      <c r="G689" s="113"/>
      <c r="H689" s="113"/>
      <c r="I689" s="113"/>
    </row>
    <row r="690" spans="2:9" s="112" customFormat="1" ht="12.75">
      <c r="B690" s="113"/>
      <c r="C690" s="113"/>
      <c r="D690" s="113"/>
      <c r="E690" s="113"/>
      <c r="F690" s="113"/>
      <c r="G690" s="113"/>
      <c r="H690" s="113"/>
      <c r="I690" s="113"/>
    </row>
    <row r="691" spans="2:9" s="112" customFormat="1" ht="12.75">
      <c r="B691" s="113"/>
      <c r="C691" s="113"/>
      <c r="D691" s="113"/>
      <c r="E691" s="113"/>
      <c r="F691" s="113"/>
      <c r="G691" s="113"/>
      <c r="H691" s="113"/>
      <c r="I691" s="113"/>
    </row>
    <row r="692" spans="2:9" s="112" customFormat="1" ht="12.75">
      <c r="B692" s="113"/>
      <c r="C692" s="113"/>
      <c r="D692" s="113"/>
      <c r="E692" s="113"/>
      <c r="F692" s="113"/>
      <c r="G692" s="113"/>
      <c r="H692" s="113"/>
      <c r="I692" s="113"/>
    </row>
    <row r="693" spans="2:9" s="112" customFormat="1" ht="12.75">
      <c r="B693" s="113"/>
      <c r="C693" s="113"/>
      <c r="D693" s="113"/>
      <c r="E693" s="113"/>
      <c r="F693" s="113"/>
      <c r="G693" s="113"/>
      <c r="H693" s="113"/>
      <c r="I693" s="113"/>
    </row>
    <row r="694" spans="2:9" s="112" customFormat="1" ht="12.75">
      <c r="B694" s="113"/>
      <c r="C694" s="113"/>
      <c r="D694" s="113"/>
      <c r="E694" s="113"/>
      <c r="F694" s="113"/>
      <c r="G694" s="113"/>
      <c r="H694" s="113"/>
      <c r="I694" s="113"/>
    </row>
    <row r="695" spans="2:9" s="112" customFormat="1" ht="12.75">
      <c r="B695" s="113"/>
      <c r="C695" s="113"/>
      <c r="D695" s="113"/>
      <c r="E695" s="113"/>
      <c r="F695" s="113"/>
      <c r="G695" s="113"/>
      <c r="H695" s="113"/>
      <c r="I695" s="113"/>
    </row>
    <row r="696" spans="2:9" s="112" customFormat="1" ht="12.75">
      <c r="B696" s="113"/>
      <c r="C696" s="113"/>
      <c r="D696" s="113"/>
      <c r="E696" s="113"/>
      <c r="F696" s="113"/>
      <c r="G696" s="113"/>
      <c r="H696" s="113"/>
      <c r="I696" s="113"/>
    </row>
    <row r="697" spans="2:9" s="112" customFormat="1" ht="12.75">
      <c r="B697" s="113"/>
      <c r="C697" s="113"/>
      <c r="D697" s="113"/>
      <c r="E697" s="113"/>
      <c r="F697" s="113"/>
      <c r="G697" s="113"/>
      <c r="H697" s="113"/>
      <c r="I697" s="113"/>
    </row>
    <row r="698" spans="2:9" s="112" customFormat="1" ht="12.75">
      <c r="B698" s="113"/>
      <c r="C698" s="113"/>
      <c r="D698" s="113"/>
      <c r="E698" s="113"/>
      <c r="F698" s="113"/>
      <c r="G698" s="113"/>
      <c r="H698" s="113"/>
      <c r="I698" s="113"/>
    </row>
    <row r="699" spans="2:9" s="112" customFormat="1" ht="12.75">
      <c r="B699" s="113"/>
      <c r="C699" s="113"/>
      <c r="D699" s="113"/>
      <c r="E699" s="113"/>
      <c r="F699" s="113"/>
      <c r="G699" s="113"/>
      <c r="H699" s="113"/>
      <c r="I699" s="113"/>
    </row>
    <row r="700" spans="2:9" s="112" customFormat="1" ht="12.75">
      <c r="B700" s="113"/>
      <c r="C700" s="113"/>
      <c r="D700" s="113"/>
      <c r="E700" s="113"/>
      <c r="F700" s="113"/>
      <c r="G700" s="113"/>
      <c r="H700" s="113"/>
      <c r="I700" s="113"/>
    </row>
    <row r="701" spans="2:9" s="112" customFormat="1" ht="12.75">
      <c r="B701" s="113"/>
      <c r="C701" s="113"/>
      <c r="D701" s="113"/>
      <c r="E701" s="113"/>
      <c r="F701" s="113"/>
      <c r="G701" s="113"/>
      <c r="H701" s="113"/>
      <c r="I701" s="113"/>
    </row>
    <row r="702" spans="2:9" s="112" customFormat="1" ht="12.75">
      <c r="B702" s="113"/>
      <c r="C702" s="113"/>
      <c r="D702" s="113"/>
      <c r="E702" s="113"/>
      <c r="F702" s="113"/>
      <c r="G702" s="113"/>
      <c r="H702" s="113"/>
      <c r="I702" s="113"/>
    </row>
    <row r="703" spans="2:9" s="112" customFormat="1" ht="12.75">
      <c r="B703" s="113"/>
      <c r="C703" s="113"/>
      <c r="D703" s="113"/>
      <c r="E703" s="113"/>
      <c r="F703" s="113"/>
      <c r="G703" s="113"/>
      <c r="H703" s="113"/>
      <c r="I703" s="113"/>
    </row>
    <row r="704" spans="2:9" s="112" customFormat="1" ht="12.75">
      <c r="B704" s="113"/>
      <c r="C704" s="113"/>
      <c r="D704" s="113"/>
      <c r="E704" s="113"/>
      <c r="F704" s="113"/>
      <c r="G704" s="113"/>
      <c r="H704" s="113"/>
      <c r="I704" s="113"/>
    </row>
    <row r="705" spans="2:9" s="112" customFormat="1" ht="12.75">
      <c r="B705" s="113"/>
      <c r="C705" s="113"/>
      <c r="D705" s="113"/>
      <c r="E705" s="113"/>
      <c r="F705" s="113"/>
      <c r="G705" s="113"/>
      <c r="H705" s="113"/>
      <c r="I705" s="113"/>
    </row>
    <row r="706" spans="2:9" s="112" customFormat="1" ht="12.75">
      <c r="B706" s="113"/>
      <c r="C706" s="113"/>
      <c r="D706" s="113"/>
      <c r="E706" s="113"/>
      <c r="F706" s="113"/>
      <c r="G706" s="113"/>
      <c r="H706" s="113"/>
      <c r="I706" s="113"/>
    </row>
    <row r="707" spans="2:9" s="112" customFormat="1" ht="12.75">
      <c r="B707" s="113"/>
      <c r="C707" s="113"/>
      <c r="D707" s="113"/>
      <c r="E707" s="113"/>
      <c r="F707" s="113"/>
      <c r="G707" s="113"/>
      <c r="H707" s="113"/>
      <c r="I707" s="113"/>
    </row>
    <row r="708" spans="2:9" s="112" customFormat="1" ht="12.75">
      <c r="B708" s="113"/>
      <c r="C708" s="113"/>
      <c r="D708" s="113"/>
      <c r="E708" s="113"/>
      <c r="F708" s="113"/>
      <c r="G708" s="113"/>
      <c r="H708" s="113"/>
      <c r="I708" s="113"/>
    </row>
    <row r="709" spans="2:9" s="112" customFormat="1" ht="12.75">
      <c r="B709" s="113"/>
      <c r="C709" s="113"/>
      <c r="D709" s="113"/>
      <c r="E709" s="113"/>
      <c r="F709" s="113"/>
      <c r="G709" s="113"/>
      <c r="H709" s="113"/>
      <c r="I709" s="113"/>
    </row>
    <row r="710" spans="2:9" s="112" customFormat="1" ht="12.75">
      <c r="B710" s="113"/>
      <c r="C710" s="113"/>
      <c r="D710" s="113"/>
      <c r="E710" s="113"/>
      <c r="F710" s="113"/>
      <c r="G710" s="113"/>
      <c r="H710" s="113"/>
      <c r="I710" s="113"/>
    </row>
    <row r="711" spans="2:9" s="112" customFormat="1" ht="12.75">
      <c r="B711" s="113"/>
      <c r="C711" s="113"/>
      <c r="D711" s="113"/>
      <c r="E711" s="113"/>
      <c r="F711" s="113"/>
      <c r="G711" s="113"/>
      <c r="H711" s="113"/>
      <c r="I711" s="113"/>
    </row>
    <row r="712" spans="2:9" s="112" customFormat="1" ht="12.75">
      <c r="B712" s="113"/>
      <c r="C712" s="113"/>
      <c r="D712" s="113"/>
      <c r="E712" s="113"/>
      <c r="F712" s="113"/>
      <c r="G712" s="113"/>
      <c r="H712" s="113"/>
      <c r="I712" s="113"/>
    </row>
    <row r="713" spans="2:9" s="112" customFormat="1" ht="12.75">
      <c r="B713" s="113"/>
      <c r="C713" s="113"/>
      <c r="D713" s="113"/>
      <c r="E713" s="113"/>
      <c r="F713" s="113"/>
      <c r="G713" s="113"/>
      <c r="H713" s="113"/>
      <c r="I713" s="113"/>
    </row>
    <row r="714" spans="2:9" s="112" customFormat="1" ht="12.75">
      <c r="B714" s="113"/>
      <c r="C714" s="113"/>
      <c r="D714" s="113"/>
      <c r="E714" s="113"/>
      <c r="F714" s="113"/>
      <c r="G714" s="113"/>
      <c r="H714" s="113"/>
      <c r="I714" s="113"/>
    </row>
    <row r="715" spans="2:9" s="112" customFormat="1" ht="12.75">
      <c r="B715" s="113"/>
      <c r="C715" s="113"/>
      <c r="D715" s="113"/>
      <c r="E715" s="113"/>
      <c r="F715" s="113"/>
      <c r="G715" s="113"/>
      <c r="H715" s="113"/>
      <c r="I715" s="113"/>
    </row>
    <row r="716" spans="2:9" s="112" customFormat="1" ht="12.75">
      <c r="B716" s="113"/>
      <c r="C716" s="113"/>
      <c r="D716" s="113"/>
      <c r="E716" s="113"/>
      <c r="F716" s="113"/>
      <c r="G716" s="113"/>
      <c r="H716" s="113"/>
      <c r="I716" s="113"/>
    </row>
    <row r="717" spans="2:9" s="112" customFormat="1" ht="12.75">
      <c r="B717" s="113"/>
      <c r="C717" s="113"/>
      <c r="D717" s="113"/>
      <c r="E717" s="113"/>
      <c r="F717" s="113"/>
      <c r="G717" s="113"/>
      <c r="H717" s="113"/>
      <c r="I717" s="113"/>
    </row>
    <row r="718" spans="2:9" s="112" customFormat="1" ht="12.75">
      <c r="B718" s="113"/>
      <c r="C718" s="113"/>
      <c r="D718" s="113"/>
      <c r="E718" s="113"/>
      <c r="F718" s="113"/>
      <c r="G718" s="113"/>
      <c r="H718" s="113"/>
      <c r="I718" s="113"/>
    </row>
    <row r="719" spans="2:9" s="112" customFormat="1" ht="12.75">
      <c r="B719" s="113"/>
      <c r="C719" s="113"/>
      <c r="D719" s="113"/>
      <c r="E719" s="113"/>
      <c r="F719" s="113"/>
      <c r="G719" s="113"/>
      <c r="H719" s="113"/>
      <c r="I719" s="113"/>
    </row>
    <row r="720" spans="2:9" s="112" customFormat="1" ht="12.75">
      <c r="B720" s="113"/>
      <c r="C720" s="113"/>
      <c r="D720" s="113"/>
      <c r="E720" s="113"/>
      <c r="F720" s="113"/>
      <c r="G720" s="113"/>
      <c r="H720" s="113"/>
      <c r="I720" s="113"/>
    </row>
    <row r="721" spans="2:9" s="112" customFormat="1" ht="12.75">
      <c r="B721" s="113"/>
      <c r="C721" s="113"/>
      <c r="D721" s="113"/>
      <c r="E721" s="113"/>
      <c r="F721" s="113"/>
      <c r="G721" s="113"/>
      <c r="H721" s="113"/>
      <c r="I721" s="113"/>
    </row>
    <row r="722" spans="2:9" s="112" customFormat="1" ht="12.75">
      <c r="B722" s="113"/>
      <c r="C722" s="113"/>
      <c r="D722" s="113"/>
      <c r="E722" s="113"/>
      <c r="F722" s="113"/>
      <c r="G722" s="113"/>
      <c r="H722" s="113"/>
      <c r="I722" s="113"/>
    </row>
    <row r="723" spans="2:9" s="112" customFormat="1" ht="12.75">
      <c r="B723" s="113"/>
      <c r="C723" s="113"/>
      <c r="D723" s="113"/>
      <c r="E723" s="113"/>
      <c r="F723" s="113"/>
      <c r="G723" s="113"/>
      <c r="H723" s="113"/>
      <c r="I723" s="113"/>
    </row>
    <row r="724" spans="2:9" s="112" customFormat="1" ht="12.75">
      <c r="B724" s="113"/>
      <c r="C724" s="113"/>
      <c r="D724" s="113"/>
      <c r="E724" s="113"/>
      <c r="F724" s="113"/>
      <c r="G724" s="113"/>
      <c r="H724" s="113"/>
      <c r="I724" s="113"/>
    </row>
    <row r="725" spans="2:9" s="112" customFormat="1" ht="12.75">
      <c r="B725" s="113"/>
      <c r="C725" s="113"/>
      <c r="D725" s="113"/>
      <c r="E725" s="113"/>
      <c r="F725" s="113"/>
      <c r="G725" s="113"/>
      <c r="H725" s="113"/>
      <c r="I725" s="113"/>
    </row>
    <row r="726" spans="2:9" s="112" customFormat="1" ht="12.75">
      <c r="B726" s="113"/>
      <c r="C726" s="113"/>
      <c r="D726" s="113"/>
      <c r="E726" s="113"/>
      <c r="F726" s="113"/>
      <c r="G726" s="113"/>
      <c r="H726" s="113"/>
      <c r="I726" s="113"/>
    </row>
    <row r="727" spans="2:9" s="112" customFormat="1" ht="12.75">
      <c r="B727" s="113"/>
      <c r="C727" s="113"/>
      <c r="D727" s="113"/>
      <c r="E727" s="113"/>
      <c r="F727" s="113"/>
      <c r="G727" s="113"/>
      <c r="H727" s="113"/>
      <c r="I727" s="113"/>
    </row>
    <row r="728" spans="2:9" s="112" customFormat="1" ht="12.75">
      <c r="B728" s="113"/>
      <c r="C728" s="113"/>
      <c r="D728" s="113"/>
      <c r="E728" s="113"/>
      <c r="F728" s="113"/>
      <c r="G728" s="113"/>
      <c r="H728" s="113"/>
      <c r="I728" s="113"/>
    </row>
    <row r="729" spans="2:9" s="112" customFormat="1" ht="12.75">
      <c r="B729" s="113"/>
      <c r="C729" s="113"/>
      <c r="D729" s="113"/>
      <c r="E729" s="113"/>
      <c r="F729" s="113"/>
      <c r="G729" s="113"/>
      <c r="H729" s="113"/>
      <c r="I729" s="113"/>
    </row>
    <row r="730" spans="2:9" s="112" customFormat="1" ht="12.75">
      <c r="B730" s="113"/>
      <c r="C730" s="113"/>
      <c r="D730" s="113"/>
      <c r="E730" s="113"/>
      <c r="F730" s="113"/>
      <c r="G730" s="113"/>
      <c r="H730" s="113"/>
      <c r="I730" s="113"/>
    </row>
    <row r="731" spans="2:9" s="112" customFormat="1" ht="12.75">
      <c r="B731" s="113"/>
      <c r="C731" s="113"/>
      <c r="D731" s="113"/>
      <c r="E731" s="113"/>
      <c r="F731" s="113"/>
      <c r="G731" s="113"/>
      <c r="H731" s="113"/>
      <c r="I731" s="113"/>
    </row>
    <row r="732" spans="2:9" s="112" customFormat="1" ht="12.75">
      <c r="B732" s="113"/>
      <c r="C732" s="113"/>
      <c r="D732" s="113"/>
      <c r="E732" s="113"/>
      <c r="F732" s="113"/>
      <c r="G732" s="113"/>
      <c r="H732" s="113"/>
      <c r="I732" s="113"/>
    </row>
    <row r="733" spans="2:9" s="112" customFormat="1" ht="12.75">
      <c r="B733" s="113"/>
      <c r="C733" s="113"/>
      <c r="D733" s="113"/>
      <c r="E733" s="113"/>
      <c r="F733" s="113"/>
      <c r="G733" s="113"/>
      <c r="H733" s="113"/>
      <c r="I733" s="113"/>
    </row>
    <row r="734" spans="2:9" s="112" customFormat="1" ht="12.75">
      <c r="B734" s="113"/>
      <c r="C734" s="113"/>
      <c r="D734" s="113"/>
      <c r="E734" s="113"/>
      <c r="F734" s="113"/>
      <c r="G734" s="113"/>
      <c r="H734" s="113"/>
      <c r="I734" s="113"/>
    </row>
    <row r="735" spans="2:9" s="112" customFormat="1" ht="12.75">
      <c r="B735" s="113"/>
      <c r="C735" s="113"/>
      <c r="D735" s="113"/>
      <c r="E735" s="113"/>
      <c r="F735" s="113"/>
      <c r="G735" s="113"/>
      <c r="H735" s="113"/>
      <c r="I735" s="113"/>
    </row>
    <row r="736" spans="2:9" s="112" customFormat="1" ht="12.75">
      <c r="B736" s="113"/>
      <c r="C736" s="113"/>
      <c r="D736" s="113"/>
      <c r="E736" s="113"/>
      <c r="F736" s="113"/>
      <c r="G736" s="113"/>
      <c r="H736" s="113"/>
      <c r="I736" s="113"/>
    </row>
    <row r="737" spans="2:9" s="112" customFormat="1" ht="12.75">
      <c r="B737" s="113"/>
      <c r="C737" s="113"/>
      <c r="D737" s="113"/>
      <c r="E737" s="113"/>
      <c r="F737" s="113"/>
      <c r="G737" s="113"/>
      <c r="H737" s="113"/>
      <c r="I737" s="113"/>
    </row>
    <row r="738" spans="2:9" s="112" customFormat="1" ht="12.75">
      <c r="B738" s="113"/>
      <c r="C738" s="113"/>
      <c r="D738" s="113"/>
      <c r="E738" s="113"/>
      <c r="F738" s="113"/>
      <c r="G738" s="113"/>
      <c r="H738" s="113"/>
      <c r="I738" s="113"/>
    </row>
    <row r="739" spans="2:9" s="112" customFormat="1" ht="12.75">
      <c r="B739" s="113"/>
      <c r="C739" s="113"/>
      <c r="D739" s="113"/>
      <c r="E739" s="113"/>
      <c r="F739" s="113"/>
      <c r="G739" s="113"/>
      <c r="H739" s="113"/>
      <c r="I739" s="113"/>
    </row>
    <row r="740" spans="2:9" s="112" customFormat="1" ht="12.75">
      <c r="B740" s="113"/>
      <c r="C740" s="113"/>
      <c r="D740" s="113"/>
      <c r="E740" s="113"/>
      <c r="F740" s="113"/>
      <c r="G740" s="113"/>
      <c r="H740" s="113"/>
      <c r="I740" s="113"/>
    </row>
    <row r="741" spans="2:9" s="112" customFormat="1" ht="12.75">
      <c r="B741" s="113"/>
      <c r="C741" s="113"/>
      <c r="D741" s="113"/>
      <c r="E741" s="113"/>
      <c r="F741" s="113"/>
      <c r="G741" s="113"/>
      <c r="H741" s="113"/>
      <c r="I741" s="113"/>
    </row>
    <row r="742" spans="2:9" s="112" customFormat="1" ht="12.75">
      <c r="B742" s="113"/>
      <c r="C742" s="113"/>
      <c r="D742" s="113"/>
      <c r="E742" s="113"/>
      <c r="F742" s="113"/>
      <c r="G742" s="113"/>
      <c r="H742" s="113"/>
      <c r="I742" s="113"/>
    </row>
    <row r="743" spans="2:9" s="112" customFormat="1" ht="12.75">
      <c r="B743" s="113"/>
      <c r="C743" s="113"/>
      <c r="D743" s="113"/>
      <c r="E743" s="113"/>
      <c r="F743" s="113"/>
      <c r="G743" s="113"/>
      <c r="H743" s="113"/>
      <c r="I743" s="113"/>
    </row>
    <row r="744" spans="2:9" s="112" customFormat="1" ht="12.75">
      <c r="B744" s="113"/>
      <c r="C744" s="113"/>
      <c r="D744" s="113"/>
      <c r="E744" s="113"/>
      <c r="F744" s="113"/>
      <c r="G744" s="113"/>
      <c r="H744" s="113"/>
      <c r="I744" s="113"/>
    </row>
    <row r="745" spans="2:9" s="112" customFormat="1" ht="12.75">
      <c r="B745" s="113"/>
      <c r="C745" s="113"/>
      <c r="D745" s="113"/>
      <c r="E745" s="113"/>
      <c r="F745" s="113"/>
      <c r="G745" s="113"/>
      <c r="H745" s="113"/>
      <c r="I745" s="113"/>
    </row>
    <row r="746" spans="2:9" s="112" customFormat="1" ht="12.75">
      <c r="B746" s="113"/>
      <c r="C746" s="113"/>
      <c r="D746" s="113"/>
      <c r="E746" s="113"/>
      <c r="F746" s="113"/>
      <c r="G746" s="113"/>
      <c r="H746" s="113"/>
      <c r="I746" s="113"/>
    </row>
    <row r="747" spans="2:9" s="112" customFormat="1" ht="12.75">
      <c r="B747" s="113"/>
      <c r="C747" s="113"/>
      <c r="D747" s="113"/>
      <c r="E747" s="113"/>
      <c r="F747" s="113"/>
      <c r="G747" s="113"/>
      <c r="H747" s="113"/>
      <c r="I747" s="113"/>
    </row>
    <row r="748" spans="2:9" s="112" customFormat="1" ht="12.75">
      <c r="B748" s="113"/>
      <c r="C748" s="113"/>
      <c r="D748" s="113"/>
      <c r="E748" s="113"/>
      <c r="F748" s="113"/>
      <c r="G748" s="113"/>
      <c r="H748" s="113"/>
      <c r="I748" s="113"/>
    </row>
    <row r="749" spans="2:9" s="112" customFormat="1" ht="12.75">
      <c r="B749" s="113"/>
      <c r="C749" s="113"/>
      <c r="D749" s="113"/>
      <c r="E749" s="113"/>
      <c r="F749" s="113"/>
      <c r="G749" s="113"/>
      <c r="H749" s="113"/>
      <c r="I749" s="113"/>
    </row>
    <row r="750" spans="2:9" s="112" customFormat="1" ht="12.75">
      <c r="B750" s="113"/>
      <c r="C750" s="113"/>
      <c r="D750" s="113"/>
      <c r="E750" s="113"/>
      <c r="F750" s="113"/>
      <c r="G750" s="113"/>
      <c r="H750" s="113"/>
      <c r="I750" s="113"/>
    </row>
    <row r="751" spans="2:9" s="112" customFormat="1" ht="12.75">
      <c r="B751" s="113"/>
      <c r="C751" s="113"/>
      <c r="D751" s="113"/>
      <c r="E751" s="113"/>
      <c r="F751" s="113"/>
      <c r="G751" s="113"/>
      <c r="H751" s="113"/>
      <c r="I751" s="113"/>
    </row>
    <row r="752" spans="2:9" s="112" customFormat="1" ht="12.75">
      <c r="B752" s="113"/>
      <c r="C752" s="113"/>
      <c r="D752" s="113"/>
      <c r="E752" s="113"/>
      <c r="F752" s="113"/>
      <c r="G752" s="113"/>
      <c r="H752" s="113"/>
      <c r="I752" s="113"/>
    </row>
    <row r="753" spans="2:9" s="112" customFormat="1" ht="12.75">
      <c r="B753" s="113"/>
      <c r="C753" s="113"/>
      <c r="D753" s="113"/>
      <c r="E753" s="113"/>
      <c r="F753" s="113"/>
      <c r="G753" s="113"/>
      <c r="H753" s="113"/>
      <c r="I753" s="113"/>
    </row>
    <row r="754" spans="2:9" s="112" customFormat="1" ht="12.75">
      <c r="B754" s="113"/>
      <c r="C754" s="113"/>
      <c r="D754" s="113"/>
      <c r="E754" s="113"/>
      <c r="F754" s="113"/>
      <c r="G754" s="113"/>
      <c r="H754" s="113"/>
      <c r="I754" s="113"/>
    </row>
    <row r="755" spans="2:9" s="112" customFormat="1" ht="12.75">
      <c r="B755" s="113"/>
      <c r="C755" s="113"/>
      <c r="D755" s="113"/>
      <c r="E755" s="113"/>
      <c r="F755" s="113"/>
      <c r="G755" s="113"/>
      <c r="H755" s="113"/>
      <c r="I755" s="113"/>
    </row>
    <row r="756" spans="2:9" s="112" customFormat="1" ht="12.75">
      <c r="B756" s="113"/>
      <c r="C756" s="113"/>
      <c r="D756" s="113"/>
      <c r="E756" s="113"/>
      <c r="F756" s="113"/>
      <c r="G756" s="113"/>
      <c r="H756" s="113"/>
      <c r="I756" s="113"/>
    </row>
    <row r="757" spans="2:9" s="112" customFormat="1" ht="12.75">
      <c r="B757" s="113"/>
      <c r="C757" s="113"/>
      <c r="D757" s="113"/>
      <c r="E757" s="113"/>
      <c r="F757" s="113"/>
      <c r="G757" s="113"/>
      <c r="H757" s="113"/>
      <c r="I757" s="113"/>
    </row>
    <row r="758" spans="2:9" s="112" customFormat="1" ht="12.75">
      <c r="B758" s="113"/>
      <c r="C758" s="113"/>
      <c r="D758" s="113"/>
      <c r="E758" s="113"/>
      <c r="F758" s="113"/>
      <c r="G758" s="113"/>
      <c r="H758" s="113"/>
      <c r="I758" s="113"/>
    </row>
    <row r="759" spans="2:9" s="112" customFormat="1" ht="12.75">
      <c r="B759" s="113"/>
      <c r="C759" s="113"/>
      <c r="D759" s="113"/>
      <c r="E759" s="113"/>
      <c r="F759" s="113"/>
      <c r="G759" s="113"/>
      <c r="H759" s="113"/>
      <c r="I759" s="113"/>
    </row>
    <row r="760" spans="2:9" s="112" customFormat="1" ht="12.75">
      <c r="B760" s="113"/>
      <c r="C760" s="113"/>
      <c r="D760" s="113"/>
      <c r="E760" s="113"/>
      <c r="F760" s="113"/>
      <c r="G760" s="113"/>
      <c r="H760" s="113"/>
      <c r="I760" s="113"/>
    </row>
    <row r="761" spans="2:9" s="112" customFormat="1" ht="12.75">
      <c r="B761" s="113"/>
      <c r="C761" s="113"/>
      <c r="D761" s="113"/>
      <c r="E761" s="113"/>
      <c r="F761" s="113"/>
      <c r="G761" s="113"/>
      <c r="H761" s="113"/>
      <c r="I761" s="113"/>
    </row>
    <row r="762" spans="2:9" s="112" customFormat="1" ht="12.75">
      <c r="B762" s="113"/>
      <c r="C762" s="113"/>
      <c r="D762" s="113"/>
      <c r="E762" s="113"/>
      <c r="F762" s="113"/>
      <c r="G762" s="113"/>
      <c r="H762" s="113"/>
      <c r="I762" s="113"/>
    </row>
    <row r="763" spans="2:9" s="112" customFormat="1" ht="12.75">
      <c r="B763" s="113"/>
      <c r="C763" s="113"/>
      <c r="D763" s="113"/>
      <c r="E763" s="113"/>
      <c r="F763" s="113"/>
      <c r="G763" s="113"/>
      <c r="H763" s="113"/>
      <c r="I763" s="113"/>
    </row>
    <row r="764" spans="2:9" s="112" customFormat="1" ht="12.75">
      <c r="B764" s="113"/>
      <c r="C764" s="113"/>
      <c r="D764" s="113"/>
      <c r="E764" s="113"/>
      <c r="F764" s="113"/>
      <c r="G764" s="113"/>
      <c r="H764" s="113"/>
      <c r="I764" s="113"/>
    </row>
    <row r="765" spans="2:9" s="112" customFormat="1" ht="12.75">
      <c r="B765" s="113"/>
      <c r="C765" s="113"/>
      <c r="D765" s="113"/>
      <c r="E765" s="113"/>
      <c r="F765" s="113"/>
      <c r="G765" s="113"/>
      <c r="H765" s="113"/>
      <c r="I765" s="113"/>
    </row>
    <row r="766" spans="2:9" s="112" customFormat="1" ht="12.75">
      <c r="B766" s="113"/>
      <c r="C766" s="113"/>
      <c r="D766" s="113"/>
      <c r="E766" s="113"/>
      <c r="F766" s="113"/>
      <c r="G766" s="113"/>
      <c r="H766" s="113"/>
      <c r="I766" s="113"/>
    </row>
    <row r="767" spans="2:9" s="112" customFormat="1" ht="12.75">
      <c r="B767" s="113"/>
      <c r="C767" s="113"/>
      <c r="D767" s="113"/>
      <c r="E767" s="113"/>
      <c r="F767" s="113"/>
      <c r="G767" s="113"/>
      <c r="H767" s="113"/>
      <c r="I767" s="113"/>
    </row>
    <row r="768" spans="2:9" s="112" customFormat="1" ht="12.75">
      <c r="B768" s="113"/>
      <c r="C768" s="113"/>
      <c r="D768" s="113"/>
      <c r="E768" s="113"/>
      <c r="F768" s="113"/>
      <c r="G768" s="113"/>
      <c r="H768" s="113"/>
      <c r="I768" s="113"/>
    </row>
    <row r="769" spans="2:9" s="112" customFormat="1" ht="12.75">
      <c r="B769" s="113"/>
      <c r="C769" s="113"/>
      <c r="D769" s="113"/>
      <c r="E769" s="113"/>
      <c r="F769" s="113"/>
      <c r="G769" s="113"/>
      <c r="H769" s="113"/>
      <c r="I769" s="113"/>
    </row>
    <row r="770" spans="2:9" s="112" customFormat="1" ht="12.75">
      <c r="B770" s="113"/>
      <c r="C770" s="113"/>
      <c r="D770" s="113"/>
      <c r="E770" s="113"/>
      <c r="F770" s="113"/>
      <c r="G770" s="113"/>
      <c r="H770" s="113"/>
      <c r="I770" s="113"/>
    </row>
    <row r="771" spans="2:9" s="112" customFormat="1" ht="12.75">
      <c r="B771" s="113"/>
      <c r="C771" s="113"/>
      <c r="D771" s="113"/>
      <c r="E771" s="113"/>
      <c r="F771" s="113"/>
      <c r="G771" s="113"/>
      <c r="H771" s="113"/>
      <c r="I771" s="113"/>
    </row>
    <row r="772" spans="2:9" s="112" customFormat="1" ht="12.75">
      <c r="B772" s="113"/>
      <c r="C772" s="113"/>
      <c r="D772" s="113"/>
      <c r="E772" s="113"/>
      <c r="F772" s="113"/>
      <c r="G772" s="113"/>
      <c r="H772" s="113"/>
      <c r="I772" s="113"/>
    </row>
    <row r="773" spans="2:9" s="112" customFormat="1" ht="12.75">
      <c r="B773" s="113"/>
      <c r="C773" s="113"/>
      <c r="D773" s="113"/>
      <c r="E773" s="113"/>
      <c r="F773" s="113"/>
      <c r="G773" s="113"/>
      <c r="H773" s="113"/>
      <c r="I773" s="113"/>
    </row>
    <row r="774" spans="2:9" s="112" customFormat="1" ht="12.75">
      <c r="B774" s="113"/>
      <c r="C774" s="113"/>
      <c r="D774" s="113"/>
      <c r="E774" s="113"/>
      <c r="F774" s="113"/>
      <c r="G774" s="113"/>
      <c r="H774" s="113"/>
      <c r="I774" s="113"/>
    </row>
    <row r="775" spans="2:9" s="112" customFormat="1" ht="12.75">
      <c r="B775" s="113"/>
      <c r="C775" s="113"/>
      <c r="D775" s="113"/>
      <c r="E775" s="113"/>
      <c r="F775" s="113"/>
      <c r="G775" s="113"/>
      <c r="H775" s="113"/>
      <c r="I775" s="113"/>
    </row>
    <row r="776" spans="2:9" s="112" customFormat="1" ht="12.75">
      <c r="B776" s="113"/>
      <c r="C776" s="113"/>
      <c r="D776" s="113"/>
      <c r="E776" s="113"/>
      <c r="F776" s="113"/>
      <c r="G776" s="113"/>
      <c r="H776" s="113"/>
      <c r="I776" s="113"/>
    </row>
    <row r="777" spans="2:9" s="112" customFormat="1" ht="12.75">
      <c r="B777" s="113"/>
      <c r="C777" s="113"/>
      <c r="D777" s="113"/>
      <c r="E777" s="113"/>
      <c r="F777" s="113"/>
      <c r="G777" s="113"/>
      <c r="H777" s="113"/>
      <c r="I777" s="113"/>
    </row>
    <row r="778" spans="2:9" s="112" customFormat="1" ht="12.75">
      <c r="B778" s="113"/>
      <c r="C778" s="113"/>
      <c r="D778" s="113"/>
      <c r="E778" s="113"/>
      <c r="F778" s="113"/>
      <c r="G778" s="113"/>
      <c r="H778" s="113"/>
      <c r="I778" s="113"/>
    </row>
    <row r="779" spans="2:9" s="112" customFormat="1" ht="12.75">
      <c r="B779" s="113"/>
      <c r="C779" s="113"/>
      <c r="D779" s="113"/>
      <c r="E779" s="113"/>
      <c r="F779" s="113"/>
      <c r="G779" s="113"/>
      <c r="H779" s="113"/>
      <c r="I779" s="113"/>
    </row>
    <row r="780" spans="2:9" s="112" customFormat="1" ht="12.75">
      <c r="B780" s="113"/>
      <c r="C780" s="113"/>
      <c r="D780" s="113"/>
      <c r="E780" s="113"/>
      <c r="F780" s="113"/>
      <c r="G780" s="113"/>
      <c r="H780" s="113"/>
      <c r="I780" s="113"/>
    </row>
    <row r="781" spans="2:9" s="112" customFormat="1" ht="12.75">
      <c r="B781" s="113"/>
      <c r="C781" s="113"/>
      <c r="D781" s="113"/>
      <c r="E781" s="113"/>
      <c r="F781" s="113"/>
      <c r="G781" s="113"/>
      <c r="H781" s="113"/>
      <c r="I781" s="113"/>
    </row>
    <row r="782" spans="2:9" s="112" customFormat="1" ht="12.75">
      <c r="B782" s="113"/>
      <c r="C782" s="113"/>
      <c r="D782" s="113"/>
      <c r="E782" s="113"/>
      <c r="F782" s="113"/>
      <c r="G782" s="113"/>
      <c r="H782" s="113"/>
      <c r="I782" s="113"/>
    </row>
    <row r="783" spans="2:9" s="112" customFormat="1" ht="12.75">
      <c r="B783" s="113"/>
      <c r="C783" s="113"/>
      <c r="D783" s="113"/>
      <c r="E783" s="113"/>
      <c r="F783" s="113"/>
      <c r="G783" s="113"/>
      <c r="H783" s="113"/>
      <c r="I783" s="113"/>
    </row>
    <row r="784" spans="2:9" s="112" customFormat="1" ht="12.75">
      <c r="B784" s="113"/>
      <c r="C784" s="113"/>
      <c r="D784" s="113"/>
      <c r="E784" s="113"/>
      <c r="F784" s="113"/>
      <c r="G784" s="113"/>
      <c r="H784" s="113"/>
      <c r="I784" s="113"/>
    </row>
    <row r="785" spans="2:9" s="112" customFormat="1" ht="12.75">
      <c r="B785" s="113"/>
      <c r="C785" s="113"/>
      <c r="D785" s="113"/>
      <c r="E785" s="113"/>
      <c r="F785" s="113"/>
      <c r="G785" s="113"/>
      <c r="H785" s="113"/>
      <c r="I785" s="113"/>
    </row>
    <row r="786" spans="2:9" s="112" customFormat="1" ht="12.75">
      <c r="B786" s="113"/>
      <c r="C786" s="113"/>
      <c r="D786" s="113"/>
      <c r="E786" s="113"/>
      <c r="F786" s="113"/>
      <c r="G786" s="113"/>
      <c r="H786" s="113"/>
      <c r="I786" s="113"/>
    </row>
    <row r="787" spans="2:9" s="112" customFormat="1" ht="12.75">
      <c r="B787" s="113"/>
      <c r="C787" s="113"/>
      <c r="D787" s="113"/>
      <c r="E787" s="113"/>
      <c r="F787" s="113"/>
      <c r="G787" s="113"/>
      <c r="H787" s="113"/>
      <c r="I787" s="113"/>
    </row>
    <row r="788" spans="2:9" s="112" customFormat="1" ht="12.75">
      <c r="B788" s="113"/>
      <c r="C788" s="113"/>
      <c r="D788" s="113"/>
      <c r="E788" s="113"/>
      <c r="F788" s="113"/>
      <c r="G788" s="113"/>
      <c r="H788" s="113"/>
      <c r="I788" s="113"/>
    </row>
    <row r="789" spans="2:9" s="112" customFormat="1" ht="12.75">
      <c r="B789" s="113"/>
      <c r="C789" s="113"/>
      <c r="D789" s="113"/>
      <c r="E789" s="113"/>
      <c r="F789" s="113"/>
      <c r="G789" s="113"/>
      <c r="H789" s="113"/>
      <c r="I789" s="113"/>
    </row>
    <row r="790" spans="2:9" s="112" customFormat="1" ht="12.75">
      <c r="B790" s="113"/>
      <c r="C790" s="113"/>
      <c r="D790" s="113"/>
      <c r="E790" s="113"/>
      <c r="F790" s="113"/>
      <c r="G790" s="113"/>
      <c r="H790" s="113"/>
      <c r="I790" s="113"/>
    </row>
    <row r="791" spans="2:9" s="112" customFormat="1" ht="12.75">
      <c r="B791" s="113"/>
      <c r="C791" s="113"/>
      <c r="D791" s="113"/>
      <c r="E791" s="113"/>
      <c r="F791" s="113"/>
      <c r="G791" s="113"/>
      <c r="H791" s="113"/>
      <c r="I791" s="113"/>
    </row>
    <row r="792" spans="2:9" s="112" customFormat="1" ht="12.75">
      <c r="B792" s="113"/>
      <c r="C792" s="113"/>
      <c r="D792" s="113"/>
      <c r="E792" s="113"/>
      <c r="F792" s="113"/>
      <c r="G792" s="113"/>
      <c r="H792" s="113"/>
      <c r="I792" s="113"/>
    </row>
    <row r="793" spans="2:9" s="112" customFormat="1" ht="12.75">
      <c r="B793" s="113"/>
      <c r="C793" s="113"/>
      <c r="D793" s="113"/>
      <c r="E793" s="113"/>
      <c r="F793" s="113"/>
      <c r="G793" s="113"/>
      <c r="H793" s="113"/>
      <c r="I793" s="113"/>
    </row>
    <row r="794" spans="2:9" s="112" customFormat="1" ht="12.75">
      <c r="B794" s="113"/>
      <c r="C794" s="113"/>
      <c r="D794" s="113"/>
      <c r="E794" s="113"/>
      <c r="F794" s="113"/>
      <c r="G794" s="113"/>
      <c r="H794" s="113"/>
      <c r="I794" s="113"/>
    </row>
    <row r="795" spans="2:9" s="112" customFormat="1" ht="12.75">
      <c r="B795" s="113"/>
      <c r="C795" s="113"/>
      <c r="D795" s="113"/>
      <c r="E795" s="113"/>
      <c r="F795" s="113"/>
      <c r="G795" s="113"/>
      <c r="H795" s="113"/>
      <c r="I795" s="113"/>
    </row>
    <row r="796" spans="2:9" s="112" customFormat="1" ht="12.75">
      <c r="B796" s="113"/>
      <c r="C796" s="113"/>
      <c r="D796" s="113"/>
      <c r="E796" s="113"/>
      <c r="F796" s="113"/>
      <c r="G796" s="113"/>
      <c r="H796" s="113"/>
      <c r="I796" s="113"/>
    </row>
    <row r="797" spans="2:9" s="112" customFormat="1" ht="12.75">
      <c r="B797" s="113"/>
      <c r="C797" s="113"/>
      <c r="D797" s="113"/>
      <c r="E797" s="113"/>
      <c r="F797" s="113"/>
      <c r="G797" s="113"/>
      <c r="H797" s="113"/>
      <c r="I797" s="113"/>
    </row>
    <row r="798" spans="2:9" s="112" customFormat="1" ht="12.75">
      <c r="B798" s="113"/>
      <c r="C798" s="113"/>
      <c r="D798" s="113"/>
      <c r="E798" s="113"/>
      <c r="F798" s="113"/>
      <c r="G798" s="113"/>
      <c r="H798" s="113"/>
      <c r="I798" s="113"/>
    </row>
    <row r="799" spans="2:9" s="112" customFormat="1" ht="12.75">
      <c r="B799" s="113"/>
      <c r="C799" s="113"/>
      <c r="D799" s="113"/>
      <c r="E799" s="113"/>
      <c r="F799" s="113"/>
      <c r="G799" s="113"/>
      <c r="H799" s="113"/>
      <c r="I799" s="113"/>
    </row>
    <row r="800" spans="2:9" s="112" customFormat="1" ht="12.75">
      <c r="B800" s="113"/>
      <c r="C800" s="113"/>
      <c r="D800" s="113"/>
      <c r="E800" s="113"/>
      <c r="F800" s="113"/>
      <c r="G800" s="113"/>
      <c r="H800" s="113"/>
      <c r="I800" s="113"/>
    </row>
    <row r="801" spans="2:9" s="112" customFormat="1" ht="12.75">
      <c r="B801" s="113"/>
      <c r="C801" s="113"/>
      <c r="D801" s="113"/>
      <c r="E801" s="113"/>
      <c r="F801" s="113"/>
      <c r="G801" s="113"/>
      <c r="H801" s="113"/>
      <c r="I801" s="113"/>
    </row>
    <row r="802" spans="2:9" s="112" customFormat="1" ht="12.75">
      <c r="B802" s="113"/>
      <c r="C802" s="113"/>
      <c r="D802" s="113"/>
      <c r="E802" s="113"/>
      <c r="F802" s="113"/>
      <c r="G802" s="113"/>
      <c r="H802" s="113"/>
      <c r="I802" s="113"/>
    </row>
    <row r="803" spans="2:9" s="112" customFormat="1" ht="12.75">
      <c r="B803" s="113"/>
      <c r="C803" s="113"/>
      <c r="D803" s="113"/>
      <c r="E803" s="113"/>
      <c r="F803" s="113"/>
      <c r="G803" s="113"/>
      <c r="H803" s="113"/>
      <c r="I803" s="113"/>
    </row>
    <row r="804" spans="2:9" s="112" customFormat="1" ht="12.75">
      <c r="B804" s="113"/>
      <c r="C804" s="113"/>
      <c r="D804" s="113"/>
      <c r="E804" s="113"/>
      <c r="F804" s="113"/>
      <c r="G804" s="113"/>
      <c r="H804" s="113"/>
      <c r="I804" s="113"/>
    </row>
    <row r="805" spans="2:9" s="112" customFormat="1" ht="12.75">
      <c r="B805" s="113"/>
      <c r="C805" s="113"/>
      <c r="D805" s="113"/>
      <c r="E805" s="113"/>
      <c r="F805" s="113"/>
      <c r="G805" s="113"/>
      <c r="H805" s="113"/>
      <c r="I805" s="113"/>
    </row>
    <row r="806" spans="2:9" s="112" customFormat="1" ht="12.75">
      <c r="B806" s="113"/>
      <c r="C806" s="113"/>
      <c r="D806" s="113"/>
      <c r="E806" s="113"/>
      <c r="F806" s="113"/>
      <c r="G806" s="113"/>
      <c r="H806" s="113"/>
      <c r="I806" s="113"/>
    </row>
    <row r="807" spans="2:9" s="112" customFormat="1" ht="12.75">
      <c r="B807" s="113"/>
      <c r="C807" s="113"/>
      <c r="D807" s="113"/>
      <c r="E807" s="113"/>
      <c r="F807" s="113"/>
      <c r="G807" s="113"/>
      <c r="H807" s="113"/>
      <c r="I807" s="113"/>
    </row>
    <row r="808" spans="2:9" s="112" customFormat="1" ht="12.75">
      <c r="B808" s="113"/>
      <c r="C808" s="113"/>
      <c r="D808" s="113"/>
      <c r="E808" s="113"/>
      <c r="F808" s="113"/>
      <c r="G808" s="113"/>
      <c r="H808" s="113"/>
      <c r="I808" s="113"/>
    </row>
    <row r="809" spans="2:9" s="112" customFormat="1" ht="12.75">
      <c r="B809" s="113"/>
      <c r="C809" s="113"/>
      <c r="D809" s="113"/>
      <c r="E809" s="113"/>
      <c r="F809" s="113"/>
      <c r="G809" s="113"/>
      <c r="H809" s="113"/>
      <c r="I809" s="113"/>
    </row>
    <row r="810" spans="2:9" s="112" customFormat="1" ht="12.75">
      <c r="B810" s="113"/>
      <c r="C810" s="113"/>
      <c r="D810" s="113"/>
      <c r="E810" s="113"/>
      <c r="F810" s="113"/>
      <c r="G810" s="113"/>
      <c r="H810" s="113"/>
      <c r="I810" s="113"/>
    </row>
    <row r="811" spans="2:9" s="112" customFormat="1" ht="12.75">
      <c r="B811" s="113"/>
      <c r="C811" s="113"/>
      <c r="D811" s="113"/>
      <c r="E811" s="113"/>
      <c r="F811" s="113"/>
      <c r="G811" s="113"/>
      <c r="H811" s="113"/>
      <c r="I811" s="113"/>
    </row>
    <row r="812" spans="2:9" s="112" customFormat="1" ht="12.75">
      <c r="B812" s="113"/>
      <c r="C812" s="113"/>
      <c r="D812" s="113"/>
      <c r="E812" s="113"/>
      <c r="F812" s="113"/>
      <c r="G812" s="113"/>
      <c r="H812" s="113"/>
      <c r="I812" s="113"/>
    </row>
    <row r="813" spans="2:9" s="112" customFormat="1" ht="12.75">
      <c r="B813" s="113"/>
      <c r="C813" s="113"/>
      <c r="D813" s="113"/>
      <c r="E813" s="113"/>
      <c r="F813" s="113"/>
      <c r="G813" s="113"/>
      <c r="H813" s="113"/>
      <c r="I813" s="113"/>
    </row>
    <row r="814" spans="2:9" s="112" customFormat="1" ht="12.75">
      <c r="B814" s="113"/>
      <c r="C814" s="113"/>
      <c r="D814" s="113"/>
      <c r="E814" s="113"/>
      <c r="F814" s="113"/>
      <c r="G814" s="113"/>
      <c r="H814" s="113"/>
      <c r="I814" s="113"/>
    </row>
    <row r="815" spans="2:9" s="112" customFormat="1" ht="12.75">
      <c r="B815" s="113"/>
      <c r="C815" s="113"/>
      <c r="D815" s="113"/>
      <c r="E815" s="113"/>
      <c r="F815" s="113"/>
      <c r="G815" s="113"/>
      <c r="H815" s="113"/>
      <c r="I815" s="113"/>
    </row>
    <row r="816" spans="2:9" s="112" customFormat="1" ht="12.75">
      <c r="B816" s="113"/>
      <c r="C816" s="113"/>
      <c r="D816" s="113"/>
      <c r="E816" s="113"/>
      <c r="F816" s="113"/>
      <c r="G816" s="113"/>
      <c r="H816" s="113"/>
      <c r="I816" s="113"/>
    </row>
    <row r="817" spans="2:9" s="112" customFormat="1" ht="12.75">
      <c r="B817" s="113"/>
      <c r="C817" s="113"/>
      <c r="D817" s="113"/>
      <c r="E817" s="113"/>
      <c r="F817" s="113"/>
      <c r="G817" s="113"/>
      <c r="H817" s="113"/>
      <c r="I817" s="113"/>
    </row>
    <row r="818" spans="2:9" s="112" customFormat="1" ht="12.75">
      <c r="B818" s="113"/>
      <c r="C818" s="113"/>
      <c r="D818" s="113"/>
      <c r="E818" s="113"/>
      <c r="F818" s="113"/>
      <c r="G818" s="113"/>
      <c r="H818" s="113"/>
      <c r="I818" s="113"/>
    </row>
    <row r="819" spans="2:9" s="112" customFormat="1" ht="12.75">
      <c r="B819" s="113"/>
      <c r="C819" s="113"/>
      <c r="D819" s="113"/>
      <c r="E819" s="113"/>
      <c r="F819" s="113"/>
      <c r="G819" s="113"/>
      <c r="H819" s="113"/>
      <c r="I819" s="113"/>
    </row>
    <row r="820" spans="2:9" s="112" customFormat="1" ht="12.75">
      <c r="B820" s="113"/>
      <c r="C820" s="113"/>
      <c r="D820" s="113"/>
      <c r="E820" s="113"/>
      <c r="F820" s="113"/>
      <c r="G820" s="113"/>
      <c r="H820" s="113"/>
      <c r="I820" s="113"/>
    </row>
    <row r="821" spans="2:9" s="112" customFormat="1" ht="12.75">
      <c r="B821" s="113"/>
      <c r="C821" s="113"/>
      <c r="D821" s="113"/>
      <c r="E821" s="113"/>
      <c r="F821" s="113"/>
      <c r="G821" s="113"/>
      <c r="H821" s="113"/>
      <c r="I821" s="113"/>
    </row>
    <row r="822" spans="2:9" s="112" customFormat="1" ht="12.75">
      <c r="B822" s="113"/>
      <c r="C822" s="113"/>
      <c r="D822" s="113"/>
      <c r="E822" s="113"/>
      <c r="F822" s="113"/>
      <c r="G822" s="113"/>
      <c r="H822" s="113"/>
      <c r="I822" s="113"/>
    </row>
    <row r="823" spans="2:9" s="112" customFormat="1" ht="12.75">
      <c r="B823" s="113"/>
      <c r="C823" s="113"/>
      <c r="D823" s="113"/>
      <c r="E823" s="113"/>
      <c r="F823" s="113"/>
      <c r="G823" s="113"/>
      <c r="H823" s="113"/>
      <c r="I823" s="113"/>
    </row>
    <row r="824" spans="2:9" s="112" customFormat="1" ht="12.75">
      <c r="B824" s="113"/>
      <c r="C824" s="113"/>
      <c r="D824" s="113"/>
      <c r="E824" s="113"/>
      <c r="F824" s="113"/>
      <c r="G824" s="113"/>
      <c r="H824" s="113"/>
      <c r="I824" s="113"/>
    </row>
    <row r="825" spans="2:9" s="112" customFormat="1" ht="12.75">
      <c r="B825" s="113"/>
      <c r="C825" s="113"/>
      <c r="D825" s="113"/>
      <c r="E825" s="113"/>
      <c r="F825" s="113"/>
      <c r="G825" s="113"/>
      <c r="H825" s="113"/>
      <c r="I825" s="113"/>
    </row>
    <row r="826" spans="2:9" s="112" customFormat="1" ht="12.75">
      <c r="B826" s="113"/>
      <c r="C826" s="113"/>
      <c r="D826" s="113"/>
      <c r="E826" s="113"/>
      <c r="F826" s="113"/>
      <c r="G826" s="113"/>
      <c r="H826" s="113"/>
      <c r="I826" s="113"/>
    </row>
    <row r="827" spans="2:9" s="112" customFormat="1" ht="12.75">
      <c r="B827" s="113"/>
      <c r="C827" s="113"/>
      <c r="D827" s="113"/>
      <c r="E827" s="113"/>
      <c r="F827" s="113"/>
      <c r="G827" s="113"/>
      <c r="H827" s="113"/>
      <c r="I827" s="113"/>
    </row>
    <row r="828" spans="2:9" s="112" customFormat="1" ht="12.75">
      <c r="B828" s="113"/>
      <c r="C828" s="113"/>
      <c r="D828" s="113"/>
      <c r="E828" s="113"/>
      <c r="F828" s="113"/>
      <c r="G828" s="113"/>
      <c r="H828" s="113"/>
      <c r="I828" s="113"/>
    </row>
    <row r="829" spans="2:9" s="112" customFormat="1" ht="12.75">
      <c r="B829" s="113"/>
      <c r="C829" s="113"/>
      <c r="D829" s="113"/>
      <c r="E829" s="113"/>
      <c r="F829" s="113"/>
      <c r="G829" s="113"/>
      <c r="H829" s="113"/>
      <c r="I829" s="113"/>
    </row>
    <row r="830" spans="2:9" s="112" customFormat="1" ht="12.75">
      <c r="B830" s="113"/>
      <c r="C830" s="113"/>
      <c r="D830" s="113"/>
      <c r="E830" s="113"/>
      <c r="F830" s="113"/>
      <c r="G830" s="113"/>
      <c r="H830" s="113"/>
      <c r="I830" s="113"/>
    </row>
    <row r="831" spans="2:9" s="112" customFormat="1" ht="12.75">
      <c r="B831" s="113"/>
      <c r="C831" s="113"/>
      <c r="D831" s="113"/>
      <c r="E831" s="113"/>
      <c r="F831" s="113"/>
      <c r="G831" s="113"/>
      <c r="H831" s="113"/>
      <c r="I831" s="113"/>
    </row>
    <row r="832" spans="2:9" s="112" customFormat="1" ht="12.75">
      <c r="B832" s="113"/>
      <c r="C832" s="113"/>
      <c r="D832" s="113"/>
      <c r="E832" s="113"/>
      <c r="F832" s="113"/>
      <c r="G832" s="113"/>
      <c r="H832" s="113"/>
      <c r="I832" s="113"/>
    </row>
    <row r="833" spans="2:9" s="112" customFormat="1" ht="12.75">
      <c r="B833" s="113"/>
      <c r="C833" s="113"/>
      <c r="D833" s="113"/>
      <c r="E833" s="113"/>
      <c r="F833" s="113"/>
      <c r="G833" s="113"/>
      <c r="H833" s="113"/>
      <c r="I833" s="113"/>
    </row>
    <row r="834" spans="2:9" s="112" customFormat="1" ht="12.75">
      <c r="B834" s="113"/>
      <c r="C834" s="113"/>
      <c r="D834" s="113"/>
      <c r="E834" s="113"/>
      <c r="F834" s="113"/>
      <c r="G834" s="113"/>
      <c r="H834" s="113"/>
      <c r="I834" s="113"/>
    </row>
    <row r="835" spans="2:9" s="112" customFormat="1" ht="12.75">
      <c r="B835" s="113"/>
      <c r="C835" s="113"/>
      <c r="D835" s="113"/>
      <c r="E835" s="113"/>
      <c r="F835" s="113"/>
      <c r="G835" s="113"/>
      <c r="H835" s="113"/>
      <c r="I835" s="113"/>
    </row>
    <row r="836" spans="2:9" s="112" customFormat="1" ht="12.75">
      <c r="B836" s="113"/>
      <c r="C836" s="113"/>
      <c r="D836" s="113"/>
      <c r="E836" s="113"/>
      <c r="F836" s="113"/>
      <c r="G836" s="113"/>
      <c r="H836" s="113"/>
      <c r="I836" s="113"/>
    </row>
    <row r="837" spans="2:9" s="112" customFormat="1" ht="12.75">
      <c r="B837" s="113"/>
      <c r="C837" s="113"/>
      <c r="D837" s="113"/>
      <c r="E837" s="113"/>
      <c r="F837" s="113"/>
      <c r="G837" s="113"/>
      <c r="H837" s="113"/>
      <c r="I837" s="113"/>
    </row>
    <row r="838" spans="2:9" s="112" customFormat="1" ht="12.75">
      <c r="B838" s="113"/>
      <c r="C838" s="113"/>
      <c r="D838" s="113"/>
      <c r="E838" s="113"/>
      <c r="F838" s="113"/>
      <c r="G838" s="113"/>
      <c r="H838" s="113"/>
      <c r="I838" s="113"/>
    </row>
    <row r="839" spans="2:9" s="112" customFormat="1" ht="12.75">
      <c r="B839" s="113"/>
      <c r="C839" s="113"/>
      <c r="D839" s="113"/>
      <c r="E839" s="113"/>
      <c r="F839" s="113"/>
      <c r="G839" s="113"/>
      <c r="H839" s="113"/>
      <c r="I839" s="113"/>
    </row>
    <row r="840" spans="2:9" s="112" customFormat="1" ht="12.75">
      <c r="B840" s="113"/>
      <c r="C840" s="113"/>
      <c r="D840" s="113"/>
      <c r="E840" s="113"/>
      <c r="F840" s="113"/>
      <c r="G840" s="113"/>
      <c r="H840" s="113"/>
      <c r="I840" s="113"/>
    </row>
    <row r="841" spans="2:9" s="112" customFormat="1" ht="12.75">
      <c r="B841" s="113"/>
      <c r="C841" s="113"/>
      <c r="D841" s="113"/>
      <c r="E841" s="113"/>
      <c r="F841" s="113"/>
      <c r="G841" s="113"/>
      <c r="H841" s="113"/>
      <c r="I841" s="113"/>
    </row>
    <row r="842" spans="2:9" s="112" customFormat="1" ht="12.75">
      <c r="B842" s="113"/>
      <c r="C842" s="113"/>
      <c r="D842" s="113"/>
      <c r="E842" s="113"/>
      <c r="F842" s="113"/>
      <c r="G842" s="113"/>
      <c r="H842" s="113"/>
      <c r="I842" s="113"/>
    </row>
    <row r="843" spans="2:9" s="112" customFormat="1" ht="12.75">
      <c r="B843" s="113"/>
      <c r="C843" s="113"/>
      <c r="D843" s="113"/>
      <c r="E843" s="113"/>
      <c r="F843" s="113"/>
      <c r="G843" s="113"/>
      <c r="H843" s="113"/>
      <c r="I843" s="113"/>
    </row>
    <row r="844" spans="2:9" s="112" customFormat="1" ht="12.75">
      <c r="B844" s="113"/>
      <c r="C844" s="113"/>
      <c r="D844" s="113"/>
      <c r="E844" s="113"/>
      <c r="F844" s="113"/>
      <c r="G844" s="113"/>
      <c r="H844" s="113"/>
      <c r="I844" s="113"/>
    </row>
    <row r="845" spans="2:9" s="112" customFormat="1" ht="12.75">
      <c r="B845" s="113"/>
      <c r="C845" s="113"/>
      <c r="D845" s="113"/>
      <c r="E845" s="113"/>
      <c r="F845" s="113"/>
      <c r="G845" s="113"/>
      <c r="H845" s="113"/>
      <c r="I845" s="113"/>
    </row>
    <row r="846" spans="2:9" s="112" customFormat="1" ht="12.75">
      <c r="B846" s="113"/>
      <c r="C846" s="113"/>
      <c r="D846" s="113"/>
      <c r="E846" s="113"/>
      <c r="F846" s="113"/>
      <c r="G846" s="113"/>
      <c r="H846" s="113"/>
      <c r="I846" s="113"/>
    </row>
    <row r="847" spans="2:9" s="112" customFormat="1" ht="12.75">
      <c r="B847" s="113"/>
      <c r="C847" s="113"/>
      <c r="D847" s="113"/>
      <c r="E847" s="113"/>
      <c r="F847" s="113"/>
      <c r="G847" s="113"/>
      <c r="H847" s="113"/>
      <c r="I847" s="113"/>
    </row>
    <row r="848" spans="2:9" s="112" customFormat="1" ht="12.75">
      <c r="B848" s="113"/>
      <c r="C848" s="113"/>
      <c r="D848" s="113"/>
      <c r="E848" s="113"/>
      <c r="F848" s="113"/>
      <c r="G848" s="113"/>
      <c r="H848" s="113"/>
      <c r="I848" s="113"/>
    </row>
    <row r="849" spans="2:9" s="112" customFormat="1" ht="12.75">
      <c r="B849" s="113"/>
      <c r="C849" s="113"/>
      <c r="D849" s="113"/>
      <c r="E849" s="113"/>
      <c r="F849" s="113"/>
      <c r="G849" s="113"/>
      <c r="H849" s="113"/>
      <c r="I849" s="113"/>
    </row>
    <row r="850" spans="2:9" s="112" customFormat="1" ht="12.75">
      <c r="B850" s="113"/>
      <c r="C850" s="113"/>
      <c r="D850" s="113"/>
      <c r="E850" s="113"/>
      <c r="F850" s="113"/>
      <c r="G850" s="113"/>
      <c r="H850" s="113"/>
      <c r="I850" s="113"/>
    </row>
    <row r="851" spans="2:9" s="112" customFormat="1" ht="12.75">
      <c r="B851" s="113"/>
      <c r="C851" s="113"/>
      <c r="D851" s="113"/>
      <c r="E851" s="113"/>
      <c r="F851" s="113"/>
      <c r="G851" s="113"/>
      <c r="H851" s="113"/>
      <c r="I851" s="113"/>
    </row>
    <row r="852" spans="2:9" s="112" customFormat="1" ht="12.75">
      <c r="B852" s="113"/>
      <c r="C852" s="113"/>
      <c r="D852" s="113"/>
      <c r="E852" s="113"/>
      <c r="F852" s="113"/>
      <c r="G852" s="113"/>
      <c r="H852" s="113"/>
      <c r="I852" s="113"/>
    </row>
    <row r="853" spans="2:9" s="112" customFormat="1" ht="12.75">
      <c r="B853" s="113"/>
      <c r="C853" s="113"/>
      <c r="D853" s="113"/>
      <c r="E853" s="113"/>
      <c r="F853" s="113"/>
      <c r="G853" s="113"/>
      <c r="H853" s="113"/>
      <c r="I853" s="113"/>
    </row>
    <row r="854" spans="2:9" s="112" customFormat="1" ht="12.75">
      <c r="B854" s="113"/>
      <c r="C854" s="113"/>
      <c r="D854" s="113"/>
      <c r="E854" s="113"/>
      <c r="F854" s="113"/>
      <c r="G854" s="113"/>
      <c r="H854" s="113"/>
      <c r="I854" s="113"/>
    </row>
    <row r="855" spans="2:9" s="112" customFormat="1" ht="12.75">
      <c r="B855" s="113"/>
      <c r="C855" s="113"/>
      <c r="D855" s="113"/>
      <c r="E855" s="113"/>
      <c r="F855" s="113"/>
      <c r="G855" s="113"/>
      <c r="H855" s="113"/>
      <c r="I855" s="113"/>
    </row>
    <row r="856" spans="2:9" s="112" customFormat="1" ht="12.75">
      <c r="B856" s="113"/>
      <c r="C856" s="113"/>
      <c r="D856" s="113"/>
      <c r="E856" s="113"/>
      <c r="F856" s="113"/>
      <c r="G856" s="113"/>
      <c r="H856" s="113"/>
      <c r="I856" s="113"/>
    </row>
    <row r="857" spans="2:9" s="112" customFormat="1" ht="12.75">
      <c r="B857" s="113"/>
      <c r="C857" s="113"/>
      <c r="D857" s="113"/>
      <c r="E857" s="113"/>
      <c r="F857" s="113"/>
      <c r="G857" s="113"/>
      <c r="H857" s="113"/>
      <c r="I857" s="113"/>
    </row>
    <row r="858" spans="2:9" s="112" customFormat="1" ht="12.75">
      <c r="B858" s="113"/>
      <c r="C858" s="113"/>
      <c r="D858" s="113"/>
      <c r="E858" s="113"/>
      <c r="F858" s="113"/>
      <c r="G858" s="113"/>
      <c r="H858" s="113"/>
      <c r="I858" s="113"/>
    </row>
    <row r="859" spans="2:9" s="112" customFormat="1" ht="12.75">
      <c r="B859" s="113"/>
      <c r="C859" s="113"/>
      <c r="D859" s="113"/>
      <c r="E859" s="113"/>
      <c r="F859" s="113"/>
      <c r="G859" s="113"/>
      <c r="H859" s="113"/>
      <c r="I859" s="113"/>
    </row>
    <row r="860" spans="2:9" s="112" customFormat="1" ht="12.75">
      <c r="B860" s="113"/>
      <c r="C860" s="113"/>
      <c r="D860" s="113"/>
      <c r="E860" s="113"/>
      <c r="F860" s="113"/>
      <c r="G860" s="113"/>
      <c r="H860" s="113"/>
      <c r="I860" s="113"/>
    </row>
    <row r="861" spans="2:9" s="112" customFormat="1" ht="12.75">
      <c r="B861" s="113"/>
      <c r="C861" s="113"/>
      <c r="D861" s="113"/>
      <c r="E861" s="113"/>
      <c r="F861" s="113"/>
      <c r="G861" s="113"/>
      <c r="H861" s="113"/>
      <c r="I861" s="113"/>
    </row>
    <row r="862" spans="2:9" s="112" customFormat="1" ht="12.75">
      <c r="B862" s="113"/>
      <c r="C862" s="113"/>
      <c r="D862" s="113"/>
      <c r="E862" s="113"/>
      <c r="F862" s="113"/>
      <c r="G862" s="113"/>
      <c r="H862" s="113"/>
      <c r="I862" s="113"/>
    </row>
    <row r="863" spans="2:9" s="112" customFormat="1" ht="12.75">
      <c r="B863" s="113"/>
      <c r="C863" s="113"/>
      <c r="D863" s="113"/>
      <c r="E863" s="113"/>
      <c r="F863" s="113"/>
      <c r="G863" s="113"/>
      <c r="H863" s="113"/>
      <c r="I863" s="113"/>
    </row>
    <row r="864" spans="2:9" s="112" customFormat="1" ht="12.75">
      <c r="B864" s="113"/>
      <c r="C864" s="113"/>
      <c r="D864" s="113"/>
      <c r="E864" s="113"/>
      <c r="F864" s="113"/>
      <c r="G864" s="113"/>
      <c r="H864" s="113"/>
      <c r="I864" s="113"/>
    </row>
    <row r="865" spans="2:9" s="112" customFormat="1" ht="12.75">
      <c r="B865" s="113"/>
      <c r="C865" s="113"/>
      <c r="D865" s="113"/>
      <c r="E865" s="113"/>
      <c r="F865" s="113"/>
      <c r="G865" s="113"/>
      <c r="H865" s="113"/>
      <c r="I865" s="113"/>
    </row>
    <row r="866" spans="2:9" s="112" customFormat="1" ht="12.75">
      <c r="B866" s="113"/>
      <c r="C866" s="113"/>
      <c r="D866" s="113"/>
      <c r="E866" s="113"/>
      <c r="F866" s="113"/>
      <c r="G866" s="113"/>
      <c r="H866" s="113"/>
      <c r="I866" s="113"/>
    </row>
    <row r="867" spans="2:9" s="112" customFormat="1" ht="12.75">
      <c r="B867" s="113"/>
      <c r="C867" s="113"/>
      <c r="D867" s="113"/>
      <c r="E867" s="113"/>
      <c r="F867" s="113"/>
      <c r="G867" s="113"/>
      <c r="H867" s="113"/>
      <c r="I867" s="113"/>
    </row>
    <row r="868" spans="2:9" s="112" customFormat="1" ht="12.75">
      <c r="B868" s="113"/>
      <c r="C868" s="113"/>
      <c r="D868" s="113"/>
      <c r="E868" s="113"/>
      <c r="F868" s="113"/>
      <c r="G868" s="113"/>
      <c r="H868" s="113"/>
      <c r="I868" s="113"/>
    </row>
    <row r="869" spans="2:9" s="112" customFormat="1" ht="12.75">
      <c r="B869" s="113"/>
      <c r="C869" s="113"/>
      <c r="D869" s="113"/>
      <c r="E869" s="113"/>
      <c r="F869" s="113"/>
      <c r="G869" s="113"/>
      <c r="H869" s="113"/>
      <c r="I869" s="113"/>
    </row>
    <row r="870" spans="2:9" s="112" customFormat="1" ht="12.75">
      <c r="B870" s="113"/>
      <c r="C870" s="113"/>
      <c r="D870" s="113"/>
      <c r="E870" s="113"/>
      <c r="F870" s="113"/>
      <c r="G870" s="113"/>
      <c r="H870" s="113"/>
      <c r="I870" s="113"/>
    </row>
    <row r="871" spans="2:9" s="112" customFormat="1" ht="12.75">
      <c r="B871" s="113"/>
      <c r="C871" s="113"/>
      <c r="D871" s="113"/>
      <c r="E871" s="113"/>
      <c r="F871" s="113"/>
      <c r="G871" s="113"/>
      <c r="H871" s="113"/>
      <c r="I871" s="113"/>
    </row>
    <row r="872" spans="2:9" s="112" customFormat="1" ht="12.75">
      <c r="B872" s="113"/>
      <c r="C872" s="113"/>
      <c r="D872" s="113"/>
      <c r="E872" s="113"/>
      <c r="F872" s="113"/>
      <c r="G872" s="113"/>
      <c r="H872" s="113"/>
      <c r="I872" s="113"/>
    </row>
    <row r="873" spans="2:9" s="112" customFormat="1" ht="12.75">
      <c r="B873" s="113"/>
      <c r="C873" s="113"/>
      <c r="D873" s="113"/>
      <c r="E873" s="113"/>
      <c r="F873" s="113"/>
      <c r="G873" s="113"/>
      <c r="H873" s="113"/>
      <c r="I873" s="113"/>
    </row>
    <row r="874" spans="2:9" s="112" customFormat="1" ht="12.75">
      <c r="B874" s="113"/>
      <c r="C874" s="113"/>
      <c r="D874" s="113"/>
      <c r="E874" s="113"/>
      <c r="F874" s="113"/>
      <c r="G874" s="113"/>
      <c r="H874" s="113"/>
      <c r="I874" s="113"/>
    </row>
    <row r="875" spans="2:9" s="112" customFormat="1" ht="12.75">
      <c r="B875" s="113"/>
      <c r="C875" s="113"/>
      <c r="D875" s="113"/>
      <c r="E875" s="113"/>
      <c r="F875" s="113"/>
      <c r="G875" s="113"/>
      <c r="H875" s="113"/>
      <c r="I875" s="113"/>
    </row>
    <row r="876" spans="2:9" s="112" customFormat="1" ht="12.75">
      <c r="B876" s="113"/>
      <c r="C876" s="113"/>
      <c r="D876" s="113"/>
      <c r="E876" s="113"/>
      <c r="F876" s="113"/>
      <c r="G876" s="113"/>
      <c r="H876" s="113"/>
      <c r="I876" s="113"/>
    </row>
    <row r="877" spans="2:9" s="112" customFormat="1" ht="12.75">
      <c r="B877" s="113"/>
      <c r="C877" s="113"/>
      <c r="D877" s="113"/>
      <c r="E877" s="113"/>
      <c r="F877" s="113"/>
      <c r="G877" s="113"/>
      <c r="H877" s="113"/>
      <c r="I877" s="113"/>
    </row>
    <row r="878" spans="2:9" s="112" customFormat="1" ht="12.75">
      <c r="B878" s="113"/>
      <c r="C878" s="113"/>
      <c r="D878" s="113"/>
      <c r="E878" s="113"/>
      <c r="F878" s="113"/>
      <c r="G878" s="113"/>
      <c r="H878" s="113"/>
      <c r="I878" s="113"/>
    </row>
    <row r="879" spans="2:9" s="112" customFormat="1" ht="12.75">
      <c r="B879" s="113"/>
      <c r="C879" s="113"/>
      <c r="D879" s="113"/>
      <c r="E879" s="113"/>
      <c r="F879" s="113"/>
      <c r="G879" s="113"/>
      <c r="H879" s="113"/>
      <c r="I879" s="113"/>
    </row>
    <row r="880" spans="2:9" s="112" customFormat="1" ht="12.75">
      <c r="B880" s="113"/>
      <c r="C880" s="113"/>
      <c r="D880" s="113"/>
      <c r="E880" s="113"/>
      <c r="F880" s="113"/>
      <c r="G880" s="113"/>
      <c r="H880" s="113"/>
      <c r="I880" s="113"/>
    </row>
    <row r="881" spans="2:9" s="112" customFormat="1" ht="12.75">
      <c r="B881" s="113"/>
      <c r="C881" s="113"/>
      <c r="D881" s="113"/>
      <c r="E881" s="113"/>
      <c r="F881" s="113"/>
      <c r="G881" s="113"/>
      <c r="H881" s="113"/>
      <c r="I881" s="113"/>
    </row>
    <row r="882" spans="2:9" s="112" customFormat="1" ht="12.75">
      <c r="B882" s="113"/>
      <c r="C882" s="113"/>
      <c r="D882" s="113"/>
      <c r="E882" s="113"/>
      <c r="F882" s="113"/>
      <c r="G882" s="113"/>
      <c r="H882" s="113"/>
      <c r="I882" s="113"/>
    </row>
    <row r="883" spans="2:9" s="112" customFormat="1" ht="12.75">
      <c r="B883" s="113"/>
      <c r="C883" s="113"/>
      <c r="D883" s="113"/>
      <c r="E883" s="113"/>
      <c r="F883" s="113"/>
      <c r="G883" s="113"/>
      <c r="H883" s="113"/>
      <c r="I883" s="113"/>
    </row>
    <row r="884" spans="2:9" s="112" customFormat="1" ht="12.75">
      <c r="B884" s="113"/>
      <c r="C884" s="113"/>
      <c r="D884" s="113"/>
      <c r="E884" s="113"/>
      <c r="F884" s="113"/>
      <c r="G884" s="113"/>
      <c r="H884" s="113"/>
      <c r="I884" s="113"/>
    </row>
    <row r="885" spans="2:9" s="112" customFormat="1" ht="12.75">
      <c r="B885" s="113"/>
      <c r="C885" s="113"/>
      <c r="D885" s="113"/>
      <c r="E885" s="113"/>
      <c r="F885" s="113"/>
      <c r="G885" s="113"/>
      <c r="H885" s="113"/>
      <c r="I885" s="113"/>
    </row>
    <row r="886" spans="2:9" s="112" customFormat="1" ht="12.75">
      <c r="B886" s="113"/>
      <c r="C886" s="113"/>
      <c r="D886" s="113"/>
      <c r="E886" s="113"/>
      <c r="F886" s="113"/>
      <c r="G886" s="113"/>
      <c r="H886" s="113"/>
      <c r="I886" s="113"/>
    </row>
    <row r="887" spans="2:9" s="112" customFormat="1" ht="12.75">
      <c r="B887" s="113"/>
      <c r="C887" s="113"/>
      <c r="D887" s="113"/>
      <c r="E887" s="113"/>
      <c r="F887" s="113"/>
      <c r="G887" s="113"/>
      <c r="H887" s="113"/>
      <c r="I887" s="113"/>
    </row>
    <row r="888" spans="2:9" s="112" customFormat="1" ht="12.75">
      <c r="B888" s="113"/>
      <c r="C888" s="113"/>
      <c r="D888" s="113"/>
      <c r="E888" s="113"/>
      <c r="F888" s="113"/>
      <c r="G888" s="113"/>
      <c r="H888" s="113"/>
      <c r="I888" s="113"/>
    </row>
    <row r="889" spans="2:9" s="112" customFormat="1" ht="12.75">
      <c r="B889" s="113"/>
      <c r="C889" s="113"/>
      <c r="D889" s="113"/>
      <c r="E889" s="113"/>
      <c r="F889" s="113"/>
      <c r="G889" s="113"/>
      <c r="H889" s="113"/>
      <c r="I889" s="113"/>
    </row>
    <row r="890" spans="2:9" s="112" customFormat="1" ht="12.75">
      <c r="B890" s="113"/>
      <c r="C890" s="113"/>
      <c r="D890" s="113"/>
      <c r="E890" s="113"/>
      <c r="F890" s="113"/>
      <c r="G890" s="113"/>
      <c r="H890" s="113"/>
      <c r="I890" s="113"/>
    </row>
    <row r="891" spans="2:9" s="112" customFormat="1" ht="12.75">
      <c r="B891" s="113"/>
      <c r="C891" s="113"/>
      <c r="D891" s="113"/>
      <c r="E891" s="113"/>
      <c r="F891" s="113"/>
      <c r="G891" s="113"/>
      <c r="H891" s="113"/>
      <c r="I891" s="113"/>
    </row>
    <row r="892" spans="2:9" s="112" customFormat="1" ht="12.75">
      <c r="B892" s="113"/>
      <c r="C892" s="113"/>
      <c r="D892" s="113"/>
      <c r="E892" s="113"/>
      <c r="F892" s="113"/>
      <c r="G892" s="113"/>
      <c r="H892" s="113"/>
      <c r="I892" s="113"/>
    </row>
    <row r="893" spans="2:9" s="112" customFormat="1" ht="12.75">
      <c r="B893" s="113"/>
      <c r="C893" s="113"/>
      <c r="D893" s="113"/>
      <c r="E893" s="113"/>
      <c r="F893" s="113"/>
      <c r="G893" s="113"/>
      <c r="H893" s="113"/>
      <c r="I893" s="113"/>
    </row>
    <row r="894" spans="2:9" s="112" customFormat="1" ht="12.75">
      <c r="B894" s="113"/>
      <c r="C894" s="113"/>
      <c r="D894" s="113"/>
      <c r="E894" s="113"/>
      <c r="F894" s="113"/>
      <c r="G894" s="113"/>
      <c r="H894" s="113"/>
      <c r="I894" s="113"/>
    </row>
    <row r="895" spans="2:9" s="112" customFormat="1" ht="12.75">
      <c r="B895" s="113"/>
      <c r="C895" s="113"/>
      <c r="D895" s="113"/>
      <c r="E895" s="113"/>
      <c r="F895" s="113"/>
      <c r="G895" s="113"/>
      <c r="H895" s="113"/>
      <c r="I895" s="113"/>
    </row>
    <row r="896" spans="2:9" s="112" customFormat="1" ht="12.75">
      <c r="B896" s="113"/>
      <c r="C896" s="113"/>
      <c r="D896" s="113"/>
      <c r="E896" s="113"/>
      <c r="F896" s="113"/>
      <c r="G896" s="113"/>
      <c r="H896" s="113"/>
      <c r="I896" s="113"/>
    </row>
    <row r="897" spans="2:9" s="112" customFormat="1" ht="12.75">
      <c r="B897" s="113"/>
      <c r="C897" s="113"/>
      <c r="D897" s="113"/>
      <c r="E897" s="113"/>
      <c r="F897" s="113"/>
      <c r="G897" s="113"/>
      <c r="H897" s="113"/>
      <c r="I897" s="113"/>
    </row>
    <row r="898" spans="2:9" s="112" customFormat="1" ht="12.75">
      <c r="B898" s="113"/>
      <c r="C898" s="113"/>
      <c r="D898" s="113"/>
      <c r="E898" s="113"/>
      <c r="F898" s="113"/>
      <c r="G898" s="113"/>
      <c r="H898" s="113"/>
      <c r="I898" s="113"/>
    </row>
    <row r="899" spans="2:9" s="112" customFormat="1" ht="12.75">
      <c r="B899" s="113"/>
      <c r="C899" s="113"/>
      <c r="D899" s="113"/>
      <c r="E899" s="113"/>
      <c r="F899" s="113"/>
      <c r="G899" s="113"/>
      <c r="H899" s="113"/>
      <c r="I899" s="113"/>
    </row>
    <row r="900" spans="2:9" s="112" customFormat="1" ht="12.75">
      <c r="B900" s="113"/>
      <c r="C900" s="113"/>
      <c r="D900" s="113"/>
      <c r="E900" s="113"/>
      <c r="F900" s="113"/>
      <c r="G900" s="113"/>
      <c r="H900" s="113"/>
      <c r="I900" s="113"/>
    </row>
    <row r="901" spans="2:9" s="112" customFormat="1" ht="12.75">
      <c r="B901" s="113"/>
      <c r="C901" s="113"/>
      <c r="D901" s="113"/>
      <c r="E901" s="113"/>
      <c r="F901" s="113"/>
      <c r="G901" s="113"/>
      <c r="H901" s="113"/>
      <c r="I901" s="113"/>
    </row>
    <row r="902" spans="2:9" s="112" customFormat="1" ht="12.75">
      <c r="B902" s="113"/>
      <c r="C902" s="113"/>
      <c r="D902" s="113"/>
      <c r="E902" s="113"/>
      <c r="F902" s="113"/>
      <c r="G902" s="113"/>
      <c r="H902" s="113"/>
      <c r="I902" s="113"/>
    </row>
    <row r="903" spans="2:9" s="112" customFormat="1" ht="12.75">
      <c r="B903" s="113"/>
      <c r="C903" s="113"/>
      <c r="D903" s="113"/>
      <c r="E903" s="113"/>
      <c r="F903" s="113"/>
      <c r="G903" s="113"/>
      <c r="H903" s="113"/>
      <c r="I903" s="113"/>
    </row>
    <row r="904" spans="2:9" s="112" customFormat="1" ht="12.75">
      <c r="B904" s="113"/>
      <c r="C904" s="113"/>
      <c r="D904" s="113"/>
      <c r="E904" s="113"/>
      <c r="F904" s="113"/>
      <c r="G904" s="113"/>
      <c r="H904" s="113"/>
      <c r="I904" s="113"/>
    </row>
    <row r="905" spans="2:9" s="112" customFormat="1" ht="12.75">
      <c r="B905" s="113"/>
      <c r="C905" s="113"/>
      <c r="D905" s="113"/>
      <c r="E905" s="113"/>
      <c r="F905" s="113"/>
      <c r="G905" s="113"/>
      <c r="H905" s="113"/>
      <c r="I905" s="113"/>
    </row>
    <row r="906" spans="2:9" s="112" customFormat="1" ht="12.75">
      <c r="B906" s="113"/>
      <c r="C906" s="113"/>
      <c r="D906" s="113"/>
      <c r="E906" s="113"/>
      <c r="F906" s="113"/>
      <c r="G906" s="113"/>
      <c r="H906" s="113"/>
      <c r="I906" s="113"/>
    </row>
    <row r="907" spans="2:9" s="112" customFormat="1" ht="12.75">
      <c r="B907" s="113"/>
      <c r="C907" s="113"/>
      <c r="D907" s="113"/>
      <c r="E907" s="113"/>
      <c r="F907" s="113"/>
      <c r="G907" s="113"/>
      <c r="H907" s="113"/>
      <c r="I907" s="113"/>
    </row>
    <row r="908" spans="2:9" s="112" customFormat="1" ht="12.75">
      <c r="B908" s="113"/>
      <c r="C908" s="113"/>
      <c r="D908" s="113"/>
      <c r="E908" s="113"/>
      <c r="F908" s="113"/>
      <c r="G908" s="113"/>
      <c r="H908" s="113"/>
      <c r="I908" s="113"/>
    </row>
    <row r="909" spans="2:9" s="112" customFormat="1" ht="12.75">
      <c r="B909" s="113"/>
      <c r="C909" s="113"/>
      <c r="D909" s="113"/>
      <c r="E909" s="113"/>
      <c r="F909" s="113"/>
      <c r="G909" s="113"/>
      <c r="H909" s="113"/>
      <c r="I909" s="113"/>
    </row>
    <row r="910" spans="2:9" s="112" customFormat="1" ht="12.75">
      <c r="B910" s="113"/>
      <c r="C910" s="113"/>
      <c r="D910" s="113"/>
      <c r="E910" s="113"/>
      <c r="F910" s="113"/>
      <c r="G910" s="113"/>
      <c r="H910" s="113"/>
      <c r="I910" s="113"/>
    </row>
    <row r="911" spans="2:9" s="112" customFormat="1" ht="12.75">
      <c r="B911" s="113"/>
      <c r="C911" s="113"/>
      <c r="D911" s="113"/>
      <c r="E911" s="113"/>
      <c r="F911" s="113"/>
      <c r="G911" s="113"/>
      <c r="H911" s="113"/>
      <c r="I911" s="113"/>
    </row>
    <row r="912" spans="2:9" s="112" customFormat="1" ht="12.75">
      <c r="B912" s="113"/>
      <c r="C912" s="113"/>
      <c r="D912" s="113"/>
      <c r="E912" s="113"/>
      <c r="F912" s="113"/>
      <c r="G912" s="113"/>
      <c r="H912" s="113"/>
      <c r="I912" s="113"/>
    </row>
    <row r="913" spans="2:9" s="112" customFormat="1" ht="12.75">
      <c r="B913" s="113"/>
      <c r="C913" s="113"/>
      <c r="D913" s="113"/>
      <c r="E913" s="113"/>
      <c r="F913" s="113"/>
      <c r="G913" s="113"/>
      <c r="H913" s="113"/>
      <c r="I913" s="113"/>
    </row>
    <row r="914" spans="2:9" s="112" customFormat="1" ht="12.75">
      <c r="B914" s="113"/>
      <c r="C914" s="113"/>
      <c r="D914" s="113"/>
      <c r="E914" s="113"/>
      <c r="F914" s="113"/>
      <c r="G914" s="113"/>
      <c r="H914" s="113"/>
      <c r="I914" s="113"/>
    </row>
    <row r="915" spans="2:9" s="112" customFormat="1" ht="12.75">
      <c r="B915" s="113"/>
      <c r="C915" s="113"/>
      <c r="D915" s="113"/>
      <c r="E915" s="113"/>
      <c r="F915" s="113"/>
      <c r="G915" s="113"/>
      <c r="H915" s="113"/>
      <c r="I915" s="113"/>
    </row>
    <row r="916" spans="2:9" s="112" customFormat="1" ht="12.75">
      <c r="B916" s="113"/>
      <c r="C916" s="113"/>
      <c r="D916" s="113"/>
      <c r="E916" s="113"/>
      <c r="F916" s="113"/>
      <c r="G916" s="113"/>
      <c r="H916" s="113"/>
      <c r="I916" s="113"/>
    </row>
    <row r="917" spans="2:9" s="112" customFormat="1" ht="12.75">
      <c r="B917" s="113"/>
      <c r="C917" s="113"/>
      <c r="D917" s="113"/>
      <c r="E917" s="113"/>
      <c r="F917" s="113"/>
      <c r="G917" s="113"/>
      <c r="H917" s="113"/>
      <c r="I917" s="113"/>
    </row>
    <row r="918" spans="2:9" s="112" customFormat="1" ht="12.75">
      <c r="B918" s="113"/>
      <c r="C918" s="113"/>
      <c r="D918" s="113"/>
      <c r="E918" s="113"/>
      <c r="F918" s="113"/>
      <c r="G918" s="113"/>
      <c r="H918" s="113"/>
      <c r="I918" s="113"/>
    </row>
    <row r="919" spans="2:9" s="112" customFormat="1" ht="12.75">
      <c r="B919" s="113"/>
      <c r="C919" s="113"/>
      <c r="D919" s="113"/>
      <c r="E919" s="113"/>
      <c r="F919" s="113"/>
      <c r="G919" s="113"/>
      <c r="H919" s="113"/>
      <c r="I919" s="113"/>
    </row>
    <row r="920" spans="2:9" s="112" customFormat="1" ht="12.75">
      <c r="B920" s="113"/>
      <c r="C920" s="113"/>
      <c r="D920" s="113"/>
      <c r="E920" s="113"/>
      <c r="F920" s="113"/>
      <c r="G920" s="113"/>
      <c r="H920" s="113"/>
      <c r="I920" s="113"/>
    </row>
    <row r="921" spans="2:9" s="112" customFormat="1" ht="12.75">
      <c r="B921" s="113"/>
      <c r="C921" s="113"/>
      <c r="D921" s="113"/>
      <c r="E921" s="113"/>
      <c r="F921" s="113"/>
      <c r="G921" s="113"/>
      <c r="H921" s="113"/>
      <c r="I921" s="113"/>
    </row>
    <row r="922" spans="2:9" s="112" customFormat="1" ht="12.75">
      <c r="B922" s="113"/>
      <c r="C922" s="113"/>
      <c r="D922" s="113"/>
      <c r="E922" s="113"/>
      <c r="F922" s="113"/>
      <c r="G922" s="113"/>
      <c r="H922" s="113"/>
      <c r="I922" s="113"/>
    </row>
    <row r="923" spans="2:9" s="112" customFormat="1" ht="12.75">
      <c r="B923" s="113"/>
      <c r="C923" s="113"/>
      <c r="D923" s="113"/>
      <c r="E923" s="113"/>
      <c r="F923" s="113"/>
      <c r="G923" s="113"/>
      <c r="H923" s="113"/>
      <c r="I923" s="113"/>
    </row>
    <row r="924" spans="2:9" s="112" customFormat="1" ht="12.75">
      <c r="B924" s="113"/>
      <c r="C924" s="113"/>
      <c r="D924" s="113"/>
      <c r="E924" s="113"/>
      <c r="F924" s="113"/>
      <c r="G924" s="113"/>
      <c r="H924" s="113"/>
      <c r="I924" s="113"/>
    </row>
    <row r="925" spans="2:9" s="112" customFormat="1" ht="12.75">
      <c r="B925" s="113"/>
      <c r="C925" s="113"/>
      <c r="D925" s="113"/>
      <c r="E925" s="113"/>
      <c r="F925" s="113"/>
      <c r="G925" s="113"/>
      <c r="H925" s="113"/>
      <c r="I925" s="113"/>
    </row>
    <row r="926" spans="2:9" s="112" customFormat="1" ht="12.75">
      <c r="B926" s="113"/>
      <c r="C926" s="113"/>
      <c r="D926" s="113"/>
      <c r="E926" s="113"/>
      <c r="F926" s="113"/>
      <c r="G926" s="113"/>
      <c r="H926" s="113"/>
      <c r="I926" s="113"/>
    </row>
    <row r="927" spans="2:9" s="112" customFormat="1" ht="12.75">
      <c r="B927" s="113"/>
      <c r="C927" s="113"/>
      <c r="D927" s="113"/>
      <c r="E927" s="113"/>
      <c r="F927" s="113"/>
      <c r="G927" s="113"/>
      <c r="H927" s="113"/>
      <c r="I927" s="113"/>
    </row>
    <row r="928" spans="2:9" s="112" customFormat="1" ht="12.75">
      <c r="B928" s="113"/>
      <c r="C928" s="113"/>
      <c r="D928" s="113"/>
      <c r="E928" s="113"/>
      <c r="F928" s="113"/>
      <c r="G928" s="113"/>
      <c r="H928" s="113"/>
      <c r="I928" s="113"/>
    </row>
    <row r="929" spans="2:9" s="112" customFormat="1" ht="12.75">
      <c r="B929" s="113"/>
      <c r="C929" s="113"/>
      <c r="D929" s="113"/>
      <c r="E929" s="113"/>
      <c r="F929" s="113"/>
      <c r="G929" s="113"/>
      <c r="H929" s="113"/>
      <c r="I929" s="113"/>
    </row>
    <row r="930" spans="2:9" s="112" customFormat="1" ht="12.75">
      <c r="B930" s="113"/>
      <c r="C930" s="113"/>
      <c r="D930" s="113"/>
      <c r="E930" s="113"/>
      <c r="F930" s="113"/>
      <c r="G930" s="113"/>
      <c r="H930" s="113"/>
      <c r="I930" s="113"/>
    </row>
    <row r="931" spans="2:9" s="112" customFormat="1" ht="12.75">
      <c r="B931" s="113"/>
      <c r="C931" s="113"/>
      <c r="D931" s="113"/>
      <c r="E931" s="113"/>
      <c r="F931" s="113"/>
      <c r="G931" s="113"/>
      <c r="H931" s="113"/>
      <c r="I931" s="113"/>
    </row>
    <row r="932" spans="2:9" s="112" customFormat="1" ht="12.75">
      <c r="B932" s="113"/>
      <c r="C932" s="113"/>
      <c r="D932" s="113"/>
      <c r="E932" s="113"/>
      <c r="F932" s="113"/>
      <c r="G932" s="113"/>
      <c r="H932" s="113"/>
      <c r="I932" s="113"/>
    </row>
    <row r="933" spans="2:9" s="112" customFormat="1" ht="12.75">
      <c r="B933" s="113"/>
      <c r="C933" s="113"/>
      <c r="D933" s="113"/>
      <c r="E933" s="113"/>
      <c r="F933" s="113"/>
      <c r="G933" s="113"/>
      <c r="H933" s="113"/>
      <c r="I933" s="113"/>
    </row>
    <row r="934" spans="2:9" s="112" customFormat="1" ht="12.75">
      <c r="B934" s="113"/>
      <c r="C934" s="113"/>
      <c r="D934" s="113"/>
      <c r="E934" s="113"/>
      <c r="F934" s="113"/>
      <c r="G934" s="113"/>
      <c r="H934" s="113"/>
      <c r="I934" s="113"/>
    </row>
    <row r="935" spans="2:9" s="112" customFormat="1" ht="12.75">
      <c r="B935" s="113"/>
      <c r="C935" s="113"/>
      <c r="D935" s="113"/>
      <c r="E935" s="113"/>
      <c r="F935" s="113"/>
      <c r="G935" s="113"/>
      <c r="H935" s="113"/>
      <c r="I935" s="113"/>
    </row>
    <row r="936" spans="2:9" s="112" customFormat="1" ht="12.75">
      <c r="B936" s="113"/>
      <c r="C936" s="113"/>
      <c r="D936" s="113"/>
      <c r="E936" s="113"/>
      <c r="F936" s="113"/>
      <c r="G936" s="113"/>
      <c r="H936" s="113"/>
      <c r="I936" s="113"/>
    </row>
    <row r="937" spans="2:9" s="112" customFormat="1" ht="12.75">
      <c r="B937" s="113"/>
      <c r="C937" s="113"/>
      <c r="D937" s="113"/>
      <c r="E937" s="113"/>
      <c r="F937" s="113"/>
      <c r="G937" s="113"/>
      <c r="H937" s="113"/>
      <c r="I937" s="113"/>
    </row>
    <row r="938" spans="2:9" s="112" customFormat="1" ht="12.75">
      <c r="B938" s="113"/>
      <c r="C938" s="113"/>
      <c r="D938" s="113"/>
      <c r="E938" s="113"/>
      <c r="F938" s="113"/>
      <c r="G938" s="113"/>
      <c r="H938" s="113"/>
      <c r="I938" s="113"/>
    </row>
    <row r="939" spans="2:9" s="112" customFormat="1" ht="12.75">
      <c r="B939" s="113"/>
      <c r="C939" s="113"/>
      <c r="D939" s="113"/>
      <c r="E939" s="113"/>
      <c r="F939" s="113"/>
      <c r="G939" s="113"/>
      <c r="H939" s="113"/>
      <c r="I939" s="113"/>
    </row>
    <row r="940" spans="2:9" s="112" customFormat="1" ht="12.75">
      <c r="B940" s="113"/>
      <c r="C940" s="113"/>
      <c r="D940" s="113"/>
      <c r="E940" s="113"/>
      <c r="F940" s="113"/>
      <c r="G940" s="113"/>
      <c r="H940" s="113"/>
      <c r="I940" s="113"/>
    </row>
    <row r="941" spans="2:9" s="112" customFormat="1" ht="12.75">
      <c r="B941" s="113"/>
      <c r="C941" s="113"/>
      <c r="D941" s="113"/>
      <c r="E941" s="113"/>
      <c r="F941" s="113"/>
      <c r="G941" s="113"/>
      <c r="H941" s="113"/>
      <c r="I941" s="113"/>
    </row>
    <row r="942" spans="2:9" s="112" customFormat="1" ht="12.75">
      <c r="B942" s="113"/>
      <c r="C942" s="113"/>
      <c r="D942" s="113"/>
      <c r="E942" s="113"/>
      <c r="F942" s="113"/>
      <c r="G942" s="113"/>
      <c r="H942" s="113"/>
      <c r="I942" s="113"/>
    </row>
    <row r="943" spans="2:9" s="112" customFormat="1" ht="12.75">
      <c r="B943" s="113"/>
      <c r="C943" s="113"/>
      <c r="D943" s="113"/>
      <c r="E943" s="113"/>
      <c r="F943" s="113"/>
      <c r="G943" s="113"/>
      <c r="H943" s="113"/>
      <c r="I943" s="113"/>
    </row>
    <row r="944" spans="2:9" s="112" customFormat="1" ht="12.75">
      <c r="B944" s="113"/>
      <c r="C944" s="113"/>
      <c r="D944" s="113"/>
      <c r="E944" s="113"/>
      <c r="F944" s="113"/>
      <c r="G944" s="113"/>
      <c r="H944" s="113"/>
      <c r="I944" s="113"/>
    </row>
    <row r="945" spans="2:9" s="112" customFormat="1" ht="12.75">
      <c r="B945" s="113"/>
      <c r="C945" s="113"/>
      <c r="D945" s="113"/>
      <c r="E945" s="113"/>
      <c r="F945" s="113"/>
      <c r="G945" s="113"/>
      <c r="H945" s="113"/>
      <c r="I945" s="113"/>
    </row>
    <row r="946" spans="2:9" s="112" customFormat="1" ht="12.75">
      <c r="B946" s="113"/>
      <c r="C946" s="113"/>
      <c r="D946" s="113"/>
      <c r="E946" s="113"/>
      <c r="F946" s="113"/>
      <c r="G946" s="113"/>
      <c r="H946" s="113"/>
      <c r="I946" s="113"/>
    </row>
    <row r="947" spans="2:9" s="112" customFormat="1" ht="12.75">
      <c r="B947" s="113"/>
      <c r="C947" s="113"/>
      <c r="D947" s="113"/>
      <c r="E947" s="113"/>
      <c r="F947" s="113"/>
      <c r="G947" s="113"/>
      <c r="H947" s="113"/>
      <c r="I947" s="113"/>
    </row>
    <row r="948" spans="2:9" s="112" customFormat="1" ht="12.75">
      <c r="B948" s="113"/>
      <c r="C948" s="113"/>
      <c r="D948" s="113"/>
      <c r="E948" s="113"/>
      <c r="F948" s="113"/>
      <c r="G948" s="113"/>
      <c r="H948" s="113"/>
      <c r="I948" s="113"/>
    </row>
    <row r="949" spans="2:9" s="112" customFormat="1" ht="12.75">
      <c r="B949" s="113"/>
      <c r="C949" s="113"/>
      <c r="D949" s="113"/>
      <c r="E949" s="113"/>
      <c r="F949" s="113"/>
      <c r="G949" s="113"/>
      <c r="H949" s="113"/>
      <c r="I949" s="113"/>
    </row>
    <row r="950" spans="2:9" s="112" customFormat="1" ht="12.75">
      <c r="B950" s="113"/>
      <c r="C950" s="113"/>
      <c r="D950" s="113"/>
      <c r="E950" s="113"/>
      <c r="F950" s="113"/>
      <c r="G950" s="113"/>
      <c r="H950" s="113"/>
      <c r="I950" s="113"/>
    </row>
    <row r="951" spans="2:9" s="112" customFormat="1" ht="12.75">
      <c r="B951" s="113"/>
      <c r="C951" s="113"/>
      <c r="D951" s="113"/>
      <c r="E951" s="113"/>
      <c r="F951" s="113"/>
      <c r="G951" s="113"/>
      <c r="H951" s="113"/>
      <c r="I951" s="113"/>
    </row>
    <row r="952" spans="2:9" s="112" customFormat="1" ht="12.75">
      <c r="B952" s="113"/>
      <c r="C952" s="113"/>
      <c r="D952" s="113"/>
      <c r="E952" s="113"/>
      <c r="F952" s="113"/>
      <c r="G952" s="113"/>
      <c r="H952" s="113"/>
      <c r="I952" s="113"/>
    </row>
    <row r="953" spans="2:9" s="112" customFormat="1" ht="12.75">
      <c r="B953" s="113"/>
      <c r="C953" s="113"/>
      <c r="D953" s="113"/>
      <c r="E953" s="113"/>
      <c r="F953" s="113"/>
      <c r="G953" s="113"/>
      <c r="H953" s="113"/>
      <c r="I953" s="113"/>
    </row>
    <row r="954" spans="2:9" s="112" customFormat="1" ht="12.75">
      <c r="B954" s="113"/>
      <c r="C954" s="113"/>
      <c r="D954" s="113"/>
      <c r="E954" s="113"/>
      <c r="F954" s="113"/>
      <c r="G954" s="113"/>
      <c r="H954" s="113"/>
      <c r="I954" s="113"/>
    </row>
    <row r="955" spans="2:9" s="112" customFormat="1" ht="12.75">
      <c r="B955" s="113"/>
      <c r="C955" s="113"/>
      <c r="D955" s="113"/>
      <c r="E955" s="113"/>
      <c r="F955" s="113"/>
      <c r="G955" s="113"/>
      <c r="H955" s="113"/>
      <c r="I955" s="113"/>
    </row>
    <row r="956" spans="2:9" s="112" customFormat="1" ht="12.75">
      <c r="B956" s="113"/>
      <c r="C956" s="113"/>
      <c r="D956" s="113"/>
      <c r="E956" s="113"/>
      <c r="F956" s="113"/>
      <c r="G956" s="113"/>
      <c r="H956" s="113"/>
      <c r="I956" s="113"/>
    </row>
    <row r="957" spans="2:9" s="112" customFormat="1" ht="12.75">
      <c r="B957" s="113"/>
      <c r="C957" s="113"/>
      <c r="D957" s="113"/>
      <c r="E957" s="113"/>
      <c r="F957" s="113"/>
      <c r="G957" s="113"/>
      <c r="H957" s="113"/>
      <c r="I957" s="113"/>
    </row>
    <row r="958" spans="2:9" s="112" customFormat="1" ht="12.75">
      <c r="B958" s="113"/>
      <c r="C958" s="113"/>
      <c r="D958" s="113"/>
      <c r="E958" s="113"/>
      <c r="F958" s="113"/>
      <c r="G958" s="113"/>
      <c r="H958" s="113"/>
      <c r="I958" s="113"/>
    </row>
    <row r="959" spans="2:9" s="112" customFormat="1" ht="12.75">
      <c r="B959" s="113"/>
      <c r="C959" s="113"/>
      <c r="D959" s="113"/>
      <c r="E959" s="113"/>
      <c r="F959" s="113"/>
      <c r="G959" s="113"/>
      <c r="H959" s="113"/>
      <c r="I959" s="113"/>
    </row>
    <row r="960" spans="2:9" s="112" customFormat="1" ht="12.75">
      <c r="B960" s="113"/>
      <c r="C960" s="113"/>
      <c r="D960" s="113"/>
      <c r="E960" s="113"/>
      <c r="F960" s="113"/>
      <c r="G960" s="113"/>
      <c r="H960" s="113"/>
      <c r="I960" s="113"/>
    </row>
    <row r="961" spans="2:9" s="112" customFormat="1" ht="12.75">
      <c r="B961" s="113"/>
      <c r="C961" s="113"/>
      <c r="D961" s="113"/>
      <c r="E961" s="113"/>
      <c r="F961" s="113"/>
      <c r="G961" s="113"/>
      <c r="H961" s="113"/>
      <c r="I961" s="113"/>
    </row>
    <row r="962" spans="2:9" s="112" customFormat="1" ht="12.75">
      <c r="B962" s="113"/>
      <c r="C962" s="113"/>
      <c r="D962" s="113"/>
      <c r="E962" s="113"/>
      <c r="F962" s="113"/>
      <c r="G962" s="113"/>
      <c r="H962" s="113"/>
      <c r="I962" s="113"/>
    </row>
    <row r="963" spans="2:9" s="112" customFormat="1" ht="12.75">
      <c r="B963" s="113"/>
      <c r="C963" s="113"/>
      <c r="D963" s="113"/>
      <c r="E963" s="113"/>
      <c r="F963" s="113"/>
      <c r="G963" s="113"/>
      <c r="H963" s="113"/>
      <c r="I963" s="113"/>
    </row>
    <row r="964" spans="2:9" s="112" customFormat="1" ht="12.75">
      <c r="B964" s="113"/>
      <c r="C964" s="113"/>
      <c r="D964" s="113"/>
      <c r="E964" s="113"/>
      <c r="F964" s="113"/>
      <c r="G964" s="113"/>
      <c r="H964" s="113"/>
      <c r="I964" s="113"/>
    </row>
    <row r="965" spans="2:9" s="112" customFormat="1" ht="12.75">
      <c r="B965" s="113"/>
      <c r="C965" s="113"/>
      <c r="D965" s="113"/>
      <c r="E965" s="113"/>
      <c r="F965" s="113"/>
      <c r="G965" s="113"/>
      <c r="H965" s="113"/>
      <c r="I965" s="113"/>
    </row>
    <row r="966" spans="2:9" s="112" customFormat="1" ht="12.75">
      <c r="B966" s="113"/>
      <c r="C966" s="113"/>
      <c r="D966" s="113"/>
      <c r="E966" s="113"/>
      <c r="F966" s="113"/>
      <c r="G966" s="113"/>
      <c r="H966" s="113"/>
      <c r="I966" s="113"/>
    </row>
    <row r="967" spans="2:9" s="112" customFormat="1" ht="12.75">
      <c r="B967" s="113"/>
      <c r="C967" s="113"/>
      <c r="D967" s="113"/>
      <c r="E967" s="113"/>
      <c r="F967" s="113"/>
      <c r="G967" s="113"/>
      <c r="H967" s="113"/>
      <c r="I967" s="113"/>
    </row>
    <row r="968" spans="2:9" s="112" customFormat="1" ht="12.75">
      <c r="B968" s="113"/>
      <c r="C968" s="113"/>
      <c r="D968" s="113"/>
      <c r="E968" s="113"/>
      <c r="F968" s="113"/>
      <c r="G968" s="113"/>
      <c r="H968" s="113"/>
      <c r="I968" s="113"/>
    </row>
    <row r="969" spans="2:9" s="112" customFormat="1" ht="12.75">
      <c r="B969" s="113"/>
      <c r="C969" s="113"/>
      <c r="D969" s="113"/>
      <c r="E969" s="113"/>
      <c r="F969" s="113"/>
      <c r="G969" s="113"/>
      <c r="H969" s="113"/>
      <c r="I969" s="113"/>
    </row>
    <row r="970" spans="2:9" s="112" customFormat="1" ht="12.75">
      <c r="B970" s="113"/>
      <c r="C970" s="113"/>
      <c r="D970" s="113"/>
      <c r="E970" s="113"/>
      <c r="F970" s="113"/>
      <c r="G970" s="113"/>
      <c r="H970" s="113"/>
      <c r="I970" s="113"/>
    </row>
    <row r="971" spans="2:9" s="112" customFormat="1" ht="12.75">
      <c r="B971" s="113"/>
      <c r="C971" s="113"/>
      <c r="D971" s="113"/>
      <c r="E971" s="113"/>
      <c r="F971" s="113"/>
      <c r="G971" s="113"/>
      <c r="H971" s="113"/>
      <c r="I971" s="113"/>
    </row>
    <row r="972" spans="2:9" s="112" customFormat="1" ht="12.75">
      <c r="B972" s="113"/>
      <c r="C972" s="113"/>
      <c r="D972" s="113"/>
      <c r="E972" s="113"/>
      <c r="F972" s="113"/>
      <c r="G972" s="113"/>
      <c r="H972" s="113"/>
      <c r="I972" s="113"/>
    </row>
    <row r="973" spans="2:9" s="112" customFormat="1" ht="12.75">
      <c r="B973" s="113"/>
      <c r="C973" s="113"/>
      <c r="D973" s="113"/>
      <c r="E973" s="113"/>
      <c r="F973" s="113"/>
      <c r="G973" s="113"/>
      <c r="H973" s="113"/>
      <c r="I973" s="113"/>
    </row>
    <row r="974" spans="2:9" s="112" customFormat="1" ht="12.75">
      <c r="B974" s="113"/>
      <c r="C974" s="113"/>
      <c r="D974" s="113"/>
      <c r="E974" s="113"/>
      <c r="F974" s="113"/>
      <c r="G974" s="113"/>
      <c r="H974" s="113"/>
      <c r="I974" s="113"/>
    </row>
    <row r="975" spans="2:9" s="112" customFormat="1" ht="12.75">
      <c r="B975" s="113"/>
      <c r="C975" s="113"/>
      <c r="D975" s="113"/>
      <c r="E975" s="113"/>
      <c r="F975" s="113"/>
      <c r="G975" s="113"/>
      <c r="H975" s="113"/>
      <c r="I975" s="113"/>
    </row>
    <row r="976" spans="2:9" s="112" customFormat="1" ht="12.75">
      <c r="B976" s="113"/>
      <c r="C976" s="113"/>
      <c r="D976" s="113"/>
      <c r="E976" s="113"/>
      <c r="F976" s="113"/>
      <c r="G976" s="113"/>
      <c r="H976" s="113"/>
      <c r="I976" s="113"/>
    </row>
    <row r="977" spans="2:9" s="112" customFormat="1" ht="12.75">
      <c r="B977" s="113"/>
      <c r="C977" s="113"/>
      <c r="D977" s="113"/>
      <c r="E977" s="113"/>
      <c r="F977" s="113"/>
      <c r="G977" s="113"/>
      <c r="H977" s="113"/>
      <c r="I977" s="113"/>
    </row>
    <row r="978" spans="2:9" s="112" customFormat="1" ht="12.75">
      <c r="B978" s="113"/>
      <c r="C978" s="113"/>
      <c r="D978" s="113"/>
      <c r="E978" s="113"/>
      <c r="F978" s="113"/>
      <c r="G978" s="113"/>
      <c r="H978" s="113"/>
      <c r="I978" s="113"/>
    </row>
    <row r="979" spans="2:9" s="112" customFormat="1" ht="12.75">
      <c r="B979" s="113"/>
      <c r="C979" s="113"/>
      <c r="D979" s="113"/>
      <c r="E979" s="113"/>
      <c r="F979" s="113"/>
      <c r="G979" s="113"/>
      <c r="H979" s="113"/>
      <c r="I979" s="113"/>
    </row>
    <row r="980" spans="2:9" s="112" customFormat="1" ht="12.75">
      <c r="B980" s="113"/>
      <c r="C980" s="113"/>
      <c r="D980" s="113"/>
      <c r="E980" s="113"/>
      <c r="F980" s="113"/>
      <c r="G980" s="113"/>
      <c r="H980" s="113"/>
      <c r="I980" s="113"/>
    </row>
    <row r="981" spans="2:9" s="112" customFormat="1" ht="12.75">
      <c r="B981" s="113"/>
      <c r="C981" s="113"/>
      <c r="D981" s="113"/>
      <c r="E981" s="113"/>
      <c r="F981" s="113"/>
      <c r="G981" s="113"/>
      <c r="H981" s="113"/>
      <c r="I981" s="113"/>
    </row>
    <row r="982" spans="2:9" s="112" customFormat="1" ht="12.75">
      <c r="B982" s="113"/>
      <c r="C982" s="113"/>
      <c r="D982" s="113"/>
      <c r="E982" s="113"/>
      <c r="F982" s="113"/>
      <c r="G982" s="113"/>
      <c r="H982" s="113"/>
      <c r="I982" s="113"/>
    </row>
    <row r="983" spans="2:9" s="112" customFormat="1" ht="12.75">
      <c r="B983" s="113"/>
      <c r="C983" s="113"/>
      <c r="D983" s="113"/>
      <c r="E983" s="113"/>
      <c r="F983" s="113"/>
      <c r="G983" s="113"/>
      <c r="H983" s="113"/>
      <c r="I983" s="113"/>
    </row>
    <row r="984" spans="2:9" s="112" customFormat="1" ht="12.75">
      <c r="B984" s="113"/>
      <c r="C984" s="113"/>
      <c r="D984" s="113"/>
      <c r="E984" s="113"/>
      <c r="F984" s="113"/>
      <c r="G984" s="113"/>
      <c r="H984" s="113"/>
      <c r="I984" s="113"/>
    </row>
    <row r="985" spans="2:9" s="112" customFormat="1" ht="12.75">
      <c r="B985" s="113"/>
      <c r="C985" s="113"/>
      <c r="D985" s="113"/>
      <c r="E985" s="113"/>
      <c r="F985" s="113"/>
      <c r="G985" s="113"/>
      <c r="H985" s="113"/>
      <c r="I985" s="113"/>
    </row>
    <row r="986" spans="2:9" s="112" customFormat="1" ht="12.75">
      <c r="B986" s="113"/>
      <c r="C986" s="113"/>
      <c r="D986" s="113"/>
      <c r="E986" s="113"/>
      <c r="F986" s="113"/>
      <c r="G986" s="113"/>
      <c r="H986" s="113"/>
      <c r="I986" s="113"/>
    </row>
    <row r="987" spans="2:9" s="112" customFormat="1" ht="12.75">
      <c r="B987" s="113"/>
      <c r="C987" s="113"/>
      <c r="D987" s="113"/>
      <c r="E987" s="113"/>
      <c r="F987" s="113"/>
      <c r="G987" s="113"/>
      <c r="H987" s="113"/>
      <c r="I987" s="113"/>
    </row>
    <row r="988" spans="2:9" s="112" customFormat="1" ht="12.75">
      <c r="B988" s="113"/>
      <c r="C988" s="113"/>
      <c r="D988" s="113"/>
      <c r="E988" s="113"/>
      <c r="F988" s="113"/>
      <c r="G988" s="113"/>
      <c r="H988" s="113"/>
      <c r="I988" s="113"/>
    </row>
    <row r="989" spans="2:9" s="112" customFormat="1" ht="12.75">
      <c r="B989" s="113"/>
      <c r="C989" s="113"/>
      <c r="D989" s="113"/>
      <c r="E989" s="113"/>
      <c r="F989" s="113"/>
      <c r="G989" s="113"/>
      <c r="H989" s="113"/>
      <c r="I989" s="113"/>
    </row>
    <row r="990" spans="2:9" s="112" customFormat="1" ht="12.75">
      <c r="B990" s="113"/>
      <c r="C990" s="113"/>
      <c r="D990" s="113"/>
      <c r="E990" s="113"/>
      <c r="F990" s="113"/>
      <c r="G990" s="113"/>
      <c r="H990" s="113"/>
      <c r="I990" s="113"/>
    </row>
    <row r="991" spans="2:9" s="112" customFormat="1" ht="12.75">
      <c r="B991" s="113"/>
      <c r="C991" s="113"/>
      <c r="D991" s="113"/>
      <c r="E991" s="113"/>
      <c r="F991" s="113"/>
      <c r="G991" s="113"/>
      <c r="H991" s="113"/>
      <c r="I991" s="113"/>
    </row>
    <row r="992" spans="2:9" s="112" customFormat="1" ht="12.75">
      <c r="B992" s="113"/>
      <c r="C992" s="113"/>
      <c r="D992" s="113"/>
      <c r="E992" s="113"/>
      <c r="F992" s="113"/>
      <c r="G992" s="113"/>
      <c r="H992" s="113"/>
      <c r="I992" s="113"/>
    </row>
    <row r="993" spans="2:9" s="112" customFormat="1" ht="12.75">
      <c r="B993" s="113"/>
      <c r="C993" s="113"/>
      <c r="D993" s="113"/>
      <c r="E993" s="113"/>
      <c r="F993" s="113"/>
      <c r="G993" s="113"/>
      <c r="H993" s="113"/>
      <c r="I993" s="113"/>
    </row>
    <row r="994" spans="2:9" s="112" customFormat="1" ht="12.75">
      <c r="B994" s="113"/>
      <c r="C994" s="113"/>
      <c r="D994" s="113"/>
      <c r="E994" s="113"/>
      <c r="F994" s="113"/>
      <c r="G994" s="113"/>
      <c r="H994" s="113"/>
      <c r="I994" s="113"/>
    </row>
    <row r="995" spans="2:9" s="112" customFormat="1" ht="12.75">
      <c r="B995" s="113"/>
      <c r="C995" s="113"/>
      <c r="D995" s="113"/>
      <c r="E995" s="113"/>
      <c r="F995" s="113"/>
      <c r="G995" s="113"/>
      <c r="H995" s="113"/>
      <c r="I995" s="113"/>
    </row>
    <row r="996" spans="2:9" s="112" customFormat="1" ht="12.75">
      <c r="B996" s="113"/>
      <c r="C996" s="113"/>
      <c r="D996" s="113"/>
      <c r="E996" s="113"/>
      <c r="F996" s="113"/>
      <c r="G996" s="113"/>
      <c r="H996" s="113"/>
      <c r="I996" s="113"/>
    </row>
    <row r="997" spans="2:9" s="112" customFormat="1" ht="12.75">
      <c r="B997" s="113"/>
      <c r="C997" s="113"/>
      <c r="D997" s="113"/>
      <c r="E997" s="113"/>
      <c r="F997" s="113"/>
      <c r="G997" s="113"/>
      <c r="H997" s="113"/>
      <c r="I997" s="113"/>
    </row>
    <row r="998" spans="2:9" s="112" customFormat="1" ht="12.75">
      <c r="B998" s="113"/>
      <c r="C998" s="113"/>
      <c r="D998" s="113"/>
      <c r="E998" s="113"/>
      <c r="F998" s="113"/>
      <c r="G998" s="113"/>
      <c r="H998" s="113"/>
      <c r="I998" s="113"/>
    </row>
    <row r="999" spans="2:9" s="112" customFormat="1" ht="12.75">
      <c r="B999" s="113"/>
      <c r="C999" s="113"/>
      <c r="D999" s="113"/>
      <c r="E999" s="113"/>
      <c r="F999" s="113"/>
      <c r="G999" s="113"/>
      <c r="H999" s="113"/>
      <c r="I999" s="113"/>
    </row>
    <row r="1000" spans="2:9" s="112" customFormat="1" ht="12.75">
      <c r="B1000" s="113"/>
      <c r="C1000" s="113"/>
      <c r="D1000" s="113"/>
      <c r="E1000" s="113"/>
      <c r="F1000" s="113"/>
      <c r="G1000" s="113"/>
      <c r="H1000" s="113"/>
      <c r="I1000" s="113"/>
    </row>
    <row r="1001" spans="2:9" s="112" customFormat="1" ht="12.75">
      <c r="B1001" s="113"/>
      <c r="C1001" s="113"/>
      <c r="D1001" s="113"/>
      <c r="E1001" s="113"/>
      <c r="F1001" s="113"/>
      <c r="G1001" s="113"/>
      <c r="H1001" s="113"/>
      <c r="I1001" s="113"/>
    </row>
    <row r="1002" spans="2:9" s="112" customFormat="1" ht="12.75">
      <c r="B1002" s="113"/>
      <c r="C1002" s="113"/>
      <c r="D1002" s="113"/>
      <c r="E1002" s="113"/>
      <c r="F1002" s="113"/>
      <c r="G1002" s="113"/>
      <c r="H1002" s="113"/>
      <c r="I1002" s="113"/>
    </row>
    <row r="1003" spans="2:9" s="112" customFormat="1" ht="12.75">
      <c r="B1003" s="113"/>
      <c r="C1003" s="113"/>
      <c r="D1003" s="113"/>
      <c r="E1003" s="113"/>
      <c r="F1003" s="113"/>
      <c r="G1003" s="113"/>
      <c r="H1003" s="113"/>
      <c r="I1003" s="113"/>
    </row>
    <row r="1004" spans="2:9" s="112" customFormat="1" ht="12.75">
      <c r="B1004" s="113"/>
      <c r="C1004" s="113"/>
      <c r="D1004" s="113"/>
      <c r="E1004" s="113"/>
      <c r="F1004" s="113"/>
      <c r="G1004" s="113"/>
      <c r="H1004" s="113"/>
      <c r="I1004" s="113"/>
    </row>
    <row r="1005" spans="2:9" s="112" customFormat="1" ht="12.75">
      <c r="B1005" s="113"/>
      <c r="C1005" s="113"/>
      <c r="D1005" s="113"/>
      <c r="E1005" s="113"/>
      <c r="F1005" s="113"/>
      <c r="G1005" s="113"/>
      <c r="H1005" s="113"/>
      <c r="I1005" s="113"/>
    </row>
    <row r="1006" spans="2:9" s="112" customFormat="1" ht="12.75">
      <c r="B1006" s="113"/>
      <c r="C1006" s="113"/>
      <c r="D1006" s="113"/>
      <c r="E1006" s="113"/>
      <c r="F1006" s="113"/>
      <c r="G1006" s="113"/>
      <c r="H1006" s="113"/>
      <c r="I1006" s="113"/>
    </row>
    <row r="1007" spans="2:9" s="112" customFormat="1" ht="12.75">
      <c r="B1007" s="113"/>
      <c r="C1007" s="113"/>
      <c r="D1007" s="113"/>
      <c r="E1007" s="113"/>
      <c r="F1007" s="113"/>
      <c r="G1007" s="113"/>
      <c r="H1007" s="113"/>
      <c r="I1007" s="113"/>
    </row>
    <row r="1008" spans="2:9" s="112" customFormat="1" ht="12.75">
      <c r="B1008" s="113"/>
      <c r="C1008" s="113"/>
      <c r="D1008" s="113"/>
      <c r="E1008" s="113"/>
      <c r="F1008" s="113"/>
      <c r="G1008" s="113"/>
      <c r="H1008" s="113"/>
      <c r="I1008" s="113"/>
    </row>
    <row r="1009" spans="2:9" s="112" customFormat="1" ht="12.75">
      <c r="B1009" s="113"/>
      <c r="C1009" s="113"/>
      <c r="D1009" s="113"/>
      <c r="E1009" s="113"/>
      <c r="F1009" s="113"/>
      <c r="G1009" s="113"/>
      <c r="H1009" s="113"/>
      <c r="I1009" s="113"/>
    </row>
    <row r="1010" spans="2:9" s="112" customFormat="1" ht="12.75">
      <c r="B1010" s="113"/>
      <c r="C1010" s="113"/>
      <c r="D1010" s="113"/>
      <c r="E1010" s="113"/>
      <c r="F1010" s="113"/>
      <c r="G1010" s="113"/>
      <c r="H1010" s="113"/>
      <c r="I1010" s="113"/>
    </row>
    <row r="1011" spans="2:9" s="112" customFormat="1" ht="12.75">
      <c r="B1011" s="113"/>
      <c r="C1011" s="113"/>
      <c r="D1011" s="113"/>
      <c r="E1011" s="113"/>
      <c r="F1011" s="113"/>
      <c r="G1011" s="113"/>
      <c r="H1011" s="113"/>
      <c r="I1011" s="113"/>
    </row>
    <row r="1012" spans="2:9" s="112" customFormat="1" ht="12.75">
      <c r="B1012" s="113"/>
      <c r="C1012" s="113"/>
      <c r="D1012" s="113"/>
      <c r="E1012" s="113"/>
      <c r="F1012" s="113"/>
      <c r="G1012" s="113"/>
      <c r="H1012" s="113"/>
      <c r="I1012" s="113"/>
    </row>
    <row r="1013" spans="2:9" s="112" customFormat="1" ht="12.75">
      <c r="B1013" s="113"/>
      <c r="C1013" s="113"/>
      <c r="D1013" s="113"/>
      <c r="E1013" s="113"/>
      <c r="F1013" s="113"/>
      <c r="G1013" s="113"/>
      <c r="H1013" s="113"/>
      <c r="I1013" s="113"/>
    </row>
    <row r="1014" spans="2:9" s="112" customFormat="1" ht="12.75">
      <c r="B1014" s="113"/>
      <c r="C1014" s="113"/>
      <c r="D1014" s="113"/>
      <c r="E1014" s="113"/>
      <c r="F1014" s="113"/>
      <c r="G1014" s="113"/>
      <c r="H1014" s="113"/>
      <c r="I1014" s="113"/>
    </row>
    <row r="1015" spans="2:9" s="112" customFormat="1" ht="12.75">
      <c r="B1015" s="113"/>
      <c r="C1015" s="113"/>
      <c r="D1015" s="113"/>
      <c r="E1015" s="113"/>
      <c r="F1015" s="113"/>
      <c r="G1015" s="113"/>
      <c r="H1015" s="113"/>
      <c r="I1015" s="113"/>
    </row>
    <row r="1016" spans="2:9" s="112" customFormat="1" ht="12.75">
      <c r="B1016" s="113"/>
      <c r="C1016" s="113"/>
      <c r="D1016" s="113"/>
      <c r="E1016" s="113"/>
      <c r="F1016" s="113"/>
      <c r="G1016" s="113"/>
      <c r="H1016" s="113"/>
      <c r="I1016" s="113"/>
    </row>
    <row r="1017" spans="2:9" s="112" customFormat="1" ht="12.75">
      <c r="B1017" s="113"/>
      <c r="C1017" s="113"/>
      <c r="D1017" s="113"/>
      <c r="E1017" s="113"/>
      <c r="F1017" s="113"/>
      <c r="G1017" s="113"/>
      <c r="H1017" s="113"/>
      <c r="I1017" s="113"/>
    </row>
    <row r="1018" spans="2:9" s="112" customFormat="1" ht="12.75">
      <c r="B1018" s="113"/>
      <c r="C1018" s="113"/>
      <c r="D1018" s="113"/>
      <c r="E1018" s="113"/>
      <c r="F1018" s="113"/>
      <c r="G1018" s="113"/>
      <c r="H1018" s="113"/>
      <c r="I1018" s="113"/>
    </row>
    <row r="1019" spans="2:9" s="112" customFormat="1" ht="12.75">
      <c r="B1019" s="113"/>
      <c r="C1019" s="113"/>
      <c r="D1019" s="113"/>
      <c r="E1019" s="113"/>
      <c r="F1019" s="113"/>
      <c r="G1019" s="113"/>
      <c r="H1019" s="113"/>
      <c r="I1019" s="113"/>
    </row>
    <row r="1020" spans="2:9" s="112" customFormat="1" ht="12.75">
      <c r="B1020" s="113"/>
      <c r="C1020" s="113"/>
      <c r="D1020" s="113"/>
      <c r="E1020" s="113"/>
      <c r="F1020" s="113"/>
      <c r="G1020" s="113"/>
      <c r="H1020" s="113"/>
      <c r="I1020" s="113"/>
    </row>
    <row r="1021" spans="2:9" s="112" customFormat="1" ht="12.75">
      <c r="B1021" s="113"/>
      <c r="C1021" s="113"/>
      <c r="D1021" s="113"/>
      <c r="E1021" s="113"/>
      <c r="F1021" s="113"/>
      <c r="G1021" s="113"/>
      <c r="H1021" s="113"/>
      <c r="I1021" s="113"/>
    </row>
    <row r="1022" spans="2:9" s="112" customFormat="1" ht="12.75">
      <c r="B1022" s="113"/>
      <c r="C1022" s="113"/>
      <c r="D1022" s="113"/>
      <c r="E1022" s="113"/>
      <c r="F1022" s="113"/>
      <c r="G1022" s="113"/>
      <c r="H1022" s="113"/>
      <c r="I1022" s="113"/>
    </row>
    <row r="1023" spans="2:9" s="112" customFormat="1" ht="12.75">
      <c r="B1023" s="113"/>
      <c r="C1023" s="113"/>
      <c r="D1023" s="113"/>
      <c r="E1023" s="113"/>
      <c r="F1023" s="113"/>
      <c r="G1023" s="113"/>
      <c r="H1023" s="113"/>
      <c r="I1023" s="113"/>
    </row>
    <row r="1024" spans="2:9" s="112" customFormat="1" ht="12.75">
      <c r="B1024" s="113"/>
      <c r="C1024" s="113"/>
      <c r="D1024" s="113"/>
      <c r="E1024" s="113"/>
      <c r="F1024" s="113"/>
      <c r="G1024" s="113"/>
      <c r="H1024" s="113"/>
      <c r="I1024" s="113"/>
    </row>
    <row r="1025" spans="2:9" s="112" customFormat="1" ht="12.75">
      <c r="B1025" s="113"/>
      <c r="C1025" s="113"/>
      <c r="D1025" s="113"/>
      <c r="E1025" s="113"/>
      <c r="F1025" s="113"/>
      <c r="G1025" s="113"/>
      <c r="H1025" s="113"/>
      <c r="I1025" s="113"/>
    </row>
    <row r="1026" spans="2:9" s="112" customFormat="1" ht="12.75">
      <c r="B1026" s="113"/>
      <c r="C1026" s="113"/>
      <c r="D1026" s="113"/>
      <c r="E1026" s="113"/>
      <c r="F1026" s="113"/>
      <c r="G1026" s="113"/>
      <c r="H1026" s="113"/>
      <c r="I1026" s="113"/>
    </row>
    <row r="1027" spans="2:9" s="112" customFormat="1" ht="12.75">
      <c r="B1027" s="113"/>
      <c r="C1027" s="113"/>
      <c r="D1027" s="113"/>
      <c r="E1027" s="113"/>
      <c r="F1027" s="113"/>
      <c r="G1027" s="113"/>
      <c r="H1027" s="113"/>
      <c r="I1027" s="113"/>
    </row>
    <row r="1028" spans="2:9" s="112" customFormat="1" ht="12.75">
      <c r="B1028" s="113"/>
      <c r="C1028" s="113"/>
      <c r="D1028" s="113"/>
      <c r="E1028" s="113"/>
      <c r="F1028" s="113"/>
      <c r="G1028" s="113"/>
      <c r="H1028" s="113"/>
      <c r="I1028" s="113"/>
    </row>
    <row r="1029" spans="2:9" s="112" customFormat="1" ht="12.75">
      <c r="B1029" s="113"/>
      <c r="C1029" s="113"/>
      <c r="D1029" s="113"/>
      <c r="E1029" s="113"/>
      <c r="F1029" s="113"/>
      <c r="G1029" s="113"/>
      <c r="H1029" s="113"/>
      <c r="I1029" s="113"/>
    </row>
    <row r="1030" spans="2:9" s="112" customFormat="1" ht="12.75">
      <c r="B1030" s="113"/>
      <c r="C1030" s="113"/>
      <c r="D1030" s="113"/>
      <c r="E1030" s="113"/>
      <c r="F1030" s="113"/>
      <c r="G1030" s="113"/>
      <c r="H1030" s="113"/>
      <c r="I1030" s="113"/>
    </row>
    <row r="1031" spans="2:9" s="112" customFormat="1" ht="12.75">
      <c r="B1031" s="113"/>
      <c r="C1031" s="113"/>
      <c r="D1031" s="113"/>
      <c r="E1031" s="113"/>
      <c r="F1031" s="113"/>
      <c r="G1031" s="113"/>
      <c r="H1031" s="113"/>
      <c r="I1031" s="113"/>
    </row>
    <row r="1032" spans="2:9" s="112" customFormat="1" ht="12.75">
      <c r="B1032" s="113"/>
      <c r="C1032" s="113"/>
      <c r="D1032" s="113"/>
      <c r="E1032" s="113"/>
      <c r="F1032" s="113"/>
      <c r="G1032" s="113"/>
      <c r="H1032" s="113"/>
      <c r="I1032" s="113"/>
    </row>
    <row r="1033" spans="2:9" s="112" customFormat="1" ht="12.75">
      <c r="B1033" s="113"/>
      <c r="C1033" s="113"/>
      <c r="D1033" s="113"/>
      <c r="E1033" s="113"/>
      <c r="F1033" s="113"/>
      <c r="G1033" s="113"/>
      <c r="H1033" s="113"/>
      <c r="I1033" s="113"/>
    </row>
    <row r="1034" spans="2:9" s="112" customFormat="1" ht="12.75">
      <c r="B1034" s="113"/>
      <c r="C1034" s="113"/>
      <c r="D1034" s="113"/>
      <c r="E1034" s="113"/>
      <c r="F1034" s="113"/>
      <c r="G1034" s="113"/>
      <c r="H1034" s="113"/>
      <c r="I1034" s="113"/>
    </row>
    <row r="1035" spans="2:9" s="112" customFormat="1" ht="12.75">
      <c r="B1035" s="113"/>
      <c r="C1035" s="113"/>
      <c r="D1035" s="113"/>
      <c r="E1035" s="113"/>
      <c r="F1035" s="113"/>
      <c r="G1035" s="113"/>
      <c r="H1035" s="113"/>
      <c r="I1035" s="113"/>
    </row>
    <row r="1036" spans="2:9" s="112" customFormat="1" ht="12.75">
      <c r="B1036" s="113"/>
      <c r="C1036" s="113"/>
      <c r="D1036" s="113"/>
      <c r="E1036" s="113"/>
      <c r="F1036" s="113"/>
      <c r="G1036" s="113"/>
      <c r="H1036" s="113"/>
      <c r="I1036" s="113"/>
    </row>
    <row r="1037" spans="2:9" s="112" customFormat="1" ht="12.75">
      <c r="B1037" s="113"/>
      <c r="C1037" s="113"/>
      <c r="D1037" s="113"/>
      <c r="E1037" s="113"/>
      <c r="F1037" s="113"/>
      <c r="G1037" s="113"/>
      <c r="H1037" s="113"/>
      <c r="I1037" s="113"/>
    </row>
    <row r="1038" spans="2:9" s="112" customFormat="1" ht="12.75">
      <c r="B1038" s="113"/>
      <c r="C1038" s="113"/>
      <c r="D1038" s="113"/>
      <c r="E1038" s="113"/>
      <c r="F1038" s="113"/>
      <c r="G1038" s="113"/>
      <c r="H1038" s="113"/>
      <c r="I1038" s="113"/>
    </row>
    <row r="1039" spans="2:9" s="112" customFormat="1" ht="12.75">
      <c r="B1039" s="113"/>
      <c r="C1039" s="113"/>
      <c r="D1039" s="113"/>
      <c r="E1039" s="113"/>
      <c r="F1039" s="113"/>
      <c r="G1039" s="113"/>
      <c r="H1039" s="113"/>
      <c r="I1039" s="113"/>
    </row>
    <row r="1040" spans="2:9" s="112" customFormat="1" ht="12.75">
      <c r="B1040" s="113"/>
      <c r="C1040" s="113"/>
      <c r="D1040" s="113"/>
      <c r="E1040" s="113"/>
      <c r="F1040" s="113"/>
      <c r="G1040" s="113"/>
      <c r="H1040" s="113"/>
      <c r="I1040" s="113"/>
    </row>
    <row r="1041" spans="2:9" s="112" customFormat="1" ht="12.75">
      <c r="B1041" s="113"/>
      <c r="C1041" s="113"/>
      <c r="D1041" s="113"/>
      <c r="E1041" s="113"/>
      <c r="F1041" s="113"/>
      <c r="G1041" s="113"/>
      <c r="H1041" s="113"/>
      <c r="I1041" s="113"/>
    </row>
    <row r="1042" spans="2:9" s="112" customFormat="1" ht="12.75">
      <c r="B1042" s="113"/>
      <c r="C1042" s="113"/>
      <c r="D1042" s="113"/>
      <c r="E1042" s="113"/>
      <c r="F1042" s="113"/>
      <c r="G1042" s="113"/>
      <c r="H1042" s="113"/>
      <c r="I1042" s="113"/>
    </row>
    <row r="1043" spans="2:9" s="112" customFormat="1" ht="12.75">
      <c r="B1043" s="113"/>
      <c r="C1043" s="113"/>
      <c r="D1043" s="113"/>
      <c r="E1043" s="113"/>
      <c r="F1043" s="113"/>
      <c r="G1043" s="113"/>
      <c r="H1043" s="113"/>
      <c r="I1043" s="113"/>
    </row>
    <row r="1044" spans="2:9" s="112" customFormat="1" ht="12.75">
      <c r="B1044" s="113"/>
      <c r="C1044" s="113"/>
      <c r="D1044" s="113"/>
      <c r="E1044" s="113"/>
      <c r="F1044" s="113"/>
      <c r="G1044" s="113"/>
      <c r="H1044" s="113"/>
      <c r="I1044" s="113"/>
    </row>
    <row r="1045" spans="2:9" s="112" customFormat="1" ht="12.75">
      <c r="B1045" s="113"/>
      <c r="C1045" s="113"/>
      <c r="D1045" s="113"/>
      <c r="E1045" s="113"/>
      <c r="F1045" s="113"/>
      <c r="G1045" s="113"/>
      <c r="H1045" s="113"/>
      <c r="I1045" s="113"/>
    </row>
    <row r="1046" spans="2:9" s="112" customFormat="1" ht="12.75">
      <c r="B1046" s="113"/>
      <c r="C1046" s="113"/>
      <c r="D1046" s="113"/>
      <c r="E1046" s="113"/>
      <c r="F1046" s="113"/>
      <c r="G1046" s="113"/>
      <c r="H1046" s="113"/>
      <c r="I1046" s="113"/>
    </row>
    <row r="1047" spans="2:9" s="112" customFormat="1" ht="12.75">
      <c r="B1047" s="113"/>
      <c r="C1047" s="113"/>
      <c r="D1047" s="113"/>
      <c r="E1047" s="113"/>
      <c r="F1047" s="113"/>
      <c r="G1047" s="113"/>
      <c r="H1047" s="113"/>
      <c r="I1047" s="113"/>
    </row>
    <row r="1048" spans="2:9" s="112" customFormat="1" ht="12.75">
      <c r="B1048" s="113"/>
      <c r="C1048" s="113"/>
      <c r="D1048" s="113"/>
      <c r="E1048" s="113"/>
      <c r="F1048" s="113"/>
      <c r="G1048" s="113"/>
      <c r="H1048" s="113"/>
      <c r="I1048" s="113"/>
    </row>
    <row r="1049" spans="2:9" s="112" customFormat="1" ht="12.75">
      <c r="B1049" s="113"/>
      <c r="C1049" s="113"/>
      <c r="D1049" s="113"/>
      <c r="E1049" s="113"/>
      <c r="F1049" s="113"/>
      <c r="G1049" s="113"/>
      <c r="H1049" s="113"/>
      <c r="I1049" s="113"/>
    </row>
    <row r="1050" spans="2:9" s="112" customFormat="1" ht="12.75">
      <c r="B1050" s="113"/>
      <c r="C1050" s="113"/>
      <c r="D1050" s="113"/>
      <c r="E1050" s="113"/>
      <c r="F1050" s="113"/>
      <c r="G1050" s="113"/>
      <c r="H1050" s="113"/>
      <c r="I1050" s="113"/>
    </row>
    <row r="1051" spans="2:9" s="112" customFormat="1" ht="12.75">
      <c r="B1051" s="113"/>
      <c r="C1051" s="113"/>
      <c r="D1051" s="113"/>
      <c r="E1051" s="113"/>
      <c r="F1051" s="113"/>
      <c r="G1051" s="113"/>
      <c r="H1051" s="113"/>
      <c r="I1051" s="113"/>
    </row>
    <row r="1052" spans="2:9" s="112" customFormat="1" ht="12.75">
      <c r="B1052" s="113"/>
      <c r="C1052" s="113"/>
      <c r="D1052" s="113"/>
      <c r="E1052" s="113"/>
      <c r="F1052" s="113"/>
      <c r="G1052" s="113"/>
      <c r="H1052" s="113"/>
      <c r="I1052" s="113"/>
    </row>
    <row r="1053" spans="2:9" s="112" customFormat="1" ht="12.75">
      <c r="B1053" s="113"/>
      <c r="C1053" s="113"/>
      <c r="D1053" s="113"/>
      <c r="E1053" s="113"/>
      <c r="F1053" s="113"/>
      <c r="G1053" s="113"/>
      <c r="H1053" s="113"/>
      <c r="I1053" s="113"/>
    </row>
    <row r="1054" spans="2:9" s="112" customFormat="1" ht="12.75">
      <c r="B1054" s="113"/>
      <c r="C1054" s="113"/>
      <c r="D1054" s="113"/>
      <c r="E1054" s="113"/>
      <c r="F1054" s="113"/>
      <c r="G1054" s="113"/>
      <c r="H1054" s="113"/>
      <c r="I1054" s="113"/>
    </row>
    <row r="1055" spans="2:9" s="112" customFormat="1" ht="12.75">
      <c r="B1055" s="113"/>
      <c r="C1055" s="113"/>
      <c r="D1055" s="113"/>
      <c r="E1055" s="113"/>
      <c r="F1055" s="113"/>
      <c r="G1055" s="113"/>
      <c r="H1055" s="113"/>
      <c r="I1055" s="113"/>
    </row>
    <row r="1056" spans="2:9" s="112" customFormat="1" ht="12.75">
      <c r="B1056" s="113"/>
      <c r="C1056" s="113"/>
      <c r="D1056" s="113"/>
      <c r="E1056" s="113"/>
      <c r="F1056" s="113"/>
      <c r="G1056" s="113"/>
      <c r="H1056" s="113"/>
      <c r="I1056" s="113"/>
    </row>
    <row r="1057" spans="2:9" s="112" customFormat="1" ht="12.75">
      <c r="B1057" s="113"/>
      <c r="C1057" s="113"/>
      <c r="D1057" s="113"/>
      <c r="E1057" s="113"/>
      <c r="F1057" s="113"/>
      <c r="G1057" s="113"/>
      <c r="H1057" s="113"/>
      <c r="I1057" s="113"/>
    </row>
    <row r="1058" spans="2:9" s="112" customFormat="1" ht="12.75">
      <c r="B1058" s="113"/>
      <c r="C1058" s="113"/>
      <c r="D1058" s="113"/>
      <c r="E1058" s="113"/>
      <c r="F1058" s="113"/>
      <c r="G1058" s="113"/>
      <c r="H1058" s="113"/>
      <c r="I1058" s="113"/>
    </row>
    <row r="1059" spans="2:9" s="112" customFormat="1" ht="12.75">
      <c r="B1059" s="113"/>
      <c r="C1059" s="113"/>
      <c r="D1059" s="113"/>
      <c r="E1059" s="113"/>
      <c r="F1059" s="113"/>
      <c r="G1059" s="113"/>
      <c r="H1059" s="113"/>
      <c r="I1059" s="113"/>
    </row>
    <row r="1060" spans="2:9" s="112" customFormat="1" ht="12.75">
      <c r="B1060" s="113"/>
      <c r="C1060" s="113"/>
      <c r="D1060" s="113"/>
      <c r="E1060" s="113"/>
      <c r="F1060" s="113"/>
      <c r="G1060" s="113"/>
      <c r="H1060" s="113"/>
      <c r="I1060" s="113"/>
    </row>
    <row r="1061" spans="2:9" s="112" customFormat="1" ht="12.75">
      <c r="B1061" s="113"/>
      <c r="C1061" s="113"/>
      <c r="D1061" s="113"/>
      <c r="E1061" s="113"/>
      <c r="F1061" s="113"/>
      <c r="G1061" s="113"/>
      <c r="H1061" s="113"/>
      <c r="I1061" s="113"/>
    </row>
    <row r="1062" spans="2:9" s="112" customFormat="1" ht="12.75">
      <c r="B1062" s="113"/>
      <c r="C1062" s="113"/>
      <c r="D1062" s="113"/>
      <c r="E1062" s="113"/>
      <c r="F1062" s="113"/>
      <c r="G1062" s="113"/>
      <c r="H1062" s="113"/>
      <c r="I1062" s="113"/>
    </row>
    <row r="1063" spans="2:9" s="112" customFormat="1" ht="12.75">
      <c r="B1063" s="113"/>
      <c r="C1063" s="113"/>
      <c r="D1063" s="113"/>
      <c r="E1063" s="113"/>
      <c r="F1063" s="113"/>
      <c r="G1063" s="113"/>
      <c r="H1063" s="113"/>
      <c r="I1063" s="113"/>
    </row>
    <row r="1064" spans="2:9" s="112" customFormat="1" ht="12.75">
      <c r="B1064" s="113"/>
      <c r="C1064" s="113"/>
      <c r="D1064" s="113"/>
      <c r="E1064" s="113"/>
      <c r="F1064" s="113"/>
      <c r="G1064" s="113"/>
      <c r="H1064" s="113"/>
      <c r="I1064" s="113"/>
    </row>
    <row r="1065" spans="2:9" s="112" customFormat="1" ht="12.75">
      <c r="B1065" s="113"/>
      <c r="C1065" s="113"/>
      <c r="D1065" s="113"/>
      <c r="E1065" s="113"/>
      <c r="F1065" s="113"/>
      <c r="G1065" s="113"/>
      <c r="H1065" s="113"/>
      <c r="I1065" s="113"/>
    </row>
    <row r="1066" spans="2:9" s="112" customFormat="1" ht="12.75">
      <c r="B1066" s="113"/>
      <c r="C1066" s="113"/>
      <c r="D1066" s="113"/>
      <c r="E1066" s="113"/>
      <c r="F1066" s="113"/>
      <c r="G1066" s="113"/>
      <c r="H1066" s="113"/>
      <c r="I1066" s="113"/>
    </row>
    <row r="1067" spans="2:9" s="112" customFormat="1" ht="12.75">
      <c r="B1067" s="113"/>
      <c r="C1067" s="113"/>
      <c r="D1067" s="113"/>
      <c r="E1067" s="113"/>
      <c r="F1067" s="113"/>
      <c r="G1067" s="113"/>
      <c r="H1067" s="113"/>
      <c r="I1067" s="113"/>
    </row>
    <row r="1068" spans="2:9" s="112" customFormat="1" ht="12.75">
      <c r="B1068" s="113"/>
      <c r="C1068" s="113"/>
      <c r="D1068" s="113"/>
      <c r="E1068" s="113"/>
      <c r="F1068" s="113"/>
      <c r="G1068" s="113"/>
      <c r="H1068" s="113"/>
      <c r="I1068" s="113"/>
    </row>
    <row r="1069" spans="2:9" s="112" customFormat="1" ht="12.75">
      <c r="B1069" s="113"/>
      <c r="C1069" s="113"/>
      <c r="D1069" s="113"/>
      <c r="E1069" s="113"/>
      <c r="F1069" s="113"/>
      <c r="G1069" s="113"/>
      <c r="H1069" s="113"/>
      <c r="I1069" s="113"/>
    </row>
    <row r="1070" spans="2:9" s="112" customFormat="1" ht="12.75">
      <c r="B1070" s="113"/>
      <c r="C1070" s="113"/>
      <c r="D1070" s="113"/>
      <c r="E1070" s="113"/>
      <c r="F1070" s="113"/>
      <c r="G1070" s="113"/>
      <c r="H1070" s="113"/>
      <c r="I1070" s="113"/>
    </row>
    <row r="1071" spans="2:9" s="112" customFormat="1" ht="12.75">
      <c r="B1071" s="113"/>
      <c r="C1071" s="113"/>
      <c r="D1071" s="113"/>
      <c r="E1071" s="113"/>
      <c r="F1071" s="113"/>
      <c r="G1071" s="113"/>
      <c r="H1071" s="113"/>
      <c r="I1071" s="113"/>
    </row>
    <row r="1072" spans="2:9" s="112" customFormat="1" ht="12.75">
      <c r="B1072" s="113"/>
      <c r="C1072" s="113"/>
      <c r="D1072" s="113"/>
      <c r="E1072" s="113"/>
      <c r="F1072" s="113"/>
      <c r="G1072" s="113"/>
      <c r="H1072" s="113"/>
      <c r="I1072" s="113"/>
    </row>
    <row r="1073" spans="2:9" s="112" customFormat="1" ht="12.75">
      <c r="B1073" s="113"/>
      <c r="C1073" s="113"/>
      <c r="D1073" s="113"/>
      <c r="E1073" s="113"/>
      <c r="F1073" s="113"/>
      <c r="G1073" s="113"/>
      <c r="H1073" s="113"/>
      <c r="I1073" s="113"/>
    </row>
    <row r="1074" spans="2:9" s="112" customFormat="1" ht="12.75">
      <c r="B1074" s="113"/>
      <c r="C1074" s="113"/>
      <c r="D1074" s="113"/>
      <c r="E1074" s="113"/>
      <c r="F1074" s="113"/>
      <c r="G1074" s="113"/>
      <c r="H1074" s="113"/>
      <c r="I1074" s="113"/>
    </row>
    <row r="1075" spans="2:9" s="112" customFormat="1" ht="12.75">
      <c r="B1075" s="113"/>
      <c r="C1075" s="113"/>
      <c r="D1075" s="113"/>
      <c r="E1075" s="113"/>
      <c r="F1075" s="113"/>
      <c r="G1075" s="113"/>
      <c r="H1075" s="113"/>
      <c r="I1075" s="113"/>
    </row>
    <row r="1076" spans="2:9" s="112" customFormat="1" ht="12.75">
      <c r="B1076" s="113"/>
      <c r="C1076" s="113"/>
      <c r="D1076" s="113"/>
      <c r="E1076" s="113"/>
      <c r="F1076" s="113"/>
      <c r="G1076" s="113"/>
      <c r="H1076" s="113"/>
      <c r="I1076" s="113"/>
    </row>
    <row r="1077" spans="2:9" s="112" customFormat="1" ht="12.75">
      <c r="B1077" s="113"/>
      <c r="C1077" s="113"/>
      <c r="D1077" s="113"/>
      <c r="E1077" s="113"/>
      <c r="F1077" s="113"/>
      <c r="G1077" s="113"/>
      <c r="H1077" s="113"/>
      <c r="I1077" s="113"/>
    </row>
    <row r="1078" spans="2:9" s="112" customFormat="1" ht="12.75">
      <c r="B1078" s="113"/>
      <c r="C1078" s="113"/>
      <c r="D1078" s="113"/>
      <c r="E1078" s="113"/>
      <c r="F1078" s="113"/>
      <c r="G1078" s="113"/>
      <c r="H1078" s="113"/>
      <c r="I1078" s="113"/>
    </row>
    <row r="1079" spans="2:9" s="112" customFormat="1" ht="12.75">
      <c r="B1079" s="113"/>
      <c r="C1079" s="113"/>
      <c r="D1079" s="113"/>
      <c r="E1079" s="113"/>
      <c r="F1079" s="113"/>
      <c r="G1079" s="113"/>
      <c r="H1079" s="113"/>
      <c r="I1079" s="113"/>
    </row>
    <row r="1080" spans="2:9" s="112" customFormat="1" ht="12.75">
      <c r="B1080" s="113"/>
      <c r="C1080" s="113"/>
      <c r="D1080" s="113"/>
      <c r="E1080" s="113"/>
      <c r="F1080" s="113"/>
      <c r="G1080" s="113"/>
      <c r="H1080" s="113"/>
      <c r="I1080" s="113"/>
    </row>
    <row r="1081" spans="2:9" s="112" customFormat="1" ht="12.75">
      <c r="B1081" s="113"/>
      <c r="C1081" s="113"/>
      <c r="D1081" s="113"/>
      <c r="E1081" s="113"/>
      <c r="F1081" s="113"/>
      <c r="G1081" s="113"/>
      <c r="H1081" s="113"/>
      <c r="I1081" s="113"/>
    </row>
    <row r="1082" spans="2:9" s="112" customFormat="1" ht="12.75">
      <c r="B1082" s="113"/>
      <c r="C1082" s="113"/>
      <c r="D1082" s="113"/>
      <c r="E1082" s="113"/>
      <c r="F1082" s="113"/>
      <c r="G1082" s="113"/>
      <c r="H1082" s="113"/>
      <c r="I1082" s="113"/>
    </row>
    <row r="1083" spans="2:9" s="112" customFormat="1" ht="12.75">
      <c r="B1083" s="113"/>
      <c r="C1083" s="113"/>
      <c r="D1083" s="113"/>
      <c r="E1083" s="113"/>
      <c r="F1083" s="113"/>
      <c r="G1083" s="113"/>
      <c r="H1083" s="113"/>
      <c r="I1083" s="113"/>
    </row>
    <row r="1084" spans="2:9" s="112" customFormat="1" ht="12.75">
      <c r="B1084" s="113"/>
      <c r="C1084" s="113"/>
      <c r="D1084" s="113"/>
      <c r="E1084" s="113"/>
      <c r="F1084" s="113"/>
      <c r="G1084" s="113"/>
      <c r="H1084" s="113"/>
      <c r="I1084" s="113"/>
    </row>
    <row r="1085" spans="2:9" s="112" customFormat="1" ht="12.75">
      <c r="B1085" s="113"/>
      <c r="C1085" s="113"/>
      <c r="D1085" s="113"/>
      <c r="E1085" s="113"/>
      <c r="F1085" s="113"/>
      <c r="G1085" s="113"/>
      <c r="H1085" s="113"/>
      <c r="I1085" s="113"/>
    </row>
    <row r="1086" spans="2:9" s="112" customFormat="1" ht="12.75">
      <c r="B1086" s="113"/>
      <c r="C1086" s="113"/>
      <c r="D1086" s="113"/>
      <c r="E1086" s="113"/>
      <c r="F1086" s="113"/>
      <c r="G1086" s="113"/>
      <c r="H1086" s="113"/>
      <c r="I1086" s="113"/>
    </row>
    <row r="1087" spans="2:9" s="112" customFormat="1" ht="12.75">
      <c r="B1087" s="113"/>
      <c r="C1087" s="113"/>
      <c r="D1087" s="113"/>
      <c r="E1087" s="113"/>
      <c r="F1087" s="113"/>
      <c r="G1087" s="113"/>
      <c r="H1087" s="113"/>
      <c r="I1087" s="113"/>
    </row>
    <row r="1088" spans="2:9" s="112" customFormat="1" ht="12.75">
      <c r="B1088" s="113"/>
      <c r="C1088" s="113"/>
      <c r="D1088" s="113"/>
      <c r="E1088" s="113"/>
      <c r="F1088" s="113"/>
      <c r="G1088" s="113"/>
      <c r="H1088" s="113"/>
      <c r="I1088" s="113"/>
    </row>
    <row r="1089" spans="2:9" s="112" customFormat="1" ht="12.75">
      <c r="B1089" s="113"/>
      <c r="C1089" s="113"/>
      <c r="D1089" s="113"/>
      <c r="E1089" s="113"/>
      <c r="F1089" s="113"/>
      <c r="G1089" s="113"/>
      <c r="H1089" s="113"/>
      <c r="I1089" s="113"/>
    </row>
    <row r="1090" spans="2:9" s="112" customFormat="1" ht="12.75">
      <c r="B1090" s="113"/>
      <c r="C1090" s="113"/>
      <c r="D1090" s="113"/>
      <c r="E1090" s="113"/>
      <c r="F1090" s="113"/>
      <c r="G1090" s="113"/>
      <c r="H1090" s="113"/>
      <c r="I1090" s="113"/>
    </row>
    <row r="1091" spans="2:9" s="112" customFormat="1" ht="12.75">
      <c r="B1091" s="113"/>
      <c r="C1091" s="113"/>
      <c r="D1091" s="113"/>
      <c r="E1091" s="113"/>
      <c r="F1091" s="113"/>
      <c r="G1091" s="113"/>
      <c r="H1091" s="113"/>
      <c r="I1091" s="113"/>
    </row>
    <row r="1092" spans="2:9" s="112" customFormat="1" ht="12.75">
      <c r="B1092" s="113"/>
      <c r="C1092" s="113"/>
      <c r="D1092" s="113"/>
      <c r="E1092" s="113"/>
      <c r="F1092" s="113"/>
      <c r="G1092" s="113"/>
      <c r="H1092" s="113"/>
      <c r="I1092" s="113"/>
    </row>
    <row r="1093" spans="2:9" s="112" customFormat="1" ht="12.75">
      <c r="B1093" s="113"/>
      <c r="C1093" s="113"/>
      <c r="D1093" s="113"/>
      <c r="E1093" s="113"/>
      <c r="F1093" s="113"/>
      <c r="G1093" s="113"/>
      <c r="H1093" s="113"/>
      <c r="I1093" s="113"/>
    </row>
    <row r="1094" spans="2:9" s="112" customFormat="1" ht="12.75">
      <c r="B1094" s="113"/>
      <c r="C1094" s="113"/>
      <c r="D1094" s="113"/>
      <c r="E1094" s="113"/>
      <c r="F1094" s="113"/>
      <c r="G1094" s="113"/>
      <c r="H1094" s="113"/>
      <c r="I1094" s="113"/>
    </row>
    <row r="1095" spans="2:9" s="112" customFormat="1" ht="12.75">
      <c r="B1095" s="113"/>
      <c r="C1095" s="113"/>
      <c r="D1095" s="113"/>
      <c r="E1095" s="113"/>
      <c r="F1095" s="113"/>
      <c r="G1095" s="113"/>
      <c r="H1095" s="113"/>
      <c r="I1095" s="113"/>
    </row>
    <row r="1096" spans="2:9" s="112" customFormat="1" ht="12.75">
      <c r="B1096" s="113"/>
      <c r="C1096" s="113"/>
      <c r="D1096" s="113"/>
      <c r="E1096" s="113"/>
      <c r="F1096" s="113"/>
      <c r="G1096" s="113"/>
      <c r="H1096" s="113"/>
      <c r="I1096" s="113"/>
    </row>
    <row r="1097" spans="2:9" s="112" customFormat="1" ht="12.75">
      <c r="B1097" s="113"/>
      <c r="C1097" s="113"/>
      <c r="D1097" s="113"/>
      <c r="E1097" s="113"/>
      <c r="F1097" s="113"/>
      <c r="G1097" s="113"/>
      <c r="H1097" s="113"/>
      <c r="I1097" s="113"/>
    </row>
    <row r="1098" spans="2:9" s="112" customFormat="1" ht="12.75">
      <c r="B1098" s="113"/>
      <c r="C1098" s="113"/>
      <c r="D1098" s="113"/>
      <c r="E1098" s="113"/>
      <c r="F1098" s="113"/>
      <c r="G1098" s="113"/>
      <c r="H1098" s="113"/>
      <c r="I1098" s="113"/>
    </row>
    <row r="1099" spans="2:9" s="112" customFormat="1" ht="12.75">
      <c r="B1099" s="113"/>
      <c r="C1099" s="113"/>
      <c r="D1099" s="113"/>
      <c r="E1099" s="113"/>
      <c r="F1099" s="113"/>
      <c r="G1099" s="113"/>
      <c r="H1099" s="113"/>
      <c r="I1099" s="113"/>
    </row>
    <row r="1100" spans="2:9" s="112" customFormat="1" ht="12.75">
      <c r="B1100" s="113"/>
      <c r="C1100" s="113"/>
      <c r="D1100" s="113"/>
      <c r="E1100" s="113"/>
      <c r="F1100" s="113"/>
      <c r="G1100" s="113"/>
      <c r="H1100" s="113"/>
      <c r="I1100" s="113"/>
    </row>
    <row r="1101" spans="2:9" s="112" customFormat="1" ht="12.75">
      <c r="B1101" s="113"/>
      <c r="C1101" s="113"/>
      <c r="D1101" s="113"/>
      <c r="E1101" s="113"/>
      <c r="F1101" s="113"/>
      <c r="G1101" s="113"/>
      <c r="H1101" s="113"/>
      <c r="I1101" s="113"/>
    </row>
    <row r="1102" spans="2:9" s="112" customFormat="1" ht="12.75">
      <c r="B1102" s="113"/>
      <c r="C1102" s="113"/>
      <c r="D1102" s="113"/>
      <c r="E1102" s="113"/>
      <c r="F1102" s="113"/>
      <c r="G1102" s="113"/>
      <c r="H1102" s="113"/>
      <c r="I1102" s="113"/>
    </row>
    <row r="1103" spans="2:9" s="112" customFormat="1" ht="12.75">
      <c r="B1103" s="113"/>
      <c r="C1103" s="113"/>
      <c r="D1103" s="113"/>
      <c r="E1103" s="113"/>
      <c r="F1103" s="113"/>
      <c r="G1103" s="113"/>
      <c r="H1103" s="113"/>
      <c r="I1103" s="113"/>
    </row>
    <row r="1104" spans="2:9" s="112" customFormat="1" ht="12.75">
      <c r="B1104" s="113"/>
      <c r="C1104" s="113"/>
      <c r="D1104" s="113"/>
      <c r="E1104" s="113"/>
      <c r="F1104" s="113"/>
      <c r="G1104" s="113"/>
      <c r="H1104" s="113"/>
      <c r="I1104" s="113"/>
    </row>
    <row r="1105" spans="2:9" s="112" customFormat="1" ht="12.75">
      <c r="B1105" s="113"/>
      <c r="C1105" s="113"/>
      <c r="D1105" s="113"/>
      <c r="E1105" s="113"/>
      <c r="F1105" s="113"/>
      <c r="G1105" s="113"/>
      <c r="H1105" s="113"/>
      <c r="I1105" s="113"/>
    </row>
    <row r="1106" spans="2:9" s="112" customFormat="1" ht="12.75">
      <c r="B1106" s="113"/>
      <c r="C1106" s="113"/>
      <c r="D1106" s="113"/>
      <c r="E1106" s="113"/>
      <c r="F1106" s="113"/>
      <c r="G1106" s="113"/>
      <c r="H1106" s="113"/>
      <c r="I1106" s="113"/>
    </row>
    <row r="1107" spans="2:9" s="112" customFormat="1" ht="12.75">
      <c r="B1107" s="113"/>
      <c r="C1107" s="113"/>
      <c r="D1107" s="113"/>
      <c r="E1107" s="113"/>
      <c r="F1107" s="113"/>
      <c r="G1107" s="113"/>
      <c r="H1107" s="113"/>
      <c r="I1107" s="113"/>
    </row>
    <row r="1108" spans="2:9" s="112" customFormat="1" ht="12.75">
      <c r="B1108" s="113"/>
      <c r="C1108" s="113"/>
      <c r="D1108" s="113"/>
      <c r="E1108" s="113"/>
      <c r="F1108" s="113"/>
      <c r="G1108" s="113"/>
      <c r="H1108" s="113"/>
      <c r="I1108" s="113"/>
    </row>
    <row r="1109" spans="2:9" s="112" customFormat="1" ht="12.75">
      <c r="B1109" s="113"/>
      <c r="C1109" s="113"/>
      <c r="D1109" s="113"/>
      <c r="E1109" s="113"/>
      <c r="F1109" s="113"/>
      <c r="G1109" s="113"/>
      <c r="H1109" s="113"/>
      <c r="I1109" s="113"/>
    </row>
    <row r="1110" spans="2:9" s="112" customFormat="1" ht="12.75">
      <c r="B1110" s="113"/>
      <c r="C1110" s="113"/>
      <c r="D1110" s="113"/>
      <c r="E1110" s="113"/>
      <c r="F1110" s="113"/>
      <c r="G1110" s="113"/>
      <c r="H1110" s="113"/>
      <c r="I1110" s="113"/>
    </row>
    <row r="1111" spans="2:9" s="112" customFormat="1" ht="12.75">
      <c r="B1111" s="113"/>
      <c r="C1111" s="113"/>
      <c r="D1111" s="113"/>
      <c r="E1111" s="113"/>
      <c r="F1111" s="113"/>
      <c r="G1111" s="113"/>
      <c r="H1111" s="113"/>
      <c r="I1111" s="113"/>
    </row>
    <row r="1112" spans="2:9" s="112" customFormat="1" ht="12.75">
      <c r="B1112" s="113"/>
      <c r="C1112" s="113"/>
      <c r="D1112" s="113"/>
      <c r="E1112" s="113"/>
      <c r="F1112" s="113"/>
      <c r="G1112" s="113"/>
      <c r="H1112" s="113"/>
      <c r="I1112" s="113"/>
    </row>
    <row r="1113" spans="2:9" s="112" customFormat="1" ht="12.75">
      <c r="B1113" s="113"/>
      <c r="C1113" s="113"/>
      <c r="D1113" s="113"/>
      <c r="E1113" s="113"/>
      <c r="F1113" s="113"/>
      <c r="G1113" s="113"/>
      <c r="H1113" s="113"/>
      <c r="I1113" s="113"/>
    </row>
    <row r="1114" spans="2:9" s="112" customFormat="1" ht="12.75">
      <c r="B1114" s="113"/>
      <c r="C1114" s="113"/>
      <c r="D1114" s="113"/>
      <c r="E1114" s="113"/>
      <c r="F1114" s="113"/>
      <c r="G1114" s="113"/>
      <c r="H1114" s="113"/>
      <c r="I1114" s="113"/>
    </row>
    <row r="1115" spans="2:9" s="112" customFormat="1" ht="12.75">
      <c r="B1115" s="113"/>
      <c r="C1115" s="113"/>
      <c r="D1115" s="113"/>
      <c r="E1115" s="113"/>
      <c r="F1115" s="113"/>
      <c r="G1115" s="113"/>
      <c r="H1115" s="113"/>
      <c r="I1115" s="113"/>
    </row>
    <row r="1116" spans="2:9" s="112" customFormat="1" ht="12.75">
      <c r="B1116" s="113"/>
      <c r="C1116" s="113"/>
      <c r="D1116" s="113"/>
      <c r="E1116" s="113"/>
      <c r="F1116" s="113"/>
      <c r="G1116" s="113"/>
      <c r="H1116" s="113"/>
      <c r="I1116" s="113"/>
    </row>
    <row r="1117" spans="2:9" s="112" customFormat="1" ht="12.75">
      <c r="B1117" s="113"/>
      <c r="C1117" s="113"/>
      <c r="D1117" s="113"/>
      <c r="E1117" s="113"/>
      <c r="F1117" s="113"/>
      <c r="G1117" s="113"/>
      <c r="H1117" s="113"/>
      <c r="I1117" s="113"/>
    </row>
    <row r="1118" spans="2:9" s="112" customFormat="1" ht="12.75">
      <c r="B1118" s="113"/>
      <c r="C1118" s="113"/>
      <c r="D1118" s="113"/>
      <c r="E1118" s="113"/>
      <c r="F1118" s="113"/>
      <c r="G1118" s="113"/>
      <c r="H1118" s="113"/>
      <c r="I1118" s="113"/>
    </row>
    <row r="1119" spans="2:9" s="112" customFormat="1" ht="12.75">
      <c r="B1119" s="113"/>
      <c r="C1119" s="113"/>
      <c r="D1119" s="113"/>
      <c r="E1119" s="113"/>
      <c r="F1119" s="113"/>
      <c r="G1119" s="113"/>
      <c r="H1119" s="113"/>
      <c r="I1119" s="113"/>
    </row>
    <row r="1120" spans="2:9" s="112" customFormat="1" ht="12.75">
      <c r="B1120" s="113"/>
      <c r="C1120" s="113"/>
      <c r="D1120" s="113"/>
      <c r="E1120" s="113"/>
      <c r="F1120" s="113"/>
      <c r="G1120" s="113"/>
      <c r="H1120" s="113"/>
      <c r="I1120" s="113"/>
    </row>
    <row r="1121" spans="2:9" s="112" customFormat="1" ht="12.75">
      <c r="B1121" s="113"/>
      <c r="C1121" s="113"/>
      <c r="D1121" s="113"/>
      <c r="E1121" s="113"/>
      <c r="F1121" s="113"/>
      <c r="G1121" s="113"/>
      <c r="H1121" s="113"/>
      <c r="I1121" s="113"/>
    </row>
    <row r="1122" spans="2:9" s="112" customFormat="1" ht="12.75">
      <c r="B1122" s="113"/>
      <c r="C1122" s="113"/>
      <c r="D1122" s="113"/>
      <c r="E1122" s="113"/>
      <c r="F1122" s="113"/>
      <c r="G1122" s="113"/>
      <c r="H1122" s="113"/>
      <c r="I1122" s="113"/>
    </row>
    <row r="1123" spans="2:9" s="112" customFormat="1" ht="12.75">
      <c r="B1123" s="113"/>
      <c r="C1123" s="113"/>
      <c r="D1123" s="113"/>
      <c r="E1123" s="113"/>
      <c r="F1123" s="113"/>
      <c r="G1123" s="113"/>
      <c r="H1123" s="113"/>
      <c r="I1123" s="113"/>
    </row>
    <row r="1124" spans="2:9" s="112" customFormat="1" ht="12.75">
      <c r="B1124" s="113"/>
      <c r="C1124" s="113"/>
      <c r="D1124" s="113"/>
      <c r="E1124" s="113"/>
      <c r="F1124" s="113"/>
      <c r="G1124" s="113"/>
      <c r="H1124" s="113"/>
      <c r="I1124" s="113"/>
    </row>
    <row r="1125" spans="2:9" s="112" customFormat="1" ht="12.75">
      <c r="B1125" s="113"/>
      <c r="C1125" s="113"/>
      <c r="D1125" s="113"/>
      <c r="E1125" s="113"/>
      <c r="F1125" s="113"/>
      <c r="G1125" s="113"/>
      <c r="H1125" s="113"/>
      <c r="I1125" s="113"/>
    </row>
    <row r="1126" spans="2:9" s="112" customFormat="1" ht="12.75">
      <c r="B1126" s="113"/>
      <c r="C1126" s="113"/>
      <c r="D1126" s="113"/>
      <c r="E1126" s="113"/>
      <c r="F1126" s="113"/>
      <c r="G1126" s="113"/>
      <c r="H1126" s="113"/>
      <c r="I1126" s="113"/>
    </row>
    <row r="1127" spans="2:9" s="112" customFormat="1" ht="12.75">
      <c r="B1127" s="113"/>
      <c r="C1127" s="113"/>
      <c r="D1127" s="113"/>
      <c r="E1127" s="113"/>
      <c r="F1127" s="113"/>
      <c r="G1127" s="113"/>
      <c r="H1127" s="113"/>
      <c r="I1127" s="113"/>
    </row>
    <row r="1128" spans="2:9" s="112" customFormat="1" ht="12.75">
      <c r="B1128" s="113"/>
      <c r="C1128" s="113"/>
      <c r="D1128" s="113"/>
      <c r="E1128" s="113"/>
      <c r="F1128" s="113"/>
      <c r="G1128" s="113"/>
      <c r="H1128" s="113"/>
      <c r="I1128" s="113"/>
    </row>
    <row r="1129" spans="2:9" s="112" customFormat="1" ht="12.75">
      <c r="B1129" s="113"/>
      <c r="C1129" s="113"/>
      <c r="D1129" s="113"/>
      <c r="E1129" s="113"/>
      <c r="F1129" s="113"/>
      <c r="G1129" s="113"/>
      <c r="H1129" s="113"/>
      <c r="I1129" s="113"/>
    </row>
    <row r="1130" spans="2:9" s="112" customFormat="1" ht="12.75">
      <c r="B1130" s="113"/>
      <c r="C1130" s="113"/>
      <c r="D1130" s="113"/>
      <c r="E1130" s="113"/>
      <c r="F1130" s="113"/>
      <c r="G1130" s="113"/>
      <c r="H1130" s="113"/>
      <c r="I1130" s="113"/>
    </row>
    <row r="1131" spans="2:9" s="112" customFormat="1" ht="12.75">
      <c r="B1131" s="113"/>
      <c r="C1131" s="113"/>
      <c r="D1131" s="113"/>
      <c r="E1131" s="113"/>
      <c r="F1131" s="113"/>
      <c r="G1131" s="113"/>
      <c r="H1131" s="113"/>
      <c r="I1131" s="113"/>
    </row>
    <row r="1132" spans="2:9" s="112" customFormat="1" ht="12.75">
      <c r="B1132" s="113"/>
      <c r="C1132" s="113"/>
      <c r="D1132" s="113"/>
      <c r="E1132" s="113"/>
      <c r="F1132" s="113"/>
      <c r="G1132" s="113"/>
      <c r="H1132" s="113"/>
      <c r="I1132" s="113"/>
    </row>
    <row r="1133" spans="2:9" s="112" customFormat="1" ht="12.75">
      <c r="B1133" s="113"/>
      <c r="C1133" s="113"/>
      <c r="D1133" s="113"/>
      <c r="E1133" s="113"/>
      <c r="F1133" s="113"/>
      <c r="G1133" s="113"/>
      <c r="H1133" s="113"/>
      <c r="I1133" s="113"/>
    </row>
    <row r="1134" spans="2:9" s="112" customFormat="1" ht="12.75">
      <c r="B1134" s="113"/>
      <c r="C1134" s="113"/>
      <c r="D1134" s="113"/>
      <c r="E1134" s="113"/>
      <c r="F1134" s="113"/>
      <c r="G1134" s="113"/>
      <c r="H1134" s="113"/>
      <c r="I1134" s="113"/>
    </row>
    <row r="1135" spans="2:9" s="112" customFormat="1" ht="12.75">
      <c r="B1135" s="113"/>
      <c r="C1135" s="113"/>
      <c r="D1135" s="113"/>
      <c r="E1135" s="113"/>
      <c r="F1135" s="113"/>
      <c r="G1135" s="113"/>
      <c r="H1135" s="113"/>
      <c r="I1135" s="113"/>
    </row>
    <row r="1136" spans="2:9" s="112" customFormat="1" ht="12.75">
      <c r="B1136" s="113"/>
      <c r="C1136" s="113"/>
      <c r="D1136" s="113"/>
      <c r="E1136" s="113"/>
      <c r="F1136" s="113"/>
      <c r="G1136" s="113"/>
      <c r="H1136" s="113"/>
      <c r="I1136" s="113"/>
    </row>
    <row r="1137" spans="2:9" s="112" customFormat="1" ht="12.75">
      <c r="B1137" s="113"/>
      <c r="C1137" s="113"/>
      <c r="D1137" s="113"/>
      <c r="E1137" s="113"/>
      <c r="F1137" s="113"/>
      <c r="G1137" s="113"/>
      <c r="H1137" s="113"/>
      <c r="I1137" s="113"/>
    </row>
    <row r="1138" spans="2:9" s="112" customFormat="1" ht="12.75">
      <c r="B1138" s="113"/>
      <c r="C1138" s="113"/>
      <c r="D1138" s="113"/>
      <c r="E1138" s="113"/>
      <c r="F1138" s="113"/>
      <c r="G1138" s="113"/>
      <c r="H1138" s="113"/>
      <c r="I1138" s="113"/>
    </row>
    <row r="1139" spans="2:9" s="112" customFormat="1" ht="12.75">
      <c r="B1139" s="113"/>
      <c r="C1139" s="113"/>
      <c r="D1139" s="113"/>
      <c r="E1139" s="113"/>
      <c r="F1139" s="113"/>
      <c r="G1139" s="113"/>
      <c r="H1139" s="113"/>
      <c r="I1139" s="113"/>
    </row>
    <row r="1140" spans="2:9" s="112" customFormat="1" ht="12.75">
      <c r="B1140" s="113"/>
      <c r="C1140" s="113"/>
      <c r="D1140" s="113"/>
      <c r="E1140" s="113"/>
      <c r="F1140" s="113"/>
      <c r="G1140" s="113"/>
      <c r="H1140" s="113"/>
      <c r="I1140" s="113"/>
    </row>
    <row r="1141" spans="2:9" s="112" customFormat="1" ht="12.75">
      <c r="B1141" s="113"/>
      <c r="C1141" s="113"/>
      <c r="D1141" s="113"/>
      <c r="E1141" s="113"/>
      <c r="F1141" s="113"/>
      <c r="G1141" s="113"/>
      <c r="H1141" s="113"/>
      <c r="I1141" s="113"/>
    </row>
    <row r="1142" spans="2:9" s="112" customFormat="1" ht="12.75">
      <c r="B1142" s="113"/>
      <c r="C1142" s="113"/>
      <c r="D1142" s="113"/>
      <c r="E1142" s="113"/>
      <c r="F1142" s="113"/>
      <c r="G1142" s="113"/>
      <c r="H1142" s="113"/>
      <c r="I1142" s="113"/>
    </row>
    <row r="1143" spans="2:9" s="112" customFormat="1" ht="12.75">
      <c r="B1143" s="113"/>
      <c r="C1143" s="113"/>
      <c r="D1143" s="113"/>
      <c r="E1143" s="113"/>
      <c r="F1143" s="113"/>
      <c r="G1143" s="113"/>
      <c r="H1143" s="113"/>
      <c r="I1143" s="113"/>
    </row>
    <row r="1144" spans="2:9" s="112" customFormat="1" ht="12.75">
      <c r="B1144" s="113"/>
      <c r="C1144" s="113"/>
      <c r="D1144" s="113"/>
      <c r="E1144" s="113"/>
      <c r="F1144" s="113"/>
      <c r="G1144" s="113"/>
      <c r="H1144" s="113"/>
      <c r="I1144" s="113"/>
    </row>
    <row r="1145" spans="2:9" s="112" customFormat="1" ht="12.75">
      <c r="B1145" s="113"/>
      <c r="C1145" s="113"/>
      <c r="D1145" s="113"/>
      <c r="E1145" s="113"/>
      <c r="F1145" s="113"/>
      <c r="G1145" s="113"/>
      <c r="H1145" s="113"/>
      <c r="I1145" s="113"/>
    </row>
    <row r="1146" spans="2:9" s="112" customFormat="1" ht="12.75">
      <c r="B1146" s="113"/>
      <c r="C1146" s="113"/>
      <c r="D1146" s="113"/>
      <c r="E1146" s="113"/>
      <c r="F1146" s="113"/>
      <c r="G1146" s="113"/>
      <c r="H1146" s="113"/>
      <c r="I1146" s="113"/>
    </row>
    <row r="1147" spans="2:9" s="112" customFormat="1" ht="12.75">
      <c r="B1147" s="113"/>
      <c r="C1147" s="113"/>
      <c r="D1147" s="113"/>
      <c r="E1147" s="113"/>
      <c r="F1147" s="113"/>
      <c r="G1147" s="113"/>
      <c r="H1147" s="113"/>
      <c r="I1147" s="113"/>
    </row>
    <row r="1148" spans="2:9" s="112" customFormat="1" ht="12.75">
      <c r="B1148" s="113"/>
      <c r="C1148" s="113"/>
      <c r="D1148" s="113"/>
      <c r="E1148" s="113"/>
      <c r="F1148" s="113"/>
      <c r="G1148" s="113"/>
      <c r="H1148" s="113"/>
      <c r="I1148" s="113"/>
    </row>
    <row r="1149" spans="2:9" s="112" customFormat="1" ht="12.75">
      <c r="B1149" s="113"/>
      <c r="C1149" s="113"/>
      <c r="D1149" s="113"/>
      <c r="E1149" s="113"/>
      <c r="F1149" s="113"/>
      <c r="G1149" s="113"/>
      <c r="H1149" s="113"/>
      <c r="I1149" s="113"/>
    </row>
    <row r="1150" spans="2:9" s="112" customFormat="1" ht="12.75">
      <c r="B1150" s="113"/>
      <c r="C1150" s="113"/>
      <c r="D1150" s="113"/>
      <c r="E1150" s="113"/>
      <c r="F1150" s="113"/>
      <c r="G1150" s="113"/>
      <c r="H1150" s="113"/>
      <c r="I1150" s="113"/>
    </row>
    <row r="1151" spans="2:9" s="112" customFormat="1" ht="12.75">
      <c r="B1151" s="113"/>
      <c r="C1151" s="113"/>
      <c r="D1151" s="113"/>
      <c r="E1151" s="113"/>
      <c r="F1151" s="113"/>
      <c r="G1151" s="113"/>
      <c r="H1151" s="113"/>
      <c r="I1151" s="113"/>
    </row>
    <row r="1152" spans="2:9" s="112" customFormat="1" ht="12.75">
      <c r="B1152" s="113"/>
      <c r="C1152" s="113"/>
      <c r="D1152" s="113"/>
      <c r="E1152" s="113"/>
      <c r="F1152" s="113"/>
      <c r="G1152" s="113"/>
      <c r="H1152" s="113"/>
      <c r="I1152" s="113"/>
    </row>
    <row r="1153" spans="2:9" s="112" customFormat="1" ht="12.75">
      <c r="B1153" s="113"/>
      <c r="C1153" s="113"/>
      <c r="D1153" s="113"/>
      <c r="E1153" s="113"/>
      <c r="F1153" s="113"/>
      <c r="G1153" s="113"/>
      <c r="H1153" s="113"/>
      <c r="I1153" s="113"/>
    </row>
    <row r="1154" spans="2:9" s="112" customFormat="1" ht="12.75">
      <c r="B1154" s="113"/>
      <c r="C1154" s="113"/>
      <c r="D1154" s="113"/>
      <c r="E1154" s="113"/>
      <c r="F1154" s="113"/>
      <c r="G1154" s="113"/>
      <c r="H1154" s="113"/>
      <c r="I1154" s="113"/>
    </row>
    <row r="1155" spans="2:9" s="112" customFormat="1" ht="12.75">
      <c r="B1155" s="113"/>
      <c r="C1155" s="113"/>
      <c r="D1155" s="113"/>
      <c r="E1155" s="113"/>
      <c r="F1155" s="113"/>
      <c r="G1155" s="113"/>
      <c r="H1155" s="113"/>
      <c r="I1155" s="113"/>
    </row>
    <row r="1156" spans="2:9" s="112" customFormat="1" ht="12.75">
      <c r="B1156" s="113"/>
      <c r="C1156" s="113"/>
      <c r="D1156" s="113"/>
      <c r="E1156" s="113"/>
      <c r="F1156" s="113"/>
      <c r="G1156" s="113"/>
      <c r="H1156" s="113"/>
      <c r="I1156" s="113"/>
    </row>
    <row r="1157" spans="2:9" s="112" customFormat="1" ht="12.75">
      <c r="B1157" s="113"/>
      <c r="C1157" s="113"/>
      <c r="D1157" s="113"/>
      <c r="E1157" s="113"/>
      <c r="F1157" s="113"/>
      <c r="G1157" s="113"/>
      <c r="H1157" s="113"/>
      <c r="I1157" s="113"/>
    </row>
    <row r="1158" spans="2:9" s="112" customFormat="1" ht="12.75">
      <c r="B1158" s="113"/>
      <c r="C1158" s="113"/>
      <c r="D1158" s="113"/>
      <c r="E1158" s="113"/>
      <c r="F1158" s="113"/>
      <c r="G1158" s="113"/>
      <c r="H1158" s="113"/>
      <c r="I1158" s="113"/>
    </row>
    <row r="1159" spans="2:9" s="112" customFormat="1" ht="12.75">
      <c r="B1159" s="113"/>
      <c r="C1159" s="113"/>
      <c r="D1159" s="113"/>
      <c r="E1159" s="113"/>
      <c r="F1159" s="113"/>
      <c r="G1159" s="113"/>
      <c r="H1159" s="113"/>
      <c r="I1159" s="113"/>
    </row>
    <row r="1160" spans="2:9" s="112" customFormat="1" ht="12.75">
      <c r="B1160" s="113"/>
      <c r="C1160" s="113"/>
      <c r="D1160" s="113"/>
      <c r="E1160" s="113"/>
      <c r="F1160" s="113"/>
      <c r="G1160" s="113"/>
      <c r="H1160" s="113"/>
      <c r="I1160" s="113"/>
    </row>
    <row r="1161" spans="2:9" s="112" customFormat="1" ht="12.75">
      <c r="B1161" s="113"/>
      <c r="C1161" s="113"/>
      <c r="D1161" s="113"/>
      <c r="E1161" s="113"/>
      <c r="F1161" s="113"/>
      <c r="G1161" s="113"/>
      <c r="H1161" s="113"/>
      <c r="I1161" s="113"/>
    </row>
    <row r="1162" spans="2:9" s="112" customFormat="1" ht="12.75">
      <c r="B1162" s="113"/>
      <c r="C1162" s="113"/>
      <c r="D1162" s="113"/>
      <c r="E1162" s="113"/>
      <c r="F1162" s="113"/>
      <c r="G1162" s="113"/>
      <c r="H1162" s="113"/>
      <c r="I1162" s="113"/>
    </row>
    <row r="1163" spans="2:9" s="112" customFormat="1" ht="12.75">
      <c r="B1163" s="113"/>
      <c r="C1163" s="113"/>
      <c r="D1163" s="113"/>
      <c r="E1163" s="113"/>
      <c r="F1163" s="113"/>
      <c r="G1163" s="113"/>
      <c r="H1163" s="113"/>
      <c r="I1163" s="113"/>
    </row>
    <row r="1164" spans="2:9" s="112" customFormat="1" ht="12.75">
      <c r="B1164" s="113"/>
      <c r="C1164" s="113"/>
      <c r="D1164" s="113"/>
      <c r="E1164" s="113"/>
      <c r="F1164" s="113"/>
      <c r="G1164" s="113"/>
      <c r="H1164" s="113"/>
      <c r="I1164" s="113"/>
    </row>
    <row r="1165" spans="2:9" s="112" customFormat="1" ht="12.75">
      <c r="B1165" s="113"/>
      <c r="C1165" s="113"/>
      <c r="D1165" s="113"/>
      <c r="E1165" s="113"/>
      <c r="F1165" s="113"/>
      <c r="G1165" s="113"/>
      <c r="H1165" s="113"/>
      <c r="I1165" s="113"/>
    </row>
    <row r="1166" spans="2:9" s="112" customFormat="1" ht="12.75">
      <c r="B1166" s="113"/>
      <c r="C1166" s="113"/>
      <c r="D1166" s="113"/>
      <c r="E1166" s="113"/>
      <c r="F1166" s="113"/>
      <c r="G1166" s="113"/>
      <c r="H1166" s="113"/>
      <c r="I1166" s="113"/>
    </row>
    <row r="1167" spans="2:9" s="112" customFormat="1" ht="12.75">
      <c r="B1167" s="113"/>
      <c r="C1167" s="113"/>
      <c r="D1167" s="113"/>
      <c r="E1167" s="113"/>
      <c r="F1167" s="113"/>
      <c r="G1167" s="113"/>
      <c r="H1167" s="113"/>
      <c r="I1167" s="113"/>
    </row>
    <row r="1168" spans="2:9" s="112" customFormat="1" ht="12.75">
      <c r="B1168" s="113"/>
      <c r="C1168" s="113"/>
      <c r="D1168" s="113"/>
      <c r="E1168" s="113"/>
      <c r="F1168" s="113"/>
      <c r="G1168" s="113"/>
      <c r="H1168" s="113"/>
      <c r="I1168" s="113"/>
    </row>
    <row r="1169" spans="2:9" s="112" customFormat="1" ht="12.75">
      <c r="B1169" s="113"/>
      <c r="C1169" s="113"/>
      <c r="D1169" s="113"/>
      <c r="E1169" s="113"/>
      <c r="F1169" s="113"/>
      <c r="G1169" s="113"/>
      <c r="H1169" s="113"/>
      <c r="I1169" s="113"/>
    </row>
    <row r="1170" spans="2:9" s="112" customFormat="1" ht="12.75">
      <c r="B1170" s="113"/>
      <c r="C1170" s="113"/>
      <c r="D1170" s="113"/>
      <c r="E1170" s="113"/>
      <c r="F1170" s="113"/>
      <c r="G1170" s="113"/>
      <c r="H1170" s="113"/>
      <c r="I1170" s="113"/>
    </row>
    <row r="1171" spans="2:9" s="112" customFormat="1" ht="12.75">
      <c r="B1171" s="113"/>
      <c r="C1171" s="113"/>
      <c r="D1171" s="113"/>
      <c r="E1171" s="113"/>
      <c r="F1171" s="113"/>
      <c r="G1171" s="113"/>
      <c r="H1171" s="113"/>
      <c r="I1171" s="113"/>
    </row>
    <row r="1172" spans="2:9" s="112" customFormat="1" ht="12.75">
      <c r="B1172" s="113"/>
      <c r="C1172" s="113"/>
      <c r="D1172" s="113"/>
      <c r="E1172" s="113"/>
      <c r="F1172" s="113"/>
      <c r="G1172" s="113"/>
      <c r="H1172" s="113"/>
      <c r="I1172" s="113"/>
    </row>
    <row r="1173" spans="2:9" s="112" customFormat="1" ht="12.75">
      <c r="B1173" s="113"/>
      <c r="C1173" s="113"/>
      <c r="D1173" s="113"/>
      <c r="E1173" s="113"/>
      <c r="F1173" s="113"/>
      <c r="G1173" s="113"/>
      <c r="H1173" s="113"/>
      <c r="I1173" s="113"/>
    </row>
    <row r="1174" spans="2:9" s="112" customFormat="1" ht="12.75">
      <c r="B1174" s="113"/>
      <c r="C1174" s="113"/>
      <c r="D1174" s="113"/>
      <c r="E1174" s="113"/>
      <c r="F1174" s="113"/>
      <c r="G1174" s="113"/>
      <c r="H1174" s="113"/>
      <c r="I1174" s="113"/>
    </row>
    <row r="1175" spans="2:9" s="112" customFormat="1" ht="12.75">
      <c r="B1175" s="113"/>
      <c r="C1175" s="113"/>
      <c r="D1175" s="113"/>
      <c r="E1175" s="113"/>
      <c r="F1175" s="113"/>
      <c r="G1175" s="113"/>
      <c r="H1175" s="113"/>
      <c r="I1175" s="113"/>
    </row>
    <row r="1176" spans="2:9" s="112" customFormat="1" ht="12.75">
      <c r="B1176" s="113"/>
      <c r="C1176" s="113"/>
      <c r="D1176" s="113"/>
      <c r="E1176" s="113"/>
      <c r="F1176" s="113"/>
      <c r="G1176" s="113"/>
      <c r="H1176" s="113"/>
      <c r="I1176" s="113"/>
    </row>
    <row r="1177" spans="2:9" s="112" customFormat="1" ht="12.75">
      <c r="B1177" s="113"/>
      <c r="C1177" s="113"/>
      <c r="D1177" s="113"/>
      <c r="E1177" s="113"/>
      <c r="F1177" s="113"/>
      <c r="G1177" s="113"/>
      <c r="H1177" s="113"/>
      <c r="I1177" s="113"/>
    </row>
    <row r="1178" spans="2:9" s="112" customFormat="1" ht="12.75">
      <c r="B1178" s="113"/>
      <c r="C1178" s="113"/>
      <c r="D1178" s="113"/>
      <c r="E1178" s="113"/>
      <c r="F1178" s="113"/>
      <c r="G1178" s="113"/>
      <c r="H1178" s="113"/>
      <c r="I1178" s="113"/>
    </row>
    <row r="1179" spans="2:9" s="112" customFormat="1" ht="12.75">
      <c r="B1179" s="113"/>
      <c r="C1179" s="113"/>
      <c r="D1179" s="113"/>
      <c r="E1179" s="113"/>
      <c r="F1179" s="113"/>
      <c r="G1179" s="113"/>
      <c r="H1179" s="113"/>
      <c r="I1179" s="113"/>
    </row>
    <row r="1180" spans="2:9" s="112" customFormat="1" ht="12.75">
      <c r="B1180" s="113"/>
      <c r="C1180" s="113"/>
      <c r="D1180" s="113"/>
      <c r="E1180" s="113"/>
      <c r="F1180" s="113"/>
      <c r="G1180" s="113"/>
      <c r="H1180" s="113"/>
      <c r="I1180" s="113"/>
    </row>
    <row r="1181" spans="2:9" s="112" customFormat="1" ht="12.75">
      <c r="B1181" s="113"/>
      <c r="C1181" s="113"/>
      <c r="D1181" s="113"/>
      <c r="E1181" s="113"/>
      <c r="F1181" s="113"/>
      <c r="G1181" s="113"/>
      <c r="H1181" s="113"/>
      <c r="I1181" s="113"/>
    </row>
    <row r="1182" spans="2:9" s="112" customFormat="1" ht="12.75">
      <c r="B1182" s="113"/>
      <c r="C1182" s="113"/>
      <c r="D1182" s="113"/>
      <c r="E1182" s="113"/>
      <c r="F1182" s="113"/>
      <c r="G1182" s="113"/>
      <c r="H1182" s="113"/>
      <c r="I1182" s="113"/>
    </row>
    <row r="1183" spans="2:9" s="112" customFormat="1" ht="12.75">
      <c r="B1183" s="113"/>
      <c r="C1183" s="113"/>
      <c r="D1183" s="113"/>
      <c r="E1183" s="113"/>
      <c r="F1183" s="113"/>
      <c r="G1183" s="113"/>
      <c r="H1183" s="113"/>
      <c r="I1183" s="113"/>
    </row>
    <row r="1184" spans="2:9" s="112" customFormat="1" ht="12.75">
      <c r="B1184" s="113"/>
      <c r="C1184" s="113"/>
      <c r="D1184" s="113"/>
      <c r="E1184" s="113"/>
      <c r="F1184" s="113"/>
      <c r="G1184" s="113"/>
      <c r="H1184" s="113"/>
      <c r="I1184" s="113"/>
    </row>
    <row r="1185" spans="2:9" s="112" customFormat="1" ht="12.75">
      <c r="B1185" s="113"/>
      <c r="C1185" s="113"/>
      <c r="D1185" s="113"/>
      <c r="E1185" s="113"/>
      <c r="F1185" s="113"/>
      <c r="G1185" s="113"/>
      <c r="H1185" s="113"/>
      <c r="I1185" s="113"/>
    </row>
    <row r="1186" spans="2:9" s="112" customFormat="1" ht="12.75">
      <c r="B1186" s="113"/>
      <c r="C1186" s="113"/>
      <c r="D1186" s="113"/>
      <c r="E1186" s="113"/>
      <c r="F1186" s="113"/>
      <c r="G1186" s="113"/>
      <c r="H1186" s="113"/>
      <c r="I1186" s="113"/>
    </row>
    <row r="1187" spans="2:9" s="112" customFormat="1" ht="12.75">
      <c r="B1187" s="113"/>
      <c r="C1187" s="113"/>
      <c r="D1187" s="113"/>
      <c r="E1187" s="113"/>
      <c r="F1187" s="113"/>
      <c r="G1187" s="113"/>
      <c r="H1187" s="113"/>
      <c r="I1187" s="113"/>
    </row>
    <row r="1188" spans="2:9" s="112" customFormat="1" ht="12.75">
      <c r="B1188" s="113"/>
      <c r="C1188" s="113"/>
      <c r="D1188" s="113"/>
      <c r="E1188" s="113"/>
      <c r="F1188" s="113"/>
      <c r="G1188" s="113"/>
      <c r="H1188" s="113"/>
      <c r="I1188" s="113"/>
    </row>
    <row r="1189" spans="2:9" s="112" customFormat="1" ht="12.75">
      <c r="B1189" s="113"/>
      <c r="C1189" s="113"/>
      <c r="D1189" s="113"/>
      <c r="E1189" s="113"/>
      <c r="F1189" s="113"/>
      <c r="G1189" s="113"/>
      <c r="H1189" s="113"/>
      <c r="I1189" s="113"/>
    </row>
    <row r="1190" spans="2:9" s="112" customFormat="1" ht="12.75">
      <c r="B1190" s="113"/>
      <c r="C1190" s="113"/>
      <c r="D1190" s="113"/>
      <c r="E1190" s="113"/>
      <c r="F1190" s="113"/>
      <c r="G1190" s="113"/>
      <c r="H1190" s="113"/>
      <c r="I1190" s="113"/>
    </row>
    <row r="1191" spans="2:9" s="112" customFormat="1" ht="12.75">
      <c r="B1191" s="113"/>
      <c r="C1191" s="113"/>
      <c r="D1191" s="113"/>
      <c r="E1191" s="113"/>
      <c r="F1191" s="113"/>
      <c r="G1191" s="113"/>
      <c r="H1191" s="113"/>
      <c r="I1191" s="113"/>
    </row>
    <row r="1192" spans="2:9" s="112" customFormat="1" ht="12.75">
      <c r="B1192" s="113"/>
      <c r="C1192" s="113"/>
      <c r="D1192" s="113"/>
      <c r="E1192" s="113"/>
      <c r="F1192" s="113"/>
      <c r="G1192" s="113"/>
      <c r="H1192" s="113"/>
      <c r="I1192" s="113"/>
    </row>
    <row r="1193" spans="2:9" s="112" customFormat="1" ht="12.75">
      <c r="B1193" s="113"/>
      <c r="C1193" s="113"/>
      <c r="D1193" s="113"/>
      <c r="E1193" s="113"/>
      <c r="F1193" s="113"/>
      <c r="G1193" s="113"/>
      <c r="H1193" s="113"/>
      <c r="I1193" s="113"/>
    </row>
    <row r="1194" spans="2:9" s="112" customFormat="1" ht="12.75">
      <c r="B1194" s="113"/>
      <c r="C1194" s="113"/>
      <c r="D1194" s="113"/>
      <c r="E1194" s="113"/>
      <c r="F1194" s="113"/>
      <c r="G1194" s="113"/>
      <c r="H1194" s="113"/>
      <c r="I1194" s="113"/>
    </row>
    <row r="1195" spans="2:9" s="112" customFormat="1" ht="12.75">
      <c r="B1195" s="113"/>
      <c r="C1195" s="113"/>
      <c r="D1195" s="113"/>
      <c r="E1195" s="113"/>
      <c r="F1195" s="113"/>
      <c r="G1195" s="113"/>
      <c r="H1195" s="113"/>
      <c r="I1195" s="113"/>
    </row>
    <row r="1196" spans="2:9" s="112" customFormat="1" ht="12.75">
      <c r="B1196" s="113"/>
      <c r="C1196" s="113"/>
      <c r="D1196" s="113"/>
      <c r="E1196" s="113"/>
      <c r="F1196" s="113"/>
      <c r="G1196" s="113"/>
      <c r="H1196" s="113"/>
      <c r="I1196" s="113"/>
    </row>
    <row r="1197" spans="2:9" s="112" customFormat="1" ht="12.75">
      <c r="B1197" s="113"/>
      <c r="C1197" s="113"/>
      <c r="D1197" s="113"/>
      <c r="E1197" s="113"/>
      <c r="F1197" s="113"/>
      <c r="G1197" s="113"/>
      <c r="H1197" s="113"/>
      <c r="I1197" s="113"/>
    </row>
    <row r="1198" spans="2:9" s="112" customFormat="1" ht="12.75">
      <c r="B1198" s="113"/>
      <c r="C1198" s="113"/>
      <c r="D1198" s="113"/>
      <c r="E1198" s="113"/>
      <c r="F1198" s="113"/>
      <c r="G1198" s="113"/>
      <c r="H1198" s="113"/>
      <c r="I1198" s="113"/>
    </row>
    <row r="1199" spans="2:9" s="112" customFormat="1" ht="12.75">
      <c r="B1199" s="113"/>
      <c r="C1199" s="113"/>
      <c r="D1199" s="113"/>
      <c r="E1199" s="113"/>
      <c r="F1199" s="113"/>
      <c r="G1199" s="113"/>
      <c r="H1199" s="113"/>
      <c r="I1199" s="113"/>
    </row>
    <row r="1200" spans="2:9" s="112" customFormat="1" ht="12.75">
      <c r="B1200" s="113"/>
      <c r="C1200" s="113"/>
      <c r="D1200" s="113"/>
      <c r="E1200" s="113"/>
      <c r="F1200" s="113"/>
      <c r="G1200" s="113"/>
      <c r="H1200" s="113"/>
      <c r="I1200" s="113"/>
    </row>
    <row r="1201" spans="2:9" s="112" customFormat="1" ht="12.75">
      <c r="B1201" s="113"/>
      <c r="C1201" s="113"/>
      <c r="D1201" s="113"/>
      <c r="E1201" s="113"/>
      <c r="F1201" s="113"/>
      <c r="G1201" s="113"/>
      <c r="H1201" s="113"/>
      <c r="I1201" s="113"/>
    </row>
    <row r="1202" spans="2:9" s="112" customFormat="1" ht="12.75">
      <c r="B1202" s="113"/>
      <c r="C1202" s="113"/>
      <c r="D1202" s="113"/>
      <c r="E1202" s="113"/>
      <c r="F1202" s="113"/>
      <c r="G1202" s="113"/>
      <c r="H1202" s="113"/>
      <c r="I1202" s="113"/>
    </row>
    <row r="1203" spans="2:9" s="112" customFormat="1" ht="12.75">
      <c r="B1203" s="113"/>
      <c r="C1203" s="113"/>
      <c r="D1203" s="113"/>
      <c r="E1203" s="113"/>
      <c r="F1203" s="113"/>
      <c r="G1203" s="113"/>
      <c r="H1203" s="113"/>
      <c r="I1203" s="113"/>
    </row>
    <row r="1204" spans="2:9" s="112" customFormat="1" ht="12.75">
      <c r="B1204" s="113"/>
      <c r="C1204" s="113"/>
      <c r="D1204" s="113"/>
      <c r="E1204" s="113"/>
      <c r="F1204" s="113"/>
      <c r="G1204" s="113"/>
      <c r="H1204" s="113"/>
      <c r="I1204" s="113"/>
    </row>
    <row r="1205" spans="2:9" s="112" customFormat="1" ht="12.75">
      <c r="B1205" s="113"/>
      <c r="C1205" s="113"/>
      <c r="D1205" s="113"/>
      <c r="E1205" s="113"/>
      <c r="F1205" s="113"/>
      <c r="G1205" s="113"/>
      <c r="H1205" s="113"/>
      <c r="I1205" s="113"/>
    </row>
    <row r="1206" spans="2:9" s="112" customFormat="1" ht="12.75">
      <c r="B1206" s="113"/>
      <c r="C1206" s="113"/>
      <c r="D1206" s="113"/>
      <c r="E1206" s="113"/>
      <c r="F1206" s="113"/>
      <c r="G1206" s="113"/>
      <c r="H1206" s="113"/>
      <c r="I1206" s="113"/>
    </row>
    <row r="1207" spans="2:9" s="112" customFormat="1" ht="12.75">
      <c r="B1207" s="113"/>
      <c r="C1207" s="113"/>
      <c r="D1207" s="113"/>
      <c r="E1207" s="113"/>
      <c r="F1207" s="113"/>
      <c r="G1207" s="113"/>
      <c r="H1207" s="113"/>
      <c r="I1207" s="113"/>
    </row>
    <row r="1208" spans="2:9" s="112" customFormat="1" ht="12.75">
      <c r="B1208" s="113"/>
      <c r="C1208" s="113"/>
      <c r="D1208" s="113"/>
      <c r="E1208" s="113"/>
      <c r="F1208" s="113"/>
      <c r="G1208" s="113"/>
      <c r="H1208" s="113"/>
      <c r="I1208" s="113"/>
    </row>
    <row r="1209" spans="2:9" s="112" customFormat="1" ht="12.75">
      <c r="B1209" s="113"/>
      <c r="C1209" s="113"/>
      <c r="D1209" s="113"/>
      <c r="E1209" s="113"/>
      <c r="F1209" s="113"/>
      <c r="G1209" s="113"/>
      <c r="H1209" s="113"/>
      <c r="I1209" s="113"/>
    </row>
    <row r="1210" spans="2:9" s="112" customFormat="1" ht="12.75">
      <c r="B1210" s="113"/>
      <c r="C1210" s="113"/>
      <c r="D1210" s="113"/>
      <c r="E1210" s="113"/>
      <c r="F1210" s="113"/>
      <c r="G1210" s="113"/>
      <c r="H1210" s="113"/>
      <c r="I1210" s="113"/>
    </row>
    <row r="1211" spans="2:9" s="112" customFormat="1" ht="12.75">
      <c r="B1211" s="113"/>
      <c r="C1211" s="113"/>
      <c r="D1211" s="113"/>
      <c r="E1211" s="113"/>
      <c r="F1211" s="113"/>
      <c r="G1211" s="113"/>
      <c r="H1211" s="113"/>
      <c r="I1211" s="113"/>
    </row>
    <row r="1212" spans="2:9" s="112" customFormat="1" ht="12.75">
      <c r="B1212" s="113"/>
      <c r="C1212" s="113"/>
      <c r="D1212" s="113"/>
      <c r="E1212" s="113"/>
      <c r="F1212" s="113"/>
      <c r="G1212" s="113"/>
      <c r="H1212" s="113"/>
      <c r="I1212" s="113"/>
    </row>
    <row r="1213" spans="2:9" s="112" customFormat="1" ht="12.75">
      <c r="B1213" s="113"/>
      <c r="C1213" s="113"/>
      <c r="D1213" s="113"/>
      <c r="E1213" s="113"/>
      <c r="F1213" s="113"/>
      <c r="G1213" s="113"/>
      <c r="H1213" s="113"/>
      <c r="I1213" s="113"/>
    </row>
    <row r="1214" spans="2:9" s="112" customFormat="1" ht="12.75">
      <c r="B1214" s="113"/>
      <c r="C1214" s="113"/>
      <c r="D1214" s="113"/>
      <c r="E1214" s="113"/>
      <c r="F1214" s="113"/>
      <c r="G1214" s="113"/>
      <c r="H1214" s="113"/>
      <c r="I1214" s="113"/>
    </row>
    <row r="1215" spans="2:9" s="112" customFormat="1" ht="12.75">
      <c r="B1215" s="113"/>
      <c r="C1215" s="113"/>
      <c r="D1215" s="113"/>
      <c r="E1215" s="113"/>
      <c r="F1215" s="113"/>
      <c r="G1215" s="113"/>
      <c r="H1215" s="113"/>
      <c r="I1215" s="113"/>
    </row>
    <row r="1216" spans="2:9" s="112" customFormat="1" ht="12.75">
      <c r="B1216" s="113"/>
      <c r="C1216" s="113"/>
      <c r="D1216" s="113"/>
      <c r="E1216" s="113"/>
      <c r="F1216" s="113"/>
      <c r="G1216" s="113"/>
      <c r="H1216" s="113"/>
      <c r="I1216" s="113"/>
    </row>
    <row r="1217" spans="2:9" s="112" customFormat="1" ht="12.75">
      <c r="B1217" s="113"/>
      <c r="C1217" s="113"/>
      <c r="D1217" s="113"/>
      <c r="E1217" s="113"/>
      <c r="F1217" s="113"/>
      <c r="G1217" s="113"/>
      <c r="H1217" s="113"/>
      <c r="I1217" s="113"/>
    </row>
    <row r="1218" spans="2:9" s="112" customFormat="1" ht="12.75">
      <c r="B1218" s="113"/>
      <c r="C1218" s="113"/>
      <c r="D1218" s="113"/>
      <c r="E1218" s="113"/>
      <c r="F1218" s="113"/>
      <c r="G1218" s="113"/>
      <c r="H1218" s="113"/>
      <c r="I1218" s="113"/>
    </row>
    <row r="1219" spans="2:9" s="112" customFormat="1" ht="12.75">
      <c r="B1219" s="113"/>
      <c r="C1219" s="113"/>
      <c r="D1219" s="113"/>
      <c r="E1219" s="113"/>
      <c r="F1219" s="113"/>
      <c r="G1219" s="113"/>
      <c r="H1219" s="113"/>
      <c r="I1219" s="113"/>
    </row>
    <row r="1220" spans="2:9" s="112" customFormat="1" ht="12.75">
      <c r="B1220" s="113"/>
      <c r="C1220" s="113"/>
      <c r="D1220" s="113"/>
      <c r="E1220" s="113"/>
      <c r="F1220" s="113"/>
      <c r="G1220" s="113"/>
      <c r="H1220" s="113"/>
      <c r="I1220" s="113"/>
    </row>
    <row r="1221" spans="2:9" s="112" customFormat="1" ht="12.75">
      <c r="B1221" s="113"/>
      <c r="C1221" s="113"/>
      <c r="D1221" s="113"/>
      <c r="E1221" s="113"/>
      <c r="F1221" s="113"/>
      <c r="G1221" s="113"/>
      <c r="H1221" s="113"/>
      <c r="I1221" s="113"/>
    </row>
    <row r="1222" spans="2:9" s="112" customFormat="1" ht="12.75">
      <c r="B1222" s="113"/>
      <c r="C1222" s="113"/>
      <c r="D1222" s="113"/>
      <c r="E1222" s="113"/>
      <c r="F1222" s="113"/>
      <c r="G1222" s="113"/>
      <c r="H1222" s="113"/>
      <c r="I1222" s="113"/>
    </row>
    <row r="1223" spans="2:9" s="112" customFormat="1" ht="12.75">
      <c r="B1223" s="113"/>
      <c r="C1223" s="113"/>
      <c r="D1223" s="113"/>
      <c r="E1223" s="113"/>
      <c r="F1223" s="113"/>
      <c r="G1223" s="113"/>
      <c r="H1223" s="113"/>
      <c r="I1223" s="113"/>
    </row>
    <row r="1224" spans="2:9" s="112" customFormat="1" ht="12.75">
      <c r="B1224" s="113"/>
      <c r="C1224" s="113"/>
      <c r="D1224" s="113"/>
      <c r="E1224" s="113"/>
      <c r="F1224" s="113"/>
      <c r="G1224" s="113"/>
      <c r="H1224" s="113"/>
      <c r="I1224" s="113"/>
    </row>
    <row r="1225" spans="2:9" s="112" customFormat="1" ht="12.75">
      <c r="B1225" s="113"/>
      <c r="C1225" s="113"/>
      <c r="D1225" s="113"/>
      <c r="E1225" s="113"/>
      <c r="F1225" s="113"/>
      <c r="G1225" s="113"/>
      <c r="H1225" s="113"/>
      <c r="I1225" s="113"/>
    </row>
    <row r="1226" spans="2:9" s="112" customFormat="1" ht="12.75">
      <c r="B1226" s="113"/>
      <c r="C1226" s="113"/>
      <c r="D1226" s="113"/>
      <c r="E1226" s="113"/>
      <c r="F1226" s="113"/>
      <c r="G1226" s="113"/>
      <c r="H1226" s="113"/>
      <c r="I1226" s="113"/>
    </row>
    <row r="1227" spans="2:9" s="112" customFormat="1" ht="12.75">
      <c r="B1227" s="113"/>
      <c r="C1227" s="113"/>
      <c r="D1227" s="113"/>
      <c r="E1227" s="113"/>
      <c r="F1227" s="113"/>
      <c r="G1227" s="113"/>
      <c r="H1227" s="113"/>
      <c r="I1227" s="113"/>
    </row>
    <row r="1228" spans="2:9" s="112" customFormat="1" ht="12.75">
      <c r="B1228" s="113"/>
      <c r="C1228" s="113"/>
      <c r="D1228" s="113"/>
      <c r="E1228" s="113"/>
      <c r="F1228" s="113"/>
      <c r="G1228" s="113"/>
      <c r="H1228" s="113"/>
      <c r="I1228" s="113"/>
    </row>
    <row r="1229" spans="2:9" s="112" customFormat="1" ht="12.75">
      <c r="B1229" s="113"/>
      <c r="C1229" s="113"/>
      <c r="D1229" s="113"/>
      <c r="E1229" s="113"/>
      <c r="F1229" s="113"/>
      <c r="G1229" s="113"/>
      <c r="H1229" s="113"/>
      <c r="I1229" s="113"/>
    </row>
    <row r="1230" spans="2:9" s="112" customFormat="1" ht="12.75">
      <c r="B1230" s="113"/>
      <c r="C1230" s="113"/>
      <c r="D1230" s="113"/>
      <c r="E1230" s="113"/>
      <c r="F1230" s="113"/>
      <c r="G1230" s="113"/>
      <c r="H1230" s="113"/>
      <c r="I1230" s="113"/>
    </row>
    <row r="1231" spans="2:9" s="112" customFormat="1" ht="12.75">
      <c r="B1231" s="113"/>
      <c r="C1231" s="113"/>
      <c r="D1231" s="113"/>
      <c r="E1231" s="113"/>
      <c r="F1231" s="113"/>
      <c r="G1231" s="113"/>
      <c r="H1231" s="113"/>
      <c r="I1231" s="113"/>
    </row>
    <row r="1232" spans="2:9" s="112" customFormat="1" ht="12.75">
      <c r="B1232" s="113"/>
      <c r="C1232" s="113"/>
      <c r="D1232" s="113"/>
      <c r="E1232" s="113"/>
      <c r="F1232" s="113"/>
      <c r="G1232" s="113"/>
      <c r="H1232" s="113"/>
      <c r="I1232" s="113"/>
    </row>
    <row r="1233" spans="2:9" s="112" customFormat="1" ht="12.75">
      <c r="B1233" s="113"/>
      <c r="C1233" s="113"/>
      <c r="D1233" s="113"/>
      <c r="E1233" s="113"/>
      <c r="F1233" s="113"/>
      <c r="G1233" s="113"/>
      <c r="H1233" s="113"/>
      <c r="I1233" s="113"/>
    </row>
    <row r="1234" spans="2:9" s="112" customFormat="1" ht="12.75">
      <c r="B1234" s="113"/>
      <c r="C1234" s="113"/>
      <c r="D1234" s="113"/>
      <c r="E1234" s="113"/>
      <c r="F1234" s="113"/>
      <c r="G1234" s="113"/>
      <c r="H1234" s="113"/>
      <c r="I1234" s="113"/>
    </row>
    <row r="1235" spans="2:9" s="112" customFormat="1" ht="12.75">
      <c r="B1235" s="113"/>
      <c r="C1235" s="113"/>
      <c r="D1235" s="113"/>
      <c r="E1235" s="113"/>
      <c r="F1235" s="113"/>
      <c r="G1235" s="113"/>
      <c r="H1235" s="113"/>
      <c r="I1235" s="113"/>
    </row>
    <row r="1236" spans="2:9" s="112" customFormat="1" ht="12.75">
      <c r="B1236" s="113"/>
      <c r="C1236" s="113"/>
      <c r="D1236" s="113"/>
      <c r="E1236" s="113"/>
      <c r="F1236" s="113"/>
      <c r="G1236" s="113"/>
      <c r="H1236" s="113"/>
      <c r="I1236" s="113"/>
    </row>
    <row r="1237" spans="2:9" s="112" customFormat="1" ht="12.75">
      <c r="B1237" s="113"/>
      <c r="C1237" s="113"/>
      <c r="D1237" s="113"/>
      <c r="E1237" s="113"/>
      <c r="F1237" s="113"/>
      <c r="G1237" s="113"/>
      <c r="H1237" s="113"/>
      <c r="I1237" s="113"/>
    </row>
    <row r="1238" spans="2:9" s="112" customFormat="1" ht="12.75">
      <c r="B1238" s="113"/>
      <c r="C1238" s="113"/>
      <c r="D1238" s="113"/>
      <c r="E1238" s="113"/>
      <c r="F1238" s="113"/>
      <c r="G1238" s="113"/>
      <c r="H1238" s="113"/>
      <c r="I1238" s="113"/>
    </row>
    <row r="1239" spans="2:9" s="112" customFormat="1" ht="12.75">
      <c r="B1239" s="113"/>
      <c r="C1239" s="113"/>
      <c r="D1239" s="113"/>
      <c r="E1239" s="113"/>
      <c r="F1239" s="113"/>
      <c r="G1239" s="113"/>
      <c r="H1239" s="113"/>
      <c r="I1239" s="113"/>
    </row>
    <row r="1240" spans="2:9" s="112" customFormat="1" ht="12.75">
      <c r="B1240" s="113"/>
      <c r="C1240" s="113"/>
      <c r="D1240" s="113"/>
      <c r="E1240" s="113"/>
      <c r="F1240" s="113"/>
      <c r="G1240" s="113"/>
      <c r="H1240" s="113"/>
      <c r="I1240" s="113"/>
    </row>
    <row r="1241" spans="2:9" s="112" customFormat="1" ht="12.75">
      <c r="B1241" s="113"/>
      <c r="C1241" s="113"/>
      <c r="D1241" s="113"/>
      <c r="E1241" s="113"/>
      <c r="F1241" s="113"/>
      <c r="G1241" s="113"/>
      <c r="H1241" s="113"/>
      <c r="I1241" s="113"/>
    </row>
    <row r="1242" spans="2:9" s="112" customFormat="1" ht="12.75">
      <c r="B1242" s="113"/>
      <c r="C1242" s="113"/>
      <c r="D1242" s="113"/>
      <c r="E1242" s="113"/>
      <c r="F1242" s="113"/>
      <c r="G1242" s="113"/>
      <c r="H1242" s="113"/>
      <c r="I1242" s="113"/>
    </row>
    <row r="1243" spans="2:9" s="112" customFormat="1" ht="12.75">
      <c r="B1243" s="113"/>
      <c r="C1243" s="113"/>
      <c r="D1243" s="113"/>
      <c r="E1243" s="113"/>
      <c r="F1243" s="113"/>
      <c r="G1243" s="113"/>
      <c r="H1243" s="113"/>
      <c r="I1243" s="113"/>
    </row>
    <row r="1244" spans="2:9" s="112" customFormat="1" ht="12.75">
      <c r="B1244" s="113"/>
      <c r="C1244" s="113"/>
      <c r="D1244" s="113"/>
      <c r="E1244" s="113"/>
      <c r="F1244" s="113"/>
      <c r="G1244" s="113"/>
      <c r="H1244" s="113"/>
      <c r="I1244" s="113"/>
    </row>
    <row r="1245" spans="2:9" s="112" customFormat="1" ht="12.75">
      <c r="B1245" s="113"/>
      <c r="C1245" s="113"/>
      <c r="D1245" s="113"/>
      <c r="E1245" s="113"/>
      <c r="F1245" s="113"/>
      <c r="G1245" s="113"/>
      <c r="H1245" s="113"/>
      <c r="I1245" s="113"/>
    </row>
    <row r="1246" spans="2:9" s="112" customFormat="1" ht="12.75">
      <c r="B1246" s="113"/>
      <c r="C1246" s="113"/>
      <c r="D1246" s="113"/>
      <c r="E1246" s="113"/>
      <c r="F1246" s="113"/>
      <c r="G1246" s="113"/>
      <c r="H1246" s="113"/>
      <c r="I1246" s="113"/>
    </row>
    <row r="1247" spans="2:9" s="112" customFormat="1" ht="12.75">
      <c r="B1247" s="113"/>
      <c r="C1247" s="113"/>
      <c r="D1247" s="113"/>
      <c r="E1247" s="113"/>
      <c r="F1247" s="113"/>
      <c r="G1247" s="113"/>
      <c r="H1247" s="113"/>
      <c r="I1247" s="113"/>
    </row>
    <row r="1248" spans="2:9" s="112" customFormat="1" ht="12.75">
      <c r="B1248" s="113"/>
      <c r="C1248" s="113"/>
      <c r="D1248" s="113"/>
      <c r="E1248" s="113"/>
      <c r="F1248" s="113"/>
      <c r="G1248" s="113"/>
      <c r="H1248" s="113"/>
      <c r="I1248" s="113"/>
    </row>
    <row r="1249" spans="2:9" s="112" customFormat="1" ht="12.75">
      <c r="B1249" s="113"/>
      <c r="C1249" s="113"/>
      <c r="D1249" s="113"/>
      <c r="E1249" s="113"/>
      <c r="F1249" s="113"/>
      <c r="G1249" s="113"/>
      <c r="H1249" s="113"/>
      <c r="I1249" s="113"/>
    </row>
    <row r="1250" spans="2:9" s="112" customFormat="1" ht="12.75">
      <c r="B1250" s="113"/>
      <c r="C1250" s="113"/>
      <c r="D1250" s="113"/>
      <c r="E1250" s="113"/>
      <c r="F1250" s="113"/>
      <c r="G1250" s="113"/>
      <c r="H1250" s="113"/>
      <c r="I1250" s="113"/>
    </row>
    <row r="1251" spans="2:9" s="112" customFormat="1" ht="12.75">
      <c r="B1251" s="113"/>
      <c r="C1251" s="113"/>
      <c r="D1251" s="113"/>
      <c r="E1251" s="113"/>
      <c r="F1251" s="113"/>
      <c r="G1251" s="113"/>
      <c r="H1251" s="113"/>
      <c r="I1251" s="113"/>
    </row>
    <row r="1252" spans="2:9" s="112" customFormat="1" ht="12.75">
      <c r="B1252" s="113"/>
      <c r="C1252" s="113"/>
      <c r="D1252" s="113"/>
      <c r="E1252" s="113"/>
      <c r="F1252" s="113"/>
      <c r="G1252" s="113"/>
      <c r="H1252" s="113"/>
      <c r="I1252" s="113"/>
    </row>
    <row r="1253" spans="2:9" s="112" customFormat="1" ht="12.75">
      <c r="B1253" s="113"/>
      <c r="C1253" s="113"/>
      <c r="D1253" s="113"/>
      <c r="E1253" s="113"/>
      <c r="F1253" s="113"/>
      <c r="G1253" s="113"/>
      <c r="H1253" s="113"/>
      <c r="I1253" s="113"/>
    </row>
    <row r="1254" spans="2:9" s="112" customFormat="1" ht="12.75">
      <c r="B1254" s="113"/>
      <c r="C1254" s="113"/>
      <c r="D1254" s="113"/>
      <c r="E1254" s="113"/>
      <c r="F1254" s="113"/>
      <c r="G1254" s="113"/>
      <c r="H1254" s="113"/>
      <c r="I1254" s="113"/>
    </row>
    <row r="1255" spans="2:9" s="112" customFormat="1" ht="12.75">
      <c r="B1255" s="113"/>
      <c r="C1255" s="113"/>
      <c r="D1255" s="113"/>
      <c r="E1255" s="113"/>
      <c r="F1255" s="113"/>
      <c r="G1255" s="113"/>
      <c r="H1255" s="113"/>
      <c r="I1255" s="113"/>
    </row>
    <row r="1256" spans="2:9" s="112" customFormat="1" ht="12.75">
      <c r="B1256" s="113"/>
      <c r="C1256" s="113"/>
      <c r="D1256" s="113"/>
      <c r="E1256" s="113"/>
      <c r="F1256" s="113"/>
      <c r="G1256" s="113"/>
      <c r="H1256" s="113"/>
      <c r="I1256" s="113"/>
    </row>
    <row r="1257" spans="2:9" s="112" customFormat="1" ht="12.75">
      <c r="B1257" s="113"/>
      <c r="C1257" s="113"/>
      <c r="D1257" s="113"/>
      <c r="E1257" s="113"/>
      <c r="F1257" s="113"/>
      <c r="G1257" s="113"/>
      <c r="H1257" s="113"/>
      <c r="I1257" s="113"/>
    </row>
    <row r="1258" spans="2:9" s="112" customFormat="1" ht="12.75">
      <c r="B1258" s="113"/>
      <c r="C1258" s="113"/>
      <c r="D1258" s="113"/>
      <c r="E1258" s="113"/>
      <c r="F1258" s="113"/>
      <c r="G1258" s="113"/>
      <c r="H1258" s="113"/>
      <c r="I1258" s="113"/>
    </row>
    <row r="1259" spans="2:9" s="112" customFormat="1" ht="12.75">
      <c r="B1259" s="113"/>
      <c r="C1259" s="113"/>
      <c r="D1259" s="113"/>
      <c r="E1259" s="113"/>
      <c r="F1259" s="113"/>
      <c r="G1259" s="113"/>
      <c r="H1259" s="113"/>
      <c r="I1259" s="113"/>
    </row>
    <row r="1260" spans="2:9" s="112" customFormat="1" ht="12.75">
      <c r="B1260" s="113"/>
      <c r="C1260" s="113"/>
      <c r="D1260" s="113"/>
      <c r="E1260" s="113"/>
      <c r="F1260" s="113"/>
      <c r="G1260" s="113"/>
      <c r="H1260" s="113"/>
      <c r="I1260" s="113"/>
    </row>
    <row r="1261" spans="2:9" s="112" customFormat="1" ht="12.75">
      <c r="B1261" s="113"/>
      <c r="C1261" s="113"/>
      <c r="D1261" s="113"/>
      <c r="E1261" s="113"/>
      <c r="F1261" s="113"/>
      <c r="G1261" s="113"/>
      <c r="H1261" s="113"/>
      <c r="I1261" s="113"/>
    </row>
    <row r="1262" spans="2:9" s="112" customFormat="1" ht="12.75">
      <c r="B1262" s="113"/>
      <c r="C1262" s="113"/>
      <c r="D1262" s="113"/>
      <c r="E1262" s="113"/>
      <c r="F1262" s="113"/>
      <c r="G1262" s="113"/>
      <c r="H1262" s="113"/>
      <c r="I1262" s="113"/>
    </row>
    <row r="1263" spans="2:9" s="112" customFormat="1" ht="12.75">
      <c r="B1263" s="113"/>
      <c r="C1263" s="113"/>
      <c r="D1263" s="113"/>
      <c r="E1263" s="113"/>
      <c r="F1263" s="113"/>
      <c r="G1263" s="113"/>
      <c r="H1263" s="113"/>
      <c r="I1263" s="113"/>
    </row>
    <row r="1264" spans="2:9" s="112" customFormat="1" ht="12.75">
      <c r="B1264" s="113"/>
      <c r="C1264" s="113"/>
      <c r="D1264" s="113"/>
      <c r="E1264" s="113"/>
      <c r="F1264" s="113"/>
      <c r="G1264" s="113"/>
      <c r="H1264" s="113"/>
      <c r="I1264" s="113"/>
    </row>
    <row r="1265" spans="2:9" s="112" customFormat="1" ht="12.75">
      <c r="B1265" s="113"/>
      <c r="C1265" s="113"/>
      <c r="D1265" s="113"/>
      <c r="E1265" s="113"/>
      <c r="F1265" s="113"/>
      <c r="G1265" s="113"/>
      <c r="H1265" s="113"/>
      <c r="I1265" s="113"/>
    </row>
    <row r="1266" spans="2:9" s="112" customFormat="1" ht="12.75">
      <c r="B1266" s="113"/>
      <c r="C1266" s="113"/>
      <c r="D1266" s="113"/>
      <c r="E1266" s="113"/>
      <c r="F1266" s="113"/>
      <c r="G1266" s="113"/>
      <c r="H1266" s="113"/>
      <c r="I1266" s="113"/>
    </row>
    <row r="1267" spans="2:9" s="112" customFormat="1" ht="12.75">
      <c r="B1267" s="113"/>
      <c r="C1267" s="113"/>
      <c r="D1267" s="113"/>
      <c r="E1267" s="113"/>
      <c r="F1267" s="113"/>
      <c r="G1267" s="113"/>
      <c r="H1267" s="113"/>
      <c r="I1267" s="113"/>
    </row>
    <row r="1268" spans="2:9" s="112" customFormat="1" ht="12.75">
      <c r="B1268" s="113"/>
      <c r="C1268" s="113"/>
      <c r="D1268" s="113"/>
      <c r="E1268" s="113"/>
      <c r="F1268" s="113"/>
      <c r="G1268" s="113"/>
      <c r="H1268" s="113"/>
      <c r="I1268" s="113"/>
    </row>
    <row r="1269" spans="2:9" s="112" customFormat="1" ht="12.75">
      <c r="B1269" s="113"/>
      <c r="C1269" s="113"/>
      <c r="D1269" s="113"/>
      <c r="E1269" s="113"/>
      <c r="F1269" s="113"/>
      <c r="G1269" s="113"/>
      <c r="H1269" s="113"/>
      <c r="I1269" s="113"/>
    </row>
    <row r="1270" spans="2:9" s="112" customFormat="1" ht="12.75">
      <c r="B1270" s="113"/>
      <c r="C1270" s="113"/>
      <c r="D1270" s="113"/>
      <c r="E1270" s="113"/>
      <c r="F1270" s="113"/>
      <c r="G1270" s="113"/>
      <c r="H1270" s="113"/>
      <c r="I1270" s="113"/>
    </row>
    <row r="1271" spans="2:9" s="112" customFormat="1" ht="12.75">
      <c r="B1271" s="113"/>
      <c r="C1271" s="113"/>
      <c r="D1271" s="113"/>
      <c r="E1271" s="113"/>
      <c r="F1271" s="113"/>
      <c r="G1271" s="113"/>
      <c r="H1271" s="113"/>
      <c r="I1271" s="113"/>
    </row>
    <row r="1272" spans="2:9" s="112" customFormat="1" ht="12.75">
      <c r="B1272" s="113"/>
      <c r="C1272" s="113"/>
      <c r="D1272" s="113"/>
      <c r="E1272" s="113"/>
      <c r="F1272" s="113"/>
      <c r="G1272" s="113"/>
      <c r="H1272" s="113"/>
      <c r="I1272" s="113"/>
    </row>
    <row r="1273" spans="2:9" s="112" customFormat="1" ht="12.75">
      <c r="B1273" s="113"/>
      <c r="C1273" s="113"/>
      <c r="D1273" s="113"/>
      <c r="E1273" s="113"/>
      <c r="F1273" s="113"/>
      <c r="G1273" s="113"/>
      <c r="H1273" s="113"/>
      <c r="I1273" s="113"/>
    </row>
    <row r="1274" spans="2:9" s="112" customFormat="1" ht="12.75">
      <c r="B1274" s="113"/>
      <c r="C1274" s="113"/>
      <c r="D1274" s="113"/>
      <c r="E1274" s="113"/>
      <c r="F1274" s="113"/>
      <c r="G1274" s="113"/>
      <c r="H1274" s="113"/>
      <c r="I1274" s="113"/>
    </row>
    <row r="1275" spans="2:9" s="112" customFormat="1" ht="12.75">
      <c r="B1275" s="113"/>
      <c r="C1275" s="113"/>
      <c r="D1275" s="113"/>
      <c r="E1275" s="113"/>
      <c r="F1275" s="113"/>
      <c r="G1275" s="113"/>
      <c r="H1275" s="113"/>
      <c r="I1275" s="113"/>
    </row>
    <row r="1276" spans="2:9" s="112" customFormat="1" ht="12.75">
      <c r="B1276" s="113"/>
      <c r="C1276" s="113"/>
      <c r="D1276" s="113"/>
      <c r="E1276" s="113"/>
      <c r="F1276" s="113"/>
      <c r="G1276" s="113"/>
      <c r="H1276" s="113"/>
      <c r="I1276" s="113"/>
    </row>
    <row r="1277" spans="1:9" ht="12.75">
      <c r="A1277" s="112"/>
      <c r="B1277" s="113"/>
      <c r="C1277" s="113"/>
      <c r="D1277" s="113"/>
      <c r="E1277" s="113"/>
      <c r="F1277" s="113"/>
      <c r="G1277" s="113"/>
      <c r="H1277" s="113"/>
      <c r="I1277" s="113"/>
    </row>
    <row r="1278" spans="1:9" ht="12.75">
      <c r="A1278" s="112"/>
      <c r="B1278" s="113"/>
      <c r="C1278" s="113"/>
      <c r="D1278" s="113"/>
      <c r="E1278" s="113"/>
      <c r="F1278" s="113"/>
      <c r="G1278" s="113"/>
      <c r="H1278" s="113"/>
      <c r="I1278" s="113"/>
    </row>
    <row r="1279" spans="1:9" ht="12.75">
      <c r="A1279" s="112"/>
      <c r="B1279" s="113"/>
      <c r="C1279" s="113"/>
      <c r="D1279" s="113"/>
      <c r="E1279" s="113"/>
      <c r="F1279" s="113"/>
      <c r="G1279" s="113"/>
      <c r="H1279" s="113"/>
      <c r="I1279" s="113"/>
    </row>
    <row r="1280" spans="1:9" ht="12.75">
      <c r="A1280" s="112"/>
      <c r="B1280" s="113"/>
      <c r="C1280" s="113"/>
      <c r="D1280" s="113"/>
      <c r="E1280" s="113"/>
      <c r="F1280" s="113"/>
      <c r="G1280" s="113"/>
      <c r="H1280" s="113"/>
      <c r="I1280" s="113"/>
    </row>
    <row r="1281" spans="1:9" ht="12.75">
      <c r="A1281" s="112"/>
      <c r="B1281" s="113"/>
      <c r="C1281" s="113"/>
      <c r="D1281" s="113"/>
      <c r="E1281" s="113"/>
      <c r="F1281" s="113"/>
      <c r="G1281" s="113"/>
      <c r="H1281" s="113"/>
      <c r="I1281" s="113"/>
    </row>
    <row r="1282" spans="1:9" ht="12.75">
      <c r="A1282" s="112"/>
      <c r="B1282" s="113"/>
      <c r="C1282" s="113"/>
      <c r="D1282" s="113"/>
      <c r="E1282" s="113"/>
      <c r="F1282" s="113"/>
      <c r="G1282" s="113"/>
      <c r="H1282" s="113"/>
      <c r="I1282" s="113"/>
    </row>
    <row r="1283" spans="1:9" ht="12.75">
      <c r="A1283" s="112"/>
      <c r="B1283" s="113"/>
      <c r="C1283" s="113"/>
      <c r="D1283" s="113"/>
      <c r="E1283" s="113"/>
      <c r="F1283" s="113"/>
      <c r="G1283" s="113"/>
      <c r="H1283" s="113"/>
      <c r="I1283" s="113"/>
    </row>
    <row r="1284" spans="1:9" ht="12.75">
      <c r="A1284" s="112"/>
      <c r="B1284" s="113"/>
      <c r="C1284" s="113"/>
      <c r="D1284" s="113"/>
      <c r="E1284" s="113"/>
      <c r="F1284" s="113"/>
      <c r="G1284" s="113"/>
      <c r="H1284" s="113"/>
      <c r="I1284" s="113"/>
    </row>
    <row r="1285" spans="1:9" ht="12.75">
      <c r="A1285" s="112"/>
      <c r="B1285" s="113"/>
      <c r="C1285" s="113"/>
      <c r="D1285" s="113"/>
      <c r="E1285" s="113"/>
      <c r="F1285" s="113"/>
      <c r="G1285" s="113"/>
      <c r="H1285" s="113"/>
      <c r="I1285" s="113"/>
    </row>
    <row r="1286" spans="1:9" ht="12.75">
      <c r="A1286" s="112"/>
      <c r="B1286" s="113"/>
      <c r="C1286" s="113"/>
      <c r="D1286" s="113"/>
      <c r="E1286" s="113"/>
      <c r="F1286" s="113"/>
      <c r="G1286" s="113"/>
      <c r="H1286" s="113"/>
      <c r="I1286" s="113"/>
    </row>
    <row r="1287" spans="1:9" ht="12.75">
      <c r="A1287" s="112"/>
      <c r="B1287" s="113"/>
      <c r="C1287" s="113"/>
      <c r="D1287" s="113"/>
      <c r="E1287" s="113"/>
      <c r="F1287" s="113"/>
      <c r="G1287" s="113"/>
      <c r="H1287" s="113"/>
      <c r="I1287" s="113"/>
    </row>
    <row r="1288" spans="1:9" ht="12.75">
      <c r="A1288" s="112"/>
      <c r="B1288" s="113"/>
      <c r="C1288" s="113"/>
      <c r="D1288" s="113"/>
      <c r="E1288" s="113"/>
      <c r="F1288" s="113"/>
      <c r="G1288" s="113"/>
      <c r="H1288" s="113"/>
      <c r="I1288" s="113"/>
    </row>
    <row r="1289" spans="1:9" ht="12.75">
      <c r="A1289" s="112"/>
      <c r="B1289" s="113"/>
      <c r="C1289" s="113"/>
      <c r="D1289" s="113"/>
      <c r="E1289" s="113"/>
      <c r="F1289" s="113"/>
      <c r="G1289" s="113"/>
      <c r="H1289" s="113"/>
      <c r="I1289" s="113"/>
    </row>
    <row r="1290" spans="1:9" ht="12.75">
      <c r="A1290" s="112"/>
      <c r="B1290" s="113"/>
      <c r="C1290" s="113"/>
      <c r="D1290" s="113"/>
      <c r="E1290" s="113"/>
      <c r="F1290" s="113"/>
      <c r="G1290" s="113"/>
      <c r="H1290" s="113"/>
      <c r="I1290" s="113"/>
    </row>
    <row r="1291" spans="1:9" ht="12.75">
      <c r="A1291" s="112"/>
      <c r="B1291" s="113"/>
      <c r="C1291" s="113"/>
      <c r="D1291" s="113"/>
      <c r="E1291" s="113"/>
      <c r="F1291" s="113"/>
      <c r="G1291" s="113"/>
      <c r="H1291" s="113"/>
      <c r="I1291" s="113"/>
    </row>
    <row r="1292" spans="1:9" ht="12.75">
      <c r="A1292" s="112"/>
      <c r="B1292" s="113"/>
      <c r="C1292" s="113"/>
      <c r="D1292" s="113"/>
      <c r="E1292" s="113"/>
      <c r="F1292" s="113"/>
      <c r="G1292" s="113"/>
      <c r="H1292" s="113"/>
      <c r="I1292" s="113"/>
    </row>
    <row r="1293" spans="1:9" ht="12.75">
      <c r="A1293" s="112"/>
      <c r="B1293" s="113"/>
      <c r="C1293" s="113"/>
      <c r="D1293" s="113"/>
      <c r="E1293" s="113"/>
      <c r="F1293" s="113"/>
      <c r="G1293" s="113"/>
      <c r="H1293" s="113"/>
      <c r="I1293" s="113"/>
    </row>
    <row r="1294" spans="1:9" ht="12.75">
      <c r="A1294" s="112"/>
      <c r="B1294" s="113"/>
      <c r="C1294" s="113"/>
      <c r="D1294" s="113"/>
      <c r="E1294" s="113"/>
      <c r="F1294" s="113"/>
      <c r="G1294" s="113"/>
      <c r="H1294" s="113"/>
      <c r="I1294" s="113"/>
    </row>
    <row r="1295" spans="1:9" ht="12.75">
      <c r="A1295" s="112"/>
      <c r="B1295" s="113"/>
      <c r="C1295" s="113"/>
      <c r="D1295" s="113"/>
      <c r="E1295" s="113"/>
      <c r="F1295" s="113"/>
      <c r="G1295" s="113"/>
      <c r="H1295" s="113"/>
      <c r="I1295" s="113"/>
    </row>
    <row r="1296" spans="1:9" ht="12.75">
      <c r="A1296" s="112"/>
      <c r="B1296" s="113"/>
      <c r="C1296" s="113"/>
      <c r="D1296" s="113"/>
      <c r="E1296" s="113"/>
      <c r="F1296" s="113"/>
      <c r="G1296" s="113"/>
      <c r="H1296" s="113"/>
      <c r="I1296" s="113"/>
    </row>
    <row r="1297" spans="1:9" ht="12.75">
      <c r="A1297" s="112"/>
      <c r="B1297" s="113"/>
      <c r="C1297" s="113"/>
      <c r="D1297" s="113"/>
      <c r="E1297" s="113"/>
      <c r="F1297" s="113"/>
      <c r="G1297" s="113"/>
      <c r="H1297" s="113"/>
      <c r="I1297" s="113"/>
    </row>
    <row r="1298" spans="1:9" ht="12.75">
      <c r="A1298" s="112"/>
      <c r="B1298" s="113"/>
      <c r="C1298" s="113"/>
      <c r="D1298" s="113"/>
      <c r="E1298" s="113"/>
      <c r="F1298" s="113"/>
      <c r="G1298" s="113"/>
      <c r="H1298" s="113"/>
      <c r="I1298" s="113"/>
    </row>
    <row r="1299" spans="1:9" ht="12.75">
      <c r="A1299" s="112"/>
      <c r="B1299" s="113"/>
      <c r="C1299" s="113"/>
      <c r="D1299" s="113"/>
      <c r="E1299" s="113"/>
      <c r="F1299" s="113"/>
      <c r="G1299" s="113"/>
      <c r="H1299" s="113"/>
      <c r="I1299" s="113"/>
    </row>
    <row r="1300" spans="1:9" ht="12.75">
      <c r="A1300" s="112"/>
      <c r="B1300" s="113"/>
      <c r="C1300" s="113"/>
      <c r="D1300" s="113"/>
      <c r="E1300" s="113"/>
      <c r="F1300" s="113"/>
      <c r="G1300" s="113"/>
      <c r="H1300" s="113"/>
      <c r="I1300" s="113"/>
    </row>
  </sheetData>
  <mergeCells count="1">
    <mergeCell ref="J34:L34"/>
  </mergeCells>
  <printOptions/>
  <pageMargins left="0.75" right="0.75" top="1" bottom="1" header="0.5" footer="0.5"/>
  <pageSetup fitToWidth="2" horizontalDpi="600" verticalDpi="600" orientation="landscape" paperSize="5" scale="62" r:id="rId1"/>
  <headerFooter alignWithMargins="0">
    <oddHeader>&amp;CPage &amp;P</oddHeader>
  </headerFooter>
</worksheet>
</file>

<file path=xl/worksheets/sheet4.xml><?xml version="1.0" encoding="utf-8"?>
<worksheet xmlns="http://schemas.openxmlformats.org/spreadsheetml/2006/main" xmlns:r="http://schemas.openxmlformats.org/officeDocument/2006/relationships">
  <dimension ref="A1:M34"/>
  <sheetViews>
    <sheetView workbookViewId="0" topLeftCell="A1">
      <selection activeCell="A1" sqref="A1"/>
    </sheetView>
  </sheetViews>
  <sheetFormatPr defaultColWidth="9.140625" defaultRowHeight="12.75"/>
  <cols>
    <col min="1" max="1" width="3.140625" style="0" customWidth="1"/>
    <col min="2" max="2" width="27.8515625" style="0" customWidth="1"/>
    <col min="3" max="3" width="12.57421875" style="0" customWidth="1"/>
    <col min="4" max="4" width="10.7109375" style="0" customWidth="1"/>
    <col min="5" max="5" width="29.421875" style="0" customWidth="1"/>
    <col min="6" max="6" width="9.8515625" style="0" customWidth="1"/>
    <col min="7" max="7" width="9.57421875" style="0" customWidth="1"/>
    <col min="8" max="8" width="9.8515625" style="0" customWidth="1"/>
    <col min="9" max="9" width="10.421875" style="0" bestFit="1" customWidth="1"/>
    <col min="11" max="11" width="17.7109375" style="0" bestFit="1" customWidth="1"/>
    <col min="12" max="12" width="10.28125" style="0" bestFit="1" customWidth="1"/>
    <col min="13" max="13" width="15.00390625" style="0" bestFit="1" customWidth="1"/>
  </cols>
  <sheetData>
    <row r="1" ht="15.75">
      <c r="A1" s="407" t="s">
        <v>256</v>
      </c>
    </row>
    <row r="3" spans="1:10" ht="12.75">
      <c r="A3" s="151" t="s">
        <v>147</v>
      </c>
      <c r="B3" s="151" t="s">
        <v>148</v>
      </c>
      <c r="C3" s="151" t="s">
        <v>154</v>
      </c>
      <c r="D3" s="151" t="s">
        <v>155</v>
      </c>
      <c r="E3" s="151" t="s">
        <v>149</v>
      </c>
      <c r="F3" s="440" t="s">
        <v>150</v>
      </c>
      <c r="G3" s="440"/>
      <c r="H3" s="440"/>
      <c r="I3" s="153" t="s">
        <v>152</v>
      </c>
      <c r="J3" s="155" t="s">
        <v>154</v>
      </c>
    </row>
    <row r="4" spans="1:10" ht="12.75">
      <c r="A4" s="152"/>
      <c r="B4" s="152"/>
      <c r="C4" s="152" t="s">
        <v>157</v>
      </c>
      <c r="D4" s="152" t="s">
        <v>156</v>
      </c>
      <c r="E4" s="152"/>
      <c r="F4" s="118" t="s">
        <v>114</v>
      </c>
      <c r="G4" s="118" t="s">
        <v>116</v>
      </c>
      <c r="H4" s="118" t="s">
        <v>117</v>
      </c>
      <c r="I4" s="154" t="s">
        <v>151</v>
      </c>
      <c r="J4" s="156" t="s">
        <v>153</v>
      </c>
    </row>
    <row r="5" spans="1:10" ht="25.5">
      <c r="A5" s="158">
        <v>1</v>
      </c>
      <c r="B5" s="159" t="s">
        <v>158</v>
      </c>
      <c r="C5" s="158" t="s">
        <v>159</v>
      </c>
      <c r="D5" s="158"/>
      <c r="E5" s="159" t="s">
        <v>160</v>
      </c>
      <c r="F5" s="408">
        <f>125.5+52</f>
        <v>177.5</v>
      </c>
      <c r="G5" s="408">
        <v>290.65879201169025</v>
      </c>
      <c r="H5" s="408">
        <v>280.1051307030362</v>
      </c>
      <c r="I5" s="408">
        <f aca="true" t="shared" si="0" ref="I5:I12">F5+G5+H5</f>
        <v>748.2639227147265</v>
      </c>
      <c r="J5" s="160" t="s">
        <v>161</v>
      </c>
    </row>
    <row r="6" spans="1:13" ht="38.25">
      <c r="A6" s="158">
        <v>2</v>
      </c>
      <c r="B6" s="159" t="s">
        <v>162</v>
      </c>
      <c r="C6" s="158" t="s">
        <v>159</v>
      </c>
      <c r="D6" s="159" t="s">
        <v>163</v>
      </c>
      <c r="E6" s="158" t="s">
        <v>164</v>
      </c>
      <c r="F6" s="408">
        <v>150.5575193355634</v>
      </c>
      <c r="G6" s="408">
        <v>163.90167177132628</v>
      </c>
      <c r="H6" s="409">
        <v>161.50811548932376</v>
      </c>
      <c r="I6" s="408">
        <f t="shared" si="0"/>
        <v>475.9673065962134</v>
      </c>
      <c r="J6" s="160" t="s">
        <v>165</v>
      </c>
      <c r="K6" s="169"/>
      <c r="M6" s="162"/>
    </row>
    <row r="7" spans="1:10" ht="38.25">
      <c r="A7" s="158">
        <v>3</v>
      </c>
      <c r="B7" s="159" t="s">
        <v>166</v>
      </c>
      <c r="C7" s="158" t="s">
        <v>159</v>
      </c>
      <c r="D7" s="159" t="s">
        <v>167</v>
      </c>
      <c r="E7" s="159" t="s">
        <v>160</v>
      </c>
      <c r="F7" s="408">
        <v>160</v>
      </c>
      <c r="G7" s="408">
        <v>0</v>
      </c>
      <c r="H7" s="408">
        <v>0</v>
      </c>
      <c r="I7" s="408">
        <f t="shared" si="0"/>
        <v>160</v>
      </c>
      <c r="J7" s="160" t="s">
        <v>168</v>
      </c>
    </row>
    <row r="8" spans="1:10" ht="51">
      <c r="A8" s="158">
        <v>4</v>
      </c>
      <c r="B8" s="159" t="s">
        <v>170</v>
      </c>
      <c r="C8" s="158" t="s">
        <v>159</v>
      </c>
      <c r="D8" s="159" t="s">
        <v>171</v>
      </c>
      <c r="E8" s="159" t="s">
        <v>172</v>
      </c>
      <c r="F8" s="408">
        <v>18.24065629</v>
      </c>
      <c r="G8" s="408">
        <v>18.24065629</v>
      </c>
      <c r="H8" s="408">
        <v>18.24065629</v>
      </c>
      <c r="I8" s="408">
        <f t="shared" si="0"/>
        <v>54.72196887</v>
      </c>
      <c r="J8" s="160" t="s">
        <v>169</v>
      </c>
    </row>
    <row r="9" spans="1:10" ht="63.75">
      <c r="A9" s="158">
        <v>5</v>
      </c>
      <c r="B9" s="159" t="s">
        <v>173</v>
      </c>
      <c r="C9" s="158" t="s">
        <v>159</v>
      </c>
      <c r="D9" s="158"/>
      <c r="E9" s="159" t="s">
        <v>174</v>
      </c>
      <c r="F9" s="408">
        <v>28</v>
      </c>
      <c r="G9" s="408">
        <v>38</v>
      </c>
      <c r="H9" s="408">
        <v>38</v>
      </c>
      <c r="I9" s="408">
        <f t="shared" si="0"/>
        <v>104</v>
      </c>
      <c r="J9" s="160" t="s">
        <v>175</v>
      </c>
    </row>
    <row r="10" spans="1:10" ht="114.75">
      <c r="A10" s="158">
        <v>6</v>
      </c>
      <c r="B10" s="159" t="s">
        <v>176</v>
      </c>
      <c r="C10" s="158" t="s">
        <v>159</v>
      </c>
      <c r="D10" s="158"/>
      <c r="E10" s="159" t="s">
        <v>177</v>
      </c>
      <c r="F10" s="408">
        <v>102</v>
      </c>
      <c r="G10" s="408">
        <v>116</v>
      </c>
      <c r="H10" s="408">
        <v>116</v>
      </c>
      <c r="I10" s="408">
        <f t="shared" si="0"/>
        <v>334</v>
      </c>
      <c r="J10" s="160" t="s">
        <v>175</v>
      </c>
    </row>
    <row r="11" spans="1:10" ht="25.5">
      <c r="A11" s="158">
        <v>7</v>
      </c>
      <c r="B11" s="159" t="s">
        <v>179</v>
      </c>
      <c r="C11" s="158" t="s">
        <v>139</v>
      </c>
      <c r="D11" s="158"/>
      <c r="E11" s="158" t="s">
        <v>180</v>
      </c>
      <c r="F11" s="408">
        <f>385000000/1000000</f>
        <v>385</v>
      </c>
      <c r="G11" s="408">
        <v>366</v>
      </c>
      <c r="H11" s="408">
        <v>366</v>
      </c>
      <c r="I11" s="408">
        <f t="shared" si="0"/>
        <v>1117</v>
      </c>
      <c r="J11" s="158"/>
    </row>
    <row r="12" spans="1:12" ht="25.5">
      <c r="A12" s="158">
        <v>8</v>
      </c>
      <c r="B12" s="158" t="s">
        <v>181</v>
      </c>
      <c r="C12" s="159" t="s">
        <v>180</v>
      </c>
      <c r="D12" s="159" t="s">
        <v>182</v>
      </c>
      <c r="E12" s="158" t="s">
        <v>180</v>
      </c>
      <c r="F12" s="410">
        <v>557.3296378755753</v>
      </c>
      <c r="G12" s="410">
        <v>635.9619663779988</v>
      </c>
      <c r="H12" s="409">
        <v>711.1242892431183</v>
      </c>
      <c r="I12" s="410">
        <f t="shared" si="0"/>
        <v>1904.4158934966922</v>
      </c>
      <c r="J12" s="160" t="s">
        <v>178</v>
      </c>
      <c r="K12" s="117"/>
      <c r="L12" s="117"/>
    </row>
    <row r="13" spans="1:12" ht="38.25">
      <c r="A13" s="158">
        <v>9</v>
      </c>
      <c r="B13" s="159" t="s">
        <v>247</v>
      </c>
      <c r="C13" s="159" t="s">
        <v>249</v>
      </c>
      <c r="D13" s="159" t="s">
        <v>250</v>
      </c>
      <c r="E13" s="159" t="s">
        <v>252</v>
      </c>
      <c r="F13" s="410">
        <v>0</v>
      </c>
      <c r="G13" s="410">
        <v>15.8</v>
      </c>
      <c r="H13" s="409">
        <v>15.8</v>
      </c>
      <c r="I13" s="410">
        <f>SUM(F13:H13)</f>
        <v>31.6</v>
      </c>
      <c r="J13" s="160" t="s">
        <v>254</v>
      </c>
      <c r="K13" s="117"/>
      <c r="L13" s="117"/>
    </row>
    <row r="14" spans="1:12" ht="25.5">
      <c r="A14" s="158">
        <v>10</v>
      </c>
      <c r="B14" s="159" t="s">
        <v>248</v>
      </c>
      <c r="C14" s="159" t="s">
        <v>180</v>
      </c>
      <c r="D14" s="159" t="s">
        <v>251</v>
      </c>
      <c r="E14" s="158" t="s">
        <v>253</v>
      </c>
      <c r="F14" s="410">
        <v>0</v>
      </c>
      <c r="G14" s="410">
        <v>135</v>
      </c>
      <c r="H14" s="409">
        <v>135</v>
      </c>
      <c r="I14" s="410">
        <f>SUM(F14:H14)</f>
        <v>270</v>
      </c>
      <c r="J14" s="160" t="s">
        <v>255</v>
      </c>
      <c r="K14" s="117"/>
      <c r="L14" s="117"/>
    </row>
    <row r="15" spans="1:13" ht="12.75">
      <c r="A15" s="158"/>
      <c r="B15" s="297" t="s">
        <v>10</v>
      </c>
      <c r="C15" s="297"/>
      <c r="D15" s="297"/>
      <c r="E15" s="297"/>
      <c r="F15" s="297"/>
      <c r="G15" s="297"/>
      <c r="H15" s="297"/>
      <c r="I15" s="298">
        <f>SUM(I5:I14)</f>
        <v>5199.969091677633</v>
      </c>
      <c r="J15" s="158"/>
      <c r="K15" s="117"/>
      <c r="L15" s="222"/>
      <c r="M15" s="121"/>
    </row>
    <row r="16" spans="1:13" ht="12.75">
      <c r="A16" s="158"/>
      <c r="B16" s="297" t="s">
        <v>184</v>
      </c>
      <c r="C16" s="297"/>
      <c r="D16" s="297"/>
      <c r="E16" s="297"/>
      <c r="F16" s="297"/>
      <c r="G16" s="297"/>
      <c r="H16" s="297"/>
      <c r="I16" s="298">
        <f>I15</f>
        <v>5199.969091677633</v>
      </c>
      <c r="J16" s="158"/>
      <c r="K16" s="117"/>
      <c r="M16" s="121"/>
    </row>
    <row r="17" spans="1:13" ht="12.75">
      <c r="A17" s="158"/>
      <c r="B17" s="158" t="s">
        <v>185</v>
      </c>
      <c r="C17" s="158"/>
      <c r="D17" s="158"/>
      <c r="E17" s="158"/>
      <c r="F17" s="158"/>
      <c r="G17" s="158"/>
      <c r="H17" s="158"/>
      <c r="I17" s="161">
        <f>I16-I15</f>
        <v>0</v>
      </c>
      <c r="J17" s="158"/>
      <c r="K17" s="117"/>
      <c r="M17" s="121"/>
    </row>
    <row r="18" spans="1:11" ht="12.75">
      <c r="A18" s="157"/>
      <c r="B18" s="157"/>
      <c r="C18" s="157"/>
      <c r="D18" s="157"/>
      <c r="E18" s="157"/>
      <c r="F18" s="157"/>
      <c r="G18" s="157"/>
      <c r="H18" s="157"/>
      <c r="I18" s="157"/>
      <c r="J18" s="157"/>
      <c r="K18" s="169"/>
    </row>
    <row r="19" spans="1:10" ht="12.75">
      <c r="A19" s="157"/>
      <c r="B19" s="157"/>
      <c r="C19" s="157"/>
      <c r="D19" s="157"/>
      <c r="E19" s="157"/>
      <c r="F19" s="157"/>
      <c r="G19" s="157"/>
      <c r="H19" s="157"/>
      <c r="I19" s="157"/>
      <c r="J19" s="157"/>
    </row>
    <row r="20" spans="1:13" ht="12.75">
      <c r="A20" s="157"/>
      <c r="B20" s="157"/>
      <c r="C20" s="157"/>
      <c r="D20" s="157"/>
      <c r="E20" s="157"/>
      <c r="F20" s="157"/>
      <c r="G20" s="157"/>
      <c r="H20" s="157"/>
      <c r="I20" s="157"/>
      <c r="J20" s="157"/>
      <c r="L20" s="169"/>
      <c r="M20" s="169"/>
    </row>
    <row r="21" spans="1:13" ht="12.75">
      <c r="A21" s="157"/>
      <c r="B21" s="157"/>
      <c r="C21" s="157"/>
      <c r="D21" s="157"/>
      <c r="E21" s="157"/>
      <c r="F21" s="157"/>
      <c r="G21" s="157"/>
      <c r="H21" s="157"/>
      <c r="I21" s="157"/>
      <c r="J21" s="157"/>
      <c r="L21" s="169"/>
      <c r="M21" s="117"/>
    </row>
    <row r="22" spans="1:10" ht="12.75">
      <c r="A22" s="157"/>
      <c r="B22" s="157"/>
      <c r="C22" s="157"/>
      <c r="D22" s="157"/>
      <c r="E22" s="157"/>
      <c r="F22" s="157"/>
      <c r="G22" s="157"/>
      <c r="H22" s="157"/>
      <c r="I22" s="157"/>
      <c r="J22" s="157"/>
    </row>
    <row r="23" spans="1:10" ht="12.75">
      <c r="A23" s="157"/>
      <c r="B23" s="157"/>
      <c r="C23" s="157"/>
      <c r="D23" s="157"/>
      <c r="E23" s="157"/>
      <c r="F23" s="157"/>
      <c r="G23" s="157"/>
      <c r="H23" s="157"/>
      <c r="I23" s="157"/>
      <c r="J23" s="157"/>
    </row>
    <row r="24" spans="1:12" ht="12.75">
      <c r="A24" s="157"/>
      <c r="B24" s="157"/>
      <c r="C24" s="157"/>
      <c r="D24" s="157"/>
      <c r="E24" s="157"/>
      <c r="F24" s="157"/>
      <c r="G24" s="157"/>
      <c r="H24" s="157"/>
      <c r="I24" s="157"/>
      <c r="J24" s="157"/>
      <c r="L24" s="169"/>
    </row>
    <row r="25" spans="1:12" ht="12.75">
      <c r="A25" s="157"/>
      <c r="B25" s="157"/>
      <c r="C25" s="157"/>
      <c r="D25" s="157"/>
      <c r="E25" s="157"/>
      <c r="F25" s="157"/>
      <c r="G25" s="157"/>
      <c r="H25" s="157"/>
      <c r="I25" s="157"/>
      <c r="J25" s="157"/>
      <c r="L25" s="169"/>
    </row>
    <row r="26" spans="1:10" ht="12.75">
      <c r="A26" s="157"/>
      <c r="B26" s="157"/>
      <c r="C26" s="157"/>
      <c r="D26" s="157"/>
      <c r="E26" s="157"/>
      <c r="F26" s="157"/>
      <c r="G26" s="157"/>
      <c r="H26" s="157"/>
      <c r="I26" s="157"/>
      <c r="J26" s="157"/>
    </row>
    <row r="27" spans="1:10" ht="12.75">
      <c r="A27" s="157"/>
      <c r="B27" s="157"/>
      <c r="C27" s="157"/>
      <c r="D27" s="157"/>
      <c r="E27" s="157"/>
      <c r="F27" s="157"/>
      <c r="G27" s="157"/>
      <c r="H27" s="157"/>
      <c r="I27" s="157"/>
      <c r="J27" s="157"/>
    </row>
    <row r="28" spans="1:10" ht="12.75">
      <c r="A28" s="157"/>
      <c r="B28" s="157"/>
      <c r="C28" s="157"/>
      <c r="D28" s="157"/>
      <c r="E28" s="157"/>
      <c r="F28" s="157"/>
      <c r="G28" s="157"/>
      <c r="H28" s="157"/>
      <c r="I28" s="157"/>
      <c r="J28" s="157"/>
    </row>
    <row r="29" spans="1:10" ht="12.75">
      <c r="A29" s="157"/>
      <c r="B29" s="157"/>
      <c r="C29" s="157"/>
      <c r="D29" s="157"/>
      <c r="E29" s="157"/>
      <c r="F29" s="157"/>
      <c r="G29" s="157"/>
      <c r="H29" s="157"/>
      <c r="I29" s="157"/>
      <c r="J29" s="157"/>
    </row>
    <row r="30" spans="1:10" ht="12.75">
      <c r="A30" s="157"/>
      <c r="B30" s="157"/>
      <c r="C30" s="157"/>
      <c r="D30" s="157"/>
      <c r="E30" s="157"/>
      <c r="F30" s="157"/>
      <c r="G30" s="157"/>
      <c r="H30" s="157"/>
      <c r="I30" s="157"/>
      <c r="J30" s="157"/>
    </row>
    <row r="31" spans="1:10" ht="12.75">
      <c r="A31" s="157"/>
      <c r="B31" s="157"/>
      <c r="C31" s="157"/>
      <c r="D31" s="157"/>
      <c r="E31" s="157"/>
      <c r="F31" s="157"/>
      <c r="G31" s="157"/>
      <c r="H31" s="157"/>
      <c r="I31" s="157"/>
      <c r="J31" s="157"/>
    </row>
    <row r="32" spans="1:10" ht="12.75">
      <c r="A32" s="157"/>
      <c r="B32" s="157"/>
      <c r="C32" s="157"/>
      <c r="D32" s="157"/>
      <c r="E32" s="157"/>
      <c r="F32" s="157"/>
      <c r="G32" s="157"/>
      <c r="H32" s="157"/>
      <c r="I32" s="157"/>
      <c r="J32" s="157"/>
    </row>
    <row r="33" spans="1:10" ht="12.75">
      <c r="A33" s="157"/>
      <c r="B33" s="157"/>
      <c r="C33" s="157"/>
      <c r="D33" s="157"/>
      <c r="E33" s="157"/>
      <c r="F33" s="157"/>
      <c r="G33" s="157"/>
      <c r="H33" s="157"/>
      <c r="I33" s="157"/>
      <c r="J33" s="157"/>
    </row>
    <row r="34" spans="1:10" ht="12.75">
      <c r="A34" s="157"/>
      <c r="B34" s="157"/>
      <c r="C34" s="157"/>
      <c r="D34" s="157"/>
      <c r="E34" s="157"/>
      <c r="F34" s="157"/>
      <c r="G34" s="157"/>
      <c r="H34" s="157"/>
      <c r="I34" s="157"/>
      <c r="J34" s="157"/>
    </row>
  </sheetData>
  <mergeCells count="1">
    <mergeCell ref="F3:H3"/>
  </mergeCells>
  <printOptions/>
  <pageMargins left="0.75" right="0.75" top="0.65" bottom="1" header="0.5" footer="0.5"/>
  <pageSetup horizontalDpi="600" verticalDpi="600" orientation="landscape" scale="91" r:id="rId2"/>
  <rowBreaks count="1" manualBreakCount="1">
    <brk id="17" max="255" man="1"/>
  </rowBreaks>
  <drawing r:id="rId1"/>
</worksheet>
</file>

<file path=xl/worksheets/sheet5.xml><?xml version="1.0" encoding="utf-8"?>
<worksheet xmlns="http://schemas.openxmlformats.org/spreadsheetml/2006/main" xmlns:r="http://schemas.openxmlformats.org/officeDocument/2006/relationships">
  <sheetPr codeName="Sheet16"/>
  <dimension ref="A1:Q56"/>
  <sheetViews>
    <sheetView workbookViewId="0" topLeftCell="A1">
      <pane xSplit="1" ySplit="4" topLeftCell="F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7.7109375" style="0" bestFit="1" customWidth="1"/>
    <col min="2" max="2" width="15.00390625" style="0" bestFit="1" customWidth="1"/>
    <col min="3" max="3" width="16.00390625" style="0" bestFit="1" customWidth="1"/>
    <col min="4" max="4" width="15.00390625" style="0" bestFit="1" customWidth="1"/>
    <col min="5" max="5" width="16.00390625" style="0" bestFit="1" customWidth="1"/>
    <col min="6" max="7" width="21.140625" style="0" bestFit="1" customWidth="1"/>
    <col min="8" max="8" width="20.57421875" style="0" bestFit="1" customWidth="1"/>
    <col min="9" max="9" width="19.8515625" style="0" bestFit="1" customWidth="1"/>
    <col min="10" max="10" width="20.57421875" style="0" bestFit="1" customWidth="1"/>
    <col min="11" max="12" width="20.421875" style="0" bestFit="1" customWidth="1"/>
    <col min="13" max="13" width="20.8515625" style="0" bestFit="1" customWidth="1"/>
    <col min="14" max="14" width="19.421875" style="0" bestFit="1" customWidth="1"/>
    <col min="15" max="15" width="14.8515625" style="0" bestFit="1" customWidth="1"/>
  </cols>
  <sheetData>
    <row r="1" spans="1:11" ht="18">
      <c r="A1" s="313" t="s">
        <v>239</v>
      </c>
      <c r="B1" s="69"/>
      <c r="C1" s="103"/>
      <c r="D1" s="105"/>
      <c r="E1" s="103"/>
      <c r="F1" s="103"/>
      <c r="G1" s="103"/>
      <c r="H1" s="103"/>
      <c r="I1" s="103"/>
      <c r="J1" s="104"/>
      <c r="K1" s="69"/>
    </row>
    <row r="2" spans="1:11" ht="12.75">
      <c r="A2" s="66" t="s">
        <v>242</v>
      </c>
      <c r="B2" s="69"/>
      <c r="C2" s="103"/>
      <c r="D2" s="105"/>
      <c r="E2" s="103"/>
      <c r="F2" s="103"/>
      <c r="G2" s="108"/>
      <c r="H2" s="108"/>
      <c r="I2" s="108"/>
      <c r="J2" s="104"/>
      <c r="K2" s="69"/>
    </row>
    <row r="3" spans="1:11" ht="12.75">
      <c r="A3" s="69"/>
      <c r="B3" s="69"/>
      <c r="C3" s="105"/>
      <c r="D3" s="103"/>
      <c r="E3" s="103"/>
      <c r="F3" s="103"/>
      <c r="G3" s="109"/>
      <c r="H3" s="109"/>
      <c r="I3" s="109"/>
      <c r="J3" s="104"/>
      <c r="K3" s="69"/>
    </row>
    <row r="4" spans="1:15" ht="34.5" customHeight="1">
      <c r="A4" s="69"/>
      <c r="B4" s="234" t="s">
        <v>121</v>
      </c>
      <c r="C4" s="234" t="s">
        <v>12</v>
      </c>
      <c r="D4" s="234" t="s">
        <v>13</v>
      </c>
      <c r="E4" s="234" t="s">
        <v>14</v>
      </c>
      <c r="F4" s="234" t="s">
        <v>15</v>
      </c>
      <c r="G4" s="234" t="s">
        <v>16</v>
      </c>
      <c r="H4" s="234" t="s">
        <v>68</v>
      </c>
      <c r="I4" s="234" t="s">
        <v>69</v>
      </c>
      <c r="J4" s="234" t="s">
        <v>70</v>
      </c>
      <c r="K4" s="234" t="s">
        <v>71</v>
      </c>
      <c r="L4" s="234" t="s">
        <v>72</v>
      </c>
      <c r="M4" s="234" t="s">
        <v>107</v>
      </c>
      <c r="N4" s="234" t="s">
        <v>108</v>
      </c>
      <c r="O4" s="234" t="s">
        <v>109</v>
      </c>
    </row>
    <row r="5" spans="1:15" ht="16.5" customHeight="1" thickBot="1">
      <c r="A5" s="231" t="s">
        <v>209</v>
      </c>
      <c r="B5" s="232">
        <f>SUM(B6,B9)</f>
        <v>2433422782</v>
      </c>
      <c r="C5" s="232">
        <f aca="true" t="shared" si="0" ref="C5:O5">SUM(C6,C9)</f>
        <v>2728542903</v>
      </c>
      <c r="D5" s="232">
        <f t="shared" si="0"/>
        <v>2925280531</v>
      </c>
      <c r="E5" s="232">
        <f t="shared" si="0"/>
        <v>2907873787.5699997</v>
      </c>
      <c r="F5" s="232">
        <f t="shared" si="0"/>
        <v>3866792352.61</v>
      </c>
      <c r="G5" s="232">
        <f t="shared" si="0"/>
        <v>3922729067.12</v>
      </c>
      <c r="H5" s="232">
        <f t="shared" si="0"/>
        <v>4637431665.39</v>
      </c>
      <c r="I5" s="232">
        <f t="shared" si="0"/>
        <v>5271732140</v>
      </c>
      <c r="J5" s="232">
        <f t="shared" si="0"/>
        <v>5319924437</v>
      </c>
      <c r="K5" s="232">
        <f t="shared" si="0"/>
        <v>5625433713</v>
      </c>
      <c r="L5" s="232">
        <f t="shared" si="0"/>
        <v>5893712590</v>
      </c>
      <c r="M5" s="232">
        <f t="shared" si="0"/>
        <v>6241007308</v>
      </c>
      <c r="N5" s="232">
        <f t="shared" si="0"/>
        <v>993024629</v>
      </c>
      <c r="O5" s="232">
        <f t="shared" si="0"/>
        <v>0</v>
      </c>
    </row>
    <row r="6" spans="1:17" s="362" customFormat="1" ht="13.5" customHeight="1" thickTop="1">
      <c r="A6" s="112" t="s">
        <v>211</v>
      </c>
      <c r="B6" s="137">
        <f aca="true" t="shared" si="1" ref="B6:O6">B8+B7</f>
        <v>1852308011</v>
      </c>
      <c r="C6" s="137">
        <f t="shared" si="1"/>
        <v>2161540604</v>
      </c>
      <c r="D6" s="137">
        <f t="shared" si="1"/>
        <v>2376829831</v>
      </c>
      <c r="E6" s="137">
        <f t="shared" si="1"/>
        <v>2446367126.5699997</v>
      </c>
      <c r="F6" s="137">
        <f t="shared" si="1"/>
        <v>3339561554.61</v>
      </c>
      <c r="G6" s="137">
        <f t="shared" si="1"/>
        <v>3482438376.12</v>
      </c>
      <c r="H6" s="137">
        <f t="shared" si="1"/>
        <v>4081120072.3900003</v>
      </c>
      <c r="I6" s="137">
        <f t="shared" si="1"/>
        <v>4683045520</v>
      </c>
      <c r="J6" s="137">
        <f t="shared" si="1"/>
        <v>3988990862</v>
      </c>
      <c r="K6" s="137">
        <f t="shared" si="1"/>
        <v>4280800747</v>
      </c>
      <c r="L6" s="137">
        <f t="shared" si="1"/>
        <v>4566319868</v>
      </c>
      <c r="M6" s="137">
        <f t="shared" si="1"/>
        <v>4747549899</v>
      </c>
      <c r="N6" s="137">
        <f t="shared" si="1"/>
        <v>993024629</v>
      </c>
      <c r="O6" s="137">
        <f t="shared" si="1"/>
        <v>0</v>
      </c>
      <c r="P6" s="361"/>
      <c r="Q6" s="361"/>
    </row>
    <row r="7" spans="1:15" s="363" customFormat="1" ht="12.75">
      <c r="A7" s="300" t="s">
        <v>208</v>
      </c>
      <c r="B7" s="244">
        <f>SUM(B12:B24)</f>
        <v>0</v>
      </c>
      <c r="C7" s="244">
        <f>SUM(C12:C24)</f>
        <v>0</v>
      </c>
      <c r="D7" s="244">
        <f>SUM(D12:D24)</f>
        <v>0</v>
      </c>
      <c r="E7" s="244">
        <f>SUM(E12:E24)</f>
        <v>0</v>
      </c>
      <c r="F7" s="244">
        <f aca="true" t="shared" si="2" ref="F7:O7">SUM(F12:F25)</f>
        <v>730748</v>
      </c>
      <c r="G7" s="244">
        <f t="shared" si="2"/>
        <v>361936</v>
      </c>
      <c r="H7" s="244">
        <f t="shared" si="2"/>
        <v>2618802</v>
      </c>
      <c r="I7" s="244">
        <f t="shared" si="2"/>
        <v>326879160</v>
      </c>
      <c r="J7" s="244">
        <f t="shared" si="2"/>
        <v>3988990862</v>
      </c>
      <c r="K7" s="244">
        <f t="shared" si="2"/>
        <v>4280800747</v>
      </c>
      <c r="L7" s="244">
        <f t="shared" si="2"/>
        <v>4566319868</v>
      </c>
      <c r="M7" s="244">
        <f t="shared" si="2"/>
        <v>4747549899</v>
      </c>
      <c r="N7" s="244">
        <f t="shared" si="2"/>
        <v>993024629</v>
      </c>
      <c r="O7" s="244">
        <f t="shared" si="2"/>
        <v>0</v>
      </c>
    </row>
    <row r="8" spans="1:15" s="363" customFormat="1" ht="12.75">
      <c r="A8" s="300" t="s">
        <v>207</v>
      </c>
      <c r="B8" s="244">
        <f aca="true" t="shared" si="3" ref="B8:I8">SUM(B26:B36)</f>
        <v>1852308011</v>
      </c>
      <c r="C8" s="244">
        <f t="shared" si="3"/>
        <v>2161540604</v>
      </c>
      <c r="D8" s="244">
        <f t="shared" si="3"/>
        <v>2376829831</v>
      </c>
      <c r="E8" s="244">
        <f t="shared" si="3"/>
        <v>2446367126.5699997</v>
      </c>
      <c r="F8" s="244">
        <f t="shared" si="3"/>
        <v>3338830806.61</v>
      </c>
      <c r="G8" s="244">
        <f t="shared" si="3"/>
        <v>3482076440.12</v>
      </c>
      <c r="H8" s="244">
        <f t="shared" si="3"/>
        <v>4078501270.3900003</v>
      </c>
      <c r="I8" s="244">
        <f t="shared" si="3"/>
        <v>4356166360</v>
      </c>
      <c r="J8" s="244"/>
      <c r="K8" s="244"/>
      <c r="L8" s="244"/>
      <c r="M8" s="244"/>
      <c r="N8" s="244"/>
      <c r="O8" s="244"/>
    </row>
    <row r="9" spans="1:15" s="168" customFormat="1" ht="13.5" thickBot="1">
      <c r="A9" s="357" t="s">
        <v>210</v>
      </c>
      <c r="B9" s="358">
        <f>SUM(B37:B38)</f>
        <v>581114771</v>
      </c>
      <c r="C9" s="358">
        <f aca="true" t="shared" si="4" ref="C9:O9">SUM(C37:C38)</f>
        <v>567002299</v>
      </c>
      <c r="D9" s="358">
        <f t="shared" si="4"/>
        <v>548450700</v>
      </c>
      <c r="E9" s="358">
        <f t="shared" si="4"/>
        <v>461506661</v>
      </c>
      <c r="F9" s="358">
        <f t="shared" si="4"/>
        <v>527230798</v>
      </c>
      <c r="G9" s="358">
        <f t="shared" si="4"/>
        <v>440290691</v>
      </c>
      <c r="H9" s="358">
        <f t="shared" si="4"/>
        <v>556311593</v>
      </c>
      <c r="I9" s="358">
        <f t="shared" si="4"/>
        <v>588686620</v>
      </c>
      <c r="J9" s="358">
        <f t="shared" si="4"/>
        <v>1330933575</v>
      </c>
      <c r="K9" s="358">
        <f t="shared" si="4"/>
        <v>1344632966</v>
      </c>
      <c r="L9" s="358">
        <f t="shared" si="4"/>
        <v>1327392722</v>
      </c>
      <c r="M9" s="358">
        <f t="shared" si="4"/>
        <v>1493457409</v>
      </c>
      <c r="N9" s="358">
        <f t="shared" si="4"/>
        <v>0</v>
      </c>
      <c r="O9" s="358">
        <f t="shared" si="4"/>
        <v>0</v>
      </c>
    </row>
    <row r="10" spans="1:11" ht="12.75">
      <c r="A10" s="133"/>
      <c r="B10" s="133"/>
      <c r="C10" s="133"/>
      <c r="D10" s="133"/>
      <c r="E10" s="133"/>
      <c r="F10" s="133"/>
      <c r="G10" s="133"/>
      <c r="H10" s="133"/>
      <c r="I10" s="133"/>
      <c r="J10" s="133"/>
      <c r="K10" s="133"/>
    </row>
    <row r="11" spans="1:15" s="162" customFormat="1" ht="12.75">
      <c r="A11" s="366" t="s">
        <v>212</v>
      </c>
      <c r="B11" s="367" t="s">
        <v>194</v>
      </c>
      <c r="C11" s="367" t="s">
        <v>195</v>
      </c>
      <c r="D11" s="367" t="s">
        <v>196</v>
      </c>
      <c r="E11" s="367" t="s">
        <v>197</v>
      </c>
      <c r="F11" s="367" t="s">
        <v>198</v>
      </c>
      <c r="G11" s="367" t="s">
        <v>199</v>
      </c>
      <c r="H11" s="367" t="s">
        <v>200</v>
      </c>
      <c r="I11" s="367" t="s">
        <v>201</v>
      </c>
      <c r="J11" s="367" t="s">
        <v>202</v>
      </c>
      <c r="K11" s="367" t="s">
        <v>203</v>
      </c>
      <c r="L11" s="367" t="s">
        <v>204</v>
      </c>
      <c r="M11" s="367" t="s">
        <v>205</v>
      </c>
      <c r="N11" s="367" t="s">
        <v>206</v>
      </c>
      <c r="O11" s="367"/>
    </row>
    <row r="12" spans="1:14" s="162" customFormat="1" ht="12.75">
      <c r="A12" s="242" t="s">
        <v>86</v>
      </c>
      <c r="B12" s="368"/>
      <c r="C12" s="134"/>
      <c r="D12" s="134"/>
      <c r="E12" s="134"/>
      <c r="F12" s="134">
        <v>-808</v>
      </c>
      <c r="G12" s="134">
        <v>408</v>
      </c>
      <c r="H12" s="134">
        <v>13661</v>
      </c>
      <c r="I12" s="134">
        <v>1898723</v>
      </c>
      <c r="J12" s="134">
        <v>49254892</v>
      </c>
      <c r="K12" s="134">
        <v>61510632</v>
      </c>
      <c r="L12" s="165">
        <v>42686769</v>
      </c>
      <c r="M12" s="165">
        <v>28910589</v>
      </c>
      <c r="N12" s="165">
        <v>61692599</v>
      </c>
    </row>
    <row r="13" spans="1:14" s="162" customFormat="1" ht="12.75">
      <c r="A13" s="242" t="s">
        <v>87</v>
      </c>
      <c r="B13" s="370"/>
      <c r="C13" s="134"/>
      <c r="D13" s="134"/>
      <c r="E13" s="134"/>
      <c r="F13" s="134">
        <v>-4601</v>
      </c>
      <c r="G13" s="134">
        <v>15036</v>
      </c>
      <c r="H13" s="134">
        <v>155368</v>
      </c>
      <c r="I13" s="134">
        <v>6151838</v>
      </c>
      <c r="J13" s="134">
        <v>62925131</v>
      </c>
      <c r="K13" s="134">
        <v>48229087</v>
      </c>
      <c r="L13" s="165">
        <v>43847045</v>
      </c>
      <c r="M13" s="165">
        <v>51476789</v>
      </c>
      <c r="N13" s="165">
        <v>5556080</v>
      </c>
    </row>
    <row r="14" spans="1:14" s="162" customFormat="1" ht="12.75">
      <c r="A14" s="242" t="s">
        <v>88</v>
      </c>
      <c r="B14" s="370"/>
      <c r="C14" s="134"/>
      <c r="D14" s="134"/>
      <c r="E14" s="134"/>
      <c r="F14" s="134">
        <v>683320</v>
      </c>
      <c r="G14" s="134">
        <v>388868</v>
      </c>
      <c r="H14" s="134">
        <v>1671804</v>
      </c>
      <c r="I14" s="134">
        <v>192790254</v>
      </c>
      <c r="J14" s="134">
        <v>1548260414</v>
      </c>
      <c r="K14" s="134">
        <v>1667447537</v>
      </c>
      <c r="L14" s="165">
        <v>1779031879</v>
      </c>
      <c r="M14" s="165">
        <v>1843035011</v>
      </c>
      <c r="N14" s="165">
        <v>238821822</v>
      </c>
    </row>
    <row r="15" spans="1:14" s="162" customFormat="1" ht="12.75">
      <c r="A15" s="242" t="s">
        <v>89</v>
      </c>
      <c r="B15" s="370"/>
      <c r="C15" s="134"/>
      <c r="D15" s="134"/>
      <c r="E15" s="134"/>
      <c r="F15" s="134">
        <v>23590</v>
      </c>
      <c r="G15" s="134">
        <v>18950</v>
      </c>
      <c r="H15" s="134">
        <v>472232</v>
      </c>
      <c r="I15" s="134">
        <v>90412022</v>
      </c>
      <c r="J15" s="134">
        <v>1861652203</v>
      </c>
      <c r="K15" s="134">
        <v>1951662824</v>
      </c>
      <c r="L15" s="165">
        <v>2095035177</v>
      </c>
      <c r="M15" s="165">
        <v>2160939739</v>
      </c>
      <c r="N15" s="165">
        <v>576081137</v>
      </c>
    </row>
    <row r="16" spans="1:14" s="162" customFormat="1" ht="12.75">
      <c r="A16" s="242" t="s">
        <v>90</v>
      </c>
      <c r="B16" s="370"/>
      <c r="C16" s="134"/>
      <c r="D16" s="134"/>
      <c r="E16" s="134"/>
      <c r="F16" s="134">
        <v>-2439</v>
      </c>
      <c r="G16" s="134">
        <v>-76</v>
      </c>
      <c r="H16" s="134">
        <v>12445</v>
      </c>
      <c r="I16" s="134">
        <v>244779</v>
      </c>
      <c r="J16" s="134">
        <v>1779713</v>
      </c>
      <c r="K16" s="134">
        <v>1333395</v>
      </c>
      <c r="L16" s="165">
        <v>1491328</v>
      </c>
      <c r="M16" s="165">
        <v>1152372</v>
      </c>
      <c r="N16" s="165">
        <v>64473</v>
      </c>
    </row>
    <row r="17" spans="1:14" s="162" customFormat="1" ht="12.75">
      <c r="A17" s="242" t="s">
        <v>91</v>
      </c>
      <c r="B17" s="370"/>
      <c r="C17" s="134"/>
      <c r="D17" s="134"/>
      <c r="E17" s="134"/>
      <c r="F17" s="134">
        <v>0</v>
      </c>
      <c r="G17" s="134">
        <v>0</v>
      </c>
      <c r="H17" s="134">
        <v>7</v>
      </c>
      <c r="I17" s="134">
        <v>42938</v>
      </c>
      <c r="J17" s="134">
        <v>3503369</v>
      </c>
      <c r="K17" s="134">
        <v>3919053</v>
      </c>
      <c r="L17" s="165">
        <v>5809164</v>
      </c>
      <c r="M17" s="165">
        <v>6864268</v>
      </c>
      <c r="N17" s="165">
        <v>2782852</v>
      </c>
    </row>
    <row r="18" spans="1:14" s="162" customFormat="1" ht="12.75">
      <c r="A18" s="242" t="s">
        <v>92</v>
      </c>
      <c r="B18" s="370"/>
      <c r="C18" s="134"/>
      <c r="D18" s="134"/>
      <c r="E18" s="134"/>
      <c r="F18" s="134">
        <v>15818</v>
      </c>
      <c r="G18" s="134">
        <v>1332</v>
      </c>
      <c r="H18" s="134">
        <v>-7824</v>
      </c>
      <c r="I18" s="134">
        <v>874100</v>
      </c>
      <c r="J18" s="134">
        <v>14528869</v>
      </c>
      <c r="K18" s="134">
        <v>16356108</v>
      </c>
      <c r="L18" s="165">
        <v>18331402</v>
      </c>
      <c r="M18" s="165">
        <v>19575824</v>
      </c>
      <c r="N18" s="165">
        <v>3736888</v>
      </c>
    </row>
    <row r="19" spans="1:14" s="162" customFormat="1" ht="12.75">
      <c r="A19" s="242" t="s">
        <v>75</v>
      </c>
      <c r="B19" s="370"/>
      <c r="C19" s="134"/>
      <c r="D19" s="134"/>
      <c r="E19" s="134"/>
      <c r="F19" s="134">
        <v>46810</v>
      </c>
      <c r="G19" s="134">
        <v>36918</v>
      </c>
      <c r="H19" s="134">
        <v>9509</v>
      </c>
      <c r="I19" s="134">
        <v>5462685</v>
      </c>
      <c r="J19" s="134">
        <v>85611549</v>
      </c>
      <c r="K19" s="134">
        <v>104665264</v>
      </c>
      <c r="L19" s="165">
        <v>116019112</v>
      </c>
      <c r="M19" s="165">
        <v>121307058</v>
      </c>
      <c r="N19" s="165">
        <v>17856826</v>
      </c>
    </row>
    <row r="20" spans="1:14" s="162" customFormat="1" ht="12.75">
      <c r="A20" s="242" t="s">
        <v>93</v>
      </c>
      <c r="B20" s="370"/>
      <c r="C20" s="134"/>
      <c r="D20" s="134"/>
      <c r="E20" s="134"/>
      <c r="F20" s="134">
        <v>0</v>
      </c>
      <c r="G20" s="134">
        <v>0</v>
      </c>
      <c r="H20" s="134">
        <v>1997</v>
      </c>
      <c r="I20" s="134">
        <v>353364</v>
      </c>
      <c r="J20" s="134">
        <v>4295071</v>
      </c>
      <c r="K20" s="134">
        <v>4621158</v>
      </c>
      <c r="L20" s="165">
        <v>3970604</v>
      </c>
      <c r="M20" s="165">
        <v>4381893</v>
      </c>
      <c r="N20" s="165">
        <v>801093</v>
      </c>
    </row>
    <row r="21" spans="1:14" s="162" customFormat="1" ht="12.75">
      <c r="A21" s="242" t="s">
        <v>74</v>
      </c>
      <c r="B21" s="370"/>
      <c r="C21" s="134"/>
      <c r="D21" s="134"/>
      <c r="E21" s="134"/>
      <c r="F21" s="134">
        <v>-30942</v>
      </c>
      <c r="G21" s="134">
        <v>2313</v>
      </c>
      <c r="H21" s="134">
        <v>241839</v>
      </c>
      <c r="I21" s="134">
        <v>11047368</v>
      </c>
      <c r="J21" s="134">
        <v>109974894</v>
      </c>
      <c r="K21" s="134">
        <v>96483288</v>
      </c>
      <c r="L21" s="165">
        <v>89736643</v>
      </c>
      <c r="M21" s="165">
        <v>83679235</v>
      </c>
      <c r="N21" s="165">
        <v>8822971</v>
      </c>
    </row>
    <row r="22" spans="1:14" s="162" customFormat="1" ht="12.75">
      <c r="A22" s="242" t="s">
        <v>82</v>
      </c>
      <c r="B22" s="370"/>
      <c r="C22" s="134"/>
      <c r="D22" s="134"/>
      <c r="E22" s="134"/>
      <c r="F22" s="134">
        <v>0</v>
      </c>
      <c r="G22" s="134">
        <v>0</v>
      </c>
      <c r="H22" s="134">
        <v>47764</v>
      </c>
      <c r="I22" s="134">
        <v>17272786</v>
      </c>
      <c r="J22" s="134">
        <v>200809007</v>
      </c>
      <c r="K22" s="134">
        <v>268759975</v>
      </c>
      <c r="L22" s="165">
        <v>298364426</v>
      </c>
      <c r="M22" s="165">
        <v>321008910</v>
      </c>
      <c r="N22" s="165">
        <v>42235546</v>
      </c>
    </row>
    <row r="23" spans="1:14" s="162" customFormat="1" ht="12.75">
      <c r="A23" s="242" t="s">
        <v>81</v>
      </c>
      <c r="B23" s="370"/>
      <c r="C23" s="134"/>
      <c r="D23" s="134"/>
      <c r="E23" s="134"/>
      <c r="F23" s="134">
        <v>0</v>
      </c>
      <c r="G23" s="134">
        <v>0</v>
      </c>
      <c r="H23" s="134">
        <v>0</v>
      </c>
      <c r="I23" s="134">
        <v>0</v>
      </c>
      <c r="J23" s="134">
        <v>30402692</v>
      </c>
      <c r="K23" s="134">
        <v>31664243</v>
      </c>
      <c r="L23" s="165">
        <v>38868770</v>
      </c>
      <c r="M23" s="165">
        <v>38048147</v>
      </c>
      <c r="N23" s="165">
        <v>8029480</v>
      </c>
    </row>
    <row r="24" spans="1:14" s="162" customFormat="1" ht="12.75">
      <c r="A24" s="242" t="s">
        <v>94</v>
      </c>
      <c r="B24" s="371"/>
      <c r="C24" s="134"/>
      <c r="D24" s="134"/>
      <c r="E24" s="134"/>
      <c r="F24" s="134">
        <v>0</v>
      </c>
      <c r="G24" s="134">
        <v>0</v>
      </c>
      <c r="H24" s="134">
        <v>0</v>
      </c>
      <c r="I24" s="134">
        <v>0</v>
      </c>
      <c r="J24" s="134">
        <v>12260405</v>
      </c>
      <c r="K24" s="134">
        <v>19908325</v>
      </c>
      <c r="L24" s="165">
        <v>28492914</v>
      </c>
      <c r="M24" s="165">
        <v>62815797</v>
      </c>
      <c r="N24" s="165">
        <v>26542862</v>
      </c>
    </row>
    <row r="25" spans="1:15" s="162" customFormat="1" ht="12.75">
      <c r="A25" s="364" t="s">
        <v>80</v>
      </c>
      <c r="B25" s="372"/>
      <c r="C25" s="233"/>
      <c r="D25" s="233"/>
      <c r="E25" s="233"/>
      <c r="F25" s="233">
        <v>0</v>
      </c>
      <c r="G25" s="233">
        <v>-101813</v>
      </c>
      <c r="H25" s="233">
        <v>0</v>
      </c>
      <c r="I25" s="233">
        <v>328303</v>
      </c>
      <c r="J25" s="233">
        <v>3732653</v>
      </c>
      <c r="K25" s="233">
        <v>4239858</v>
      </c>
      <c r="L25" s="403">
        <v>4634635</v>
      </c>
      <c r="M25" s="403">
        <v>4354267</v>
      </c>
      <c r="N25" s="403">
        <v>0</v>
      </c>
      <c r="O25" s="374"/>
    </row>
    <row r="26" spans="1:13" s="162" customFormat="1" ht="12.75">
      <c r="A26" s="375" t="s">
        <v>73</v>
      </c>
      <c r="B26" s="134">
        <v>1599995712</v>
      </c>
      <c r="C26" s="134">
        <v>1739114890</v>
      </c>
      <c r="D26" s="134">
        <v>1904618859</v>
      </c>
      <c r="E26" s="134">
        <v>1615288417.76</v>
      </c>
      <c r="F26" s="134">
        <v>2306471741.81</v>
      </c>
      <c r="G26" s="134">
        <v>2261009775.3900003</v>
      </c>
      <c r="H26" s="134">
        <v>2601915615.19</v>
      </c>
      <c r="I26" s="134">
        <v>2518395358</v>
      </c>
      <c r="J26" s="134"/>
      <c r="K26" s="134"/>
      <c r="L26" s="369"/>
      <c r="M26" s="369"/>
    </row>
    <row r="27" spans="1:13" s="162" customFormat="1" ht="12.75">
      <c r="A27" s="375" t="s">
        <v>74</v>
      </c>
      <c r="B27" s="134">
        <v>29032335</v>
      </c>
      <c r="C27" s="134">
        <v>40899200</v>
      </c>
      <c r="D27" s="134">
        <v>63328380</v>
      </c>
      <c r="E27" s="134">
        <v>82314235.85</v>
      </c>
      <c r="F27" s="134">
        <v>105227726.07</v>
      </c>
      <c r="G27" s="134">
        <v>130395976</v>
      </c>
      <c r="H27" s="134">
        <v>130989192.88</v>
      </c>
      <c r="I27" s="134">
        <v>121439404</v>
      </c>
      <c r="J27" s="134"/>
      <c r="K27" s="134"/>
      <c r="L27" s="369"/>
      <c r="M27" s="369"/>
    </row>
    <row r="28" spans="1:13" s="162" customFormat="1" ht="12.75">
      <c r="A28" s="375" t="s">
        <v>75</v>
      </c>
      <c r="B28" s="134">
        <v>56781964</v>
      </c>
      <c r="C28" s="134">
        <v>128915006</v>
      </c>
      <c r="D28" s="134">
        <v>147009460</v>
      </c>
      <c r="E28" s="134">
        <v>164437388.11</v>
      </c>
      <c r="F28" s="134">
        <v>167968609.31</v>
      </c>
      <c r="G28" s="134">
        <v>148619460.23999998</v>
      </c>
      <c r="H28" s="134">
        <v>37855538.980000004</v>
      </c>
      <c r="I28" s="134">
        <v>38912995</v>
      </c>
      <c r="J28" s="134"/>
      <c r="K28" s="134"/>
      <c r="L28" s="369"/>
      <c r="M28" s="369"/>
    </row>
    <row r="29" spans="1:13" s="162" customFormat="1" ht="12.75">
      <c r="A29" s="375" t="s">
        <v>76</v>
      </c>
      <c r="B29" s="134">
        <v>4901169</v>
      </c>
      <c r="C29" s="134">
        <v>9493170</v>
      </c>
      <c r="D29" s="134">
        <v>15988535</v>
      </c>
      <c r="E29" s="134">
        <v>36182495.85</v>
      </c>
      <c r="F29" s="134">
        <v>39495660.42</v>
      </c>
      <c r="G29" s="134">
        <v>42159954.49</v>
      </c>
      <c r="H29" s="134">
        <v>51352667.34</v>
      </c>
      <c r="I29" s="134">
        <v>36880409</v>
      </c>
      <c r="J29" s="134"/>
      <c r="K29" s="134"/>
      <c r="L29" s="369"/>
      <c r="M29" s="369"/>
    </row>
    <row r="30" spans="1:13" s="162" customFormat="1" ht="12.75">
      <c r="A30" s="375" t="s">
        <v>77</v>
      </c>
      <c r="B30" s="134">
        <v>111403680</v>
      </c>
      <c r="C30" s="134">
        <v>168674714</v>
      </c>
      <c r="D30" s="134">
        <v>161904649</v>
      </c>
      <c r="E30" s="134">
        <v>340912388</v>
      </c>
      <c r="F30" s="134">
        <v>388656152</v>
      </c>
      <c r="G30" s="134">
        <v>514416155</v>
      </c>
      <c r="H30" s="134">
        <v>719729953</v>
      </c>
      <c r="I30" s="134">
        <v>955297535</v>
      </c>
      <c r="J30" s="134"/>
      <c r="K30" s="134"/>
      <c r="L30" s="369"/>
      <c r="M30" s="369"/>
    </row>
    <row r="31" spans="1:13" s="162" customFormat="1" ht="12.75">
      <c r="A31" s="375" t="s">
        <v>78</v>
      </c>
      <c r="B31" s="134">
        <v>39158375</v>
      </c>
      <c r="C31" s="134">
        <v>60536845</v>
      </c>
      <c r="D31" s="134">
        <v>67118142</v>
      </c>
      <c r="E31" s="134">
        <v>185735700</v>
      </c>
      <c r="F31" s="134">
        <v>287460694</v>
      </c>
      <c r="G31" s="134">
        <v>314311885</v>
      </c>
      <c r="H31" s="134">
        <v>443501008</v>
      </c>
      <c r="I31" s="134">
        <v>490134530</v>
      </c>
      <c r="J31" s="134"/>
      <c r="K31" s="134"/>
      <c r="L31" s="369"/>
      <c r="M31" s="369"/>
    </row>
    <row r="32" spans="1:13" s="162" customFormat="1" ht="12.75">
      <c r="A32" s="375" t="s">
        <v>79</v>
      </c>
      <c r="B32" s="134">
        <v>11028662</v>
      </c>
      <c r="C32" s="134">
        <v>12895352</v>
      </c>
      <c r="D32" s="134">
        <v>12299590</v>
      </c>
      <c r="E32" s="134">
        <v>7504799</v>
      </c>
      <c r="F32" s="134">
        <v>23636152</v>
      </c>
      <c r="G32" s="134">
        <v>42100676</v>
      </c>
      <c r="H32" s="134">
        <v>28549180</v>
      </c>
      <c r="I32" s="134">
        <v>13394689</v>
      </c>
      <c r="J32" s="134"/>
      <c r="K32" s="134"/>
      <c r="L32" s="369"/>
      <c r="M32" s="369"/>
    </row>
    <row r="33" spans="1:13" s="162" customFormat="1" ht="12.75">
      <c r="A33" s="375" t="s">
        <v>80</v>
      </c>
      <c r="B33" s="134">
        <v>6114</v>
      </c>
      <c r="C33" s="134">
        <v>259466</v>
      </c>
      <c r="D33" s="134">
        <v>248881</v>
      </c>
      <c r="E33" s="134">
        <v>232453</v>
      </c>
      <c r="F33" s="134">
        <v>358953</v>
      </c>
      <c r="G33" s="134">
        <v>268202</v>
      </c>
      <c r="H33" s="134">
        <v>666171</v>
      </c>
      <c r="I33" s="134">
        <v>1667400</v>
      </c>
      <c r="J33" s="134"/>
      <c r="K33" s="134"/>
      <c r="L33" s="369"/>
      <c r="M33" s="369"/>
    </row>
    <row r="34" spans="1:13" s="162" customFormat="1" ht="12.75">
      <c r="A34" s="375" t="s">
        <v>81</v>
      </c>
      <c r="B34" s="134">
        <v>0</v>
      </c>
      <c r="C34" s="134">
        <v>751961</v>
      </c>
      <c r="D34" s="134">
        <v>4313335</v>
      </c>
      <c r="E34" s="134">
        <v>13759249</v>
      </c>
      <c r="F34" s="134">
        <v>19555118</v>
      </c>
      <c r="G34" s="134">
        <v>28794356</v>
      </c>
      <c r="H34" s="134">
        <v>34219382</v>
      </c>
      <c r="I34" s="134">
        <v>38951048</v>
      </c>
      <c r="J34" s="134"/>
      <c r="K34" s="134"/>
      <c r="L34" s="369"/>
      <c r="M34" s="369"/>
    </row>
    <row r="35" spans="1:13" s="162" customFormat="1" ht="12.75">
      <c r="A35" s="375" t="s">
        <v>82</v>
      </c>
      <c r="B35" s="134">
        <v>0</v>
      </c>
      <c r="C35" s="134">
        <v>0</v>
      </c>
      <c r="D35" s="134">
        <v>0</v>
      </c>
      <c r="E35" s="134">
        <v>0</v>
      </c>
      <c r="F35" s="134">
        <v>0</v>
      </c>
      <c r="G35" s="134">
        <v>0</v>
      </c>
      <c r="H35" s="134">
        <v>29317822</v>
      </c>
      <c r="I35" s="134">
        <v>139324430</v>
      </c>
      <c r="J35" s="134"/>
      <c r="K35" s="134"/>
      <c r="L35" s="369"/>
      <c r="M35" s="369"/>
    </row>
    <row r="36" spans="1:15" s="162" customFormat="1" ht="12.75">
      <c r="A36" s="376" t="s">
        <v>83</v>
      </c>
      <c r="B36" s="233">
        <v>0</v>
      </c>
      <c r="C36" s="233">
        <v>0</v>
      </c>
      <c r="D36" s="233">
        <v>0</v>
      </c>
      <c r="E36" s="233">
        <v>0</v>
      </c>
      <c r="F36" s="233">
        <v>0</v>
      </c>
      <c r="G36" s="233">
        <v>0</v>
      </c>
      <c r="H36" s="233">
        <v>404740</v>
      </c>
      <c r="I36" s="233">
        <v>1768562</v>
      </c>
      <c r="J36" s="233"/>
      <c r="K36" s="233"/>
      <c r="L36" s="373"/>
      <c r="M36" s="373"/>
      <c r="N36" s="374"/>
      <c r="O36" s="374"/>
    </row>
    <row r="37" spans="1:15" ht="12.75">
      <c r="A37" s="230" t="s">
        <v>36</v>
      </c>
      <c r="B37" s="137">
        <v>581114771</v>
      </c>
      <c r="C37" s="137">
        <v>567002299</v>
      </c>
      <c r="D37" s="137">
        <v>548450700</v>
      </c>
      <c r="E37" s="137">
        <v>461506661</v>
      </c>
      <c r="F37" s="137">
        <v>527230798</v>
      </c>
      <c r="G37" s="137">
        <v>440290691</v>
      </c>
      <c r="H37" s="137">
        <v>556311593</v>
      </c>
      <c r="I37" s="137">
        <v>588686620</v>
      </c>
      <c r="J37" s="138"/>
      <c r="K37" s="130"/>
      <c r="L37" s="121"/>
      <c r="M37" s="121"/>
      <c r="N37" s="121"/>
      <c r="O37" s="121"/>
    </row>
    <row r="38" spans="1:15" ht="12.75">
      <c r="A38" s="230" t="s">
        <v>96</v>
      </c>
      <c r="B38" s="137"/>
      <c r="C38" s="138"/>
      <c r="D38" s="130"/>
      <c r="E38" s="130"/>
      <c r="F38" s="138"/>
      <c r="G38" s="138"/>
      <c r="H38" s="138"/>
      <c r="I38" s="138"/>
      <c r="J38" s="138">
        <v>1330933575</v>
      </c>
      <c r="K38" s="138">
        <v>1344632966</v>
      </c>
      <c r="L38" s="138">
        <v>1327392722</v>
      </c>
      <c r="M38" s="138">
        <v>1493457409</v>
      </c>
      <c r="N38" s="138"/>
      <c r="O38" s="121"/>
    </row>
    <row r="39" spans="1:11" ht="12.75">
      <c r="A39" s="133"/>
      <c r="B39" s="227"/>
      <c r="C39" s="135"/>
      <c r="D39" s="135"/>
      <c r="E39" s="135"/>
      <c r="F39" s="135"/>
      <c r="G39" s="135"/>
      <c r="H39" s="135"/>
      <c r="I39" s="135"/>
      <c r="J39" s="135"/>
      <c r="K39" s="135"/>
    </row>
    <row r="40" spans="10:14" ht="12.75">
      <c r="J40" s="168"/>
      <c r="K40" s="168"/>
      <c r="L40" s="168"/>
      <c r="M40" s="168"/>
      <c r="N40" s="168"/>
    </row>
    <row r="41" spans="10:14" ht="12.75">
      <c r="J41" s="243"/>
      <c r="K41" s="168"/>
      <c r="L41" s="404"/>
      <c r="M41" s="404"/>
      <c r="N41" s="404"/>
    </row>
    <row r="42" spans="10:14" ht="12.75">
      <c r="J42" s="243"/>
      <c r="K42" s="168"/>
      <c r="L42" s="404"/>
      <c r="M42" s="404"/>
      <c r="N42" s="404"/>
    </row>
    <row r="43" spans="10:14" ht="12.75">
      <c r="J43" s="243"/>
      <c r="K43" s="168"/>
      <c r="L43" s="404"/>
      <c r="M43" s="404"/>
      <c r="N43" s="404"/>
    </row>
    <row r="44" spans="10:14" ht="12.75">
      <c r="J44" s="243"/>
      <c r="K44" s="168"/>
      <c r="L44" s="404"/>
      <c r="M44" s="404"/>
      <c r="N44" s="404"/>
    </row>
    <row r="45" spans="10:14" ht="12.75">
      <c r="J45" s="243"/>
      <c r="K45" s="168"/>
      <c r="L45" s="404"/>
      <c r="M45" s="404"/>
      <c r="N45" s="404"/>
    </row>
    <row r="46" spans="10:14" ht="12.75">
      <c r="J46" s="243"/>
      <c r="K46" s="168"/>
      <c r="L46" s="404"/>
      <c r="M46" s="404"/>
      <c r="N46" s="404"/>
    </row>
    <row r="47" spans="10:14" ht="12.75">
      <c r="J47" s="243"/>
      <c r="K47" s="168"/>
      <c r="L47" s="404"/>
      <c r="M47" s="404"/>
      <c r="N47" s="404"/>
    </row>
    <row r="48" spans="10:14" ht="12.75">
      <c r="J48" s="243"/>
      <c r="K48" s="168"/>
      <c r="L48" s="404"/>
      <c r="M48" s="404"/>
      <c r="N48" s="404"/>
    </row>
    <row r="49" spans="10:14" ht="12.75">
      <c r="J49" s="243"/>
      <c r="K49" s="168"/>
      <c r="L49" s="404"/>
      <c r="M49" s="404"/>
      <c r="N49" s="404"/>
    </row>
    <row r="50" spans="10:14" ht="12.75">
      <c r="J50" s="243"/>
      <c r="K50" s="168"/>
      <c r="L50" s="404"/>
      <c r="M50" s="404"/>
      <c r="N50" s="404"/>
    </row>
    <row r="51" spans="10:14" ht="12.75">
      <c r="J51" s="243"/>
      <c r="K51" s="168"/>
      <c r="L51" s="404"/>
      <c r="M51" s="404"/>
      <c r="N51" s="404"/>
    </row>
    <row r="52" spans="10:14" ht="12.75">
      <c r="J52" s="243"/>
      <c r="K52" s="168"/>
      <c r="L52" s="404"/>
      <c r="M52" s="404"/>
      <c r="N52" s="404"/>
    </row>
    <row r="53" spans="10:14" ht="12.75">
      <c r="J53" s="243"/>
      <c r="K53" s="168"/>
      <c r="L53" s="404"/>
      <c r="M53" s="404"/>
      <c r="N53" s="404"/>
    </row>
    <row r="54" spans="10:14" ht="12.75">
      <c r="J54" s="243"/>
      <c r="K54" s="168"/>
      <c r="L54" s="404"/>
      <c r="M54" s="404"/>
      <c r="N54" s="404"/>
    </row>
    <row r="55" spans="10:14" ht="12.75">
      <c r="J55" s="168"/>
      <c r="K55" s="168"/>
      <c r="L55" s="168"/>
      <c r="M55" s="168"/>
      <c r="N55" s="168"/>
    </row>
    <row r="56" spans="10:14" ht="12.75">
      <c r="J56" s="168"/>
      <c r="K56" s="168"/>
      <c r="L56" s="168"/>
      <c r="M56" s="168"/>
      <c r="N56" s="168"/>
    </row>
  </sheetData>
  <printOptions/>
  <pageMargins left="0.75" right="0.75" top="1" bottom="1" header="0.5" footer="0.5"/>
  <pageSetup horizontalDpi="600" verticalDpi="600" orientation="landscape" paperSize="5" scale="54" r:id="rId1"/>
</worksheet>
</file>

<file path=xl/worksheets/sheet6.xml><?xml version="1.0" encoding="utf-8"?>
<worksheet xmlns="http://schemas.openxmlformats.org/spreadsheetml/2006/main" xmlns:r="http://schemas.openxmlformats.org/officeDocument/2006/relationships">
  <dimension ref="A1:N125"/>
  <sheetViews>
    <sheetView workbookViewId="0" topLeftCell="A1">
      <selection activeCell="A1" sqref="A1"/>
    </sheetView>
  </sheetViews>
  <sheetFormatPr defaultColWidth="9.140625" defaultRowHeight="12.75"/>
  <cols>
    <col min="1" max="1" width="24.00390625" style="0" customWidth="1"/>
    <col min="2" max="2" width="16.8515625" style="0" bestFit="1" customWidth="1"/>
    <col min="3" max="3" width="16.28125" style="0" bestFit="1" customWidth="1"/>
    <col min="4" max="4" width="16.57421875" style="0" bestFit="1" customWidth="1"/>
    <col min="5" max="5" width="17.00390625" style="0" bestFit="1" customWidth="1"/>
    <col min="6" max="6" width="15.140625" style="0" bestFit="1" customWidth="1"/>
    <col min="7" max="7" width="14.7109375" style="0" customWidth="1"/>
    <col min="8" max="8" width="15.00390625" style="0" customWidth="1"/>
    <col min="9" max="10" width="9.28125" style="0" bestFit="1" customWidth="1"/>
    <col min="11" max="13" width="16.8515625" style="0" customWidth="1"/>
  </cols>
  <sheetData>
    <row r="1" ht="18.75" thickBot="1">
      <c r="A1" s="299" t="s">
        <v>240</v>
      </c>
    </row>
    <row r="2" spans="1:8" ht="13.5" thickBot="1">
      <c r="A2" s="377" t="s">
        <v>216</v>
      </c>
      <c r="B2" s="377"/>
      <c r="C2" s="378"/>
      <c r="D2" s="427">
        <v>1.008478974148215</v>
      </c>
      <c r="E2" s="378"/>
      <c r="F2" s="378"/>
      <c r="G2" s="378"/>
      <c r="H2" s="379"/>
    </row>
    <row r="3" spans="1:6" ht="27.75" customHeight="1">
      <c r="A3" s="163" t="s">
        <v>217</v>
      </c>
      <c r="B3" s="365" t="s">
        <v>107</v>
      </c>
      <c r="C3" s="365" t="s">
        <v>214</v>
      </c>
      <c r="D3" s="381" t="s">
        <v>220</v>
      </c>
      <c r="E3" s="365" t="s">
        <v>215</v>
      </c>
      <c r="F3" s="229"/>
    </row>
    <row r="4" spans="1:6" ht="12.75">
      <c r="A4" s="242" t="s">
        <v>86</v>
      </c>
      <c r="B4" s="172">
        <f>'CMS-64'!M12</f>
        <v>28910589</v>
      </c>
      <c r="C4" s="165">
        <v>5221398.892059119</v>
      </c>
      <c r="D4" s="172">
        <f>(B4-C4)</f>
        <v>23689190.107940882</v>
      </c>
      <c r="E4" s="228">
        <f aca="true" t="shared" si="0" ref="E4:E17">D4*$D$2</f>
        <v>23890050.138458263</v>
      </c>
      <c r="F4" s="121">
        <f>E4-D4</f>
        <v>200860.03051738068</v>
      </c>
    </row>
    <row r="5" spans="1:6" ht="12.75">
      <c r="A5" s="242" t="s">
        <v>87</v>
      </c>
      <c r="B5" s="172">
        <f>'CMS-64'!M13</f>
        <v>51476789</v>
      </c>
      <c r="C5" s="165">
        <v>2165905.8757119477</v>
      </c>
      <c r="D5" s="172">
        <f aca="true" t="shared" si="1" ref="D5:D17">(B5-C5)</f>
        <v>49310883.12428805</v>
      </c>
      <c r="E5" s="228">
        <f t="shared" si="0"/>
        <v>49728988.82752454</v>
      </c>
      <c r="F5" s="121">
        <f aca="true" t="shared" si="2" ref="F5:F17">E5-D5</f>
        <v>418105.7032364905</v>
      </c>
    </row>
    <row r="6" spans="1:6" ht="12.75">
      <c r="A6" s="242" t="s">
        <v>88</v>
      </c>
      <c r="B6" s="172">
        <f>'CMS-64'!M14</f>
        <v>1843035011</v>
      </c>
      <c r="C6" s="165">
        <v>72066924.8112142</v>
      </c>
      <c r="D6" s="172">
        <f t="shared" si="1"/>
        <v>1770968086.1887858</v>
      </c>
      <c r="E6" s="228">
        <f t="shared" si="0"/>
        <v>1785984078.8088942</v>
      </c>
      <c r="F6" s="121">
        <f t="shared" si="2"/>
        <v>15015992.620108366</v>
      </c>
    </row>
    <row r="7" spans="1:6" ht="12.75">
      <c r="A7" s="242" t="s">
        <v>89</v>
      </c>
      <c r="B7" s="172">
        <f>'CMS-64'!M15</f>
        <v>2160939739</v>
      </c>
      <c r="C7" s="165">
        <v>77420224.4768483</v>
      </c>
      <c r="D7" s="172">
        <f t="shared" si="1"/>
        <v>2083519514.5231516</v>
      </c>
      <c r="E7" s="228">
        <f t="shared" si="0"/>
        <v>2101185622.6240947</v>
      </c>
      <c r="F7" s="121">
        <f t="shared" si="2"/>
        <v>17666108.10094309</v>
      </c>
    </row>
    <row r="8" spans="1:6" ht="12.75">
      <c r="A8" s="242" t="s">
        <v>90</v>
      </c>
      <c r="B8" s="172">
        <f>'CMS-64'!M16</f>
        <v>1152372</v>
      </c>
      <c r="C8" s="165">
        <v>11156.541669767616</v>
      </c>
      <c r="D8" s="172">
        <f t="shared" si="1"/>
        <v>1141215.4583302324</v>
      </c>
      <c r="E8" s="228">
        <f t="shared" si="0"/>
        <v>1150891.7946989578</v>
      </c>
      <c r="F8" s="121">
        <f t="shared" si="2"/>
        <v>9676.336368725402</v>
      </c>
    </row>
    <row r="9" spans="1:6" ht="12.75">
      <c r="A9" s="242" t="s">
        <v>91</v>
      </c>
      <c r="B9" s="172">
        <f>'CMS-64'!M17</f>
        <v>6864268</v>
      </c>
      <c r="C9" s="165">
        <v>0</v>
      </c>
      <c r="D9" s="172">
        <f t="shared" si="1"/>
        <v>6864268</v>
      </c>
      <c r="E9" s="228">
        <f t="shared" si="0"/>
        <v>6922469.950918419</v>
      </c>
      <c r="F9" s="121">
        <f t="shared" si="2"/>
        <v>58201.95091841929</v>
      </c>
    </row>
    <row r="10" spans="1:6" ht="12.75">
      <c r="A10" s="242" t="s">
        <v>92</v>
      </c>
      <c r="B10" s="172">
        <f>'CMS-64'!M18</f>
        <v>19575824</v>
      </c>
      <c r="C10" s="165">
        <v>548777.3298493386</v>
      </c>
      <c r="D10" s="172">
        <f t="shared" si="1"/>
        <v>19027046.67015066</v>
      </c>
      <c r="E10" s="228">
        <f t="shared" si="0"/>
        <v>19188376.506983746</v>
      </c>
      <c r="F10" s="121">
        <f t="shared" si="2"/>
        <v>161329.83683308586</v>
      </c>
    </row>
    <row r="11" spans="1:6" ht="12.75">
      <c r="A11" s="242" t="s">
        <v>75</v>
      </c>
      <c r="B11" s="172">
        <f>'CMS-64'!M19</f>
        <v>121307058</v>
      </c>
      <c r="C11" s="165">
        <v>4409251.153388023</v>
      </c>
      <c r="D11" s="172">
        <f t="shared" si="1"/>
        <v>116897806.84661198</v>
      </c>
      <c r="E11" s="228">
        <f t="shared" si="0"/>
        <v>117888980.32884742</v>
      </c>
      <c r="F11" s="121">
        <f t="shared" si="2"/>
        <v>991173.4822354466</v>
      </c>
    </row>
    <row r="12" spans="1:6" ht="12.75">
      <c r="A12" s="242" t="s">
        <v>93</v>
      </c>
      <c r="B12" s="172">
        <f>'CMS-64'!M20</f>
        <v>4381893</v>
      </c>
      <c r="C12" s="165">
        <v>449358.3968505035</v>
      </c>
      <c r="D12" s="172">
        <f t="shared" si="1"/>
        <v>3932534.6031494965</v>
      </c>
      <c r="E12" s="228">
        <f t="shared" si="0"/>
        <v>3965878.462386562</v>
      </c>
      <c r="F12" s="121">
        <f t="shared" si="2"/>
        <v>33343.85923706554</v>
      </c>
    </row>
    <row r="13" spans="1:6" ht="12.75">
      <c r="A13" s="242" t="s">
        <v>74</v>
      </c>
      <c r="B13" s="172">
        <f>'CMS-64'!M21</f>
        <v>83679235</v>
      </c>
      <c r="C13" s="165">
        <v>2982473.083787243</v>
      </c>
      <c r="D13" s="172">
        <f t="shared" si="1"/>
        <v>80696761.91621275</v>
      </c>
      <c r="E13" s="228">
        <f t="shared" si="0"/>
        <v>81380987.67434497</v>
      </c>
      <c r="F13" s="121">
        <f t="shared" si="2"/>
        <v>684225.7581322193</v>
      </c>
    </row>
    <row r="14" spans="1:6" ht="12.75">
      <c r="A14" s="242" t="s">
        <v>82</v>
      </c>
      <c r="B14" s="172">
        <f>'CMS-64'!M22</f>
        <v>321008910</v>
      </c>
      <c r="C14" s="165">
        <v>19922340.157406602</v>
      </c>
      <c r="D14" s="172">
        <f t="shared" si="1"/>
        <v>301086569.8425934</v>
      </c>
      <c r="E14" s="228">
        <f t="shared" si="0"/>
        <v>303639475.08466345</v>
      </c>
      <c r="F14" s="121">
        <f t="shared" si="2"/>
        <v>2552905.242070079</v>
      </c>
    </row>
    <row r="15" spans="1:6" ht="12.75">
      <c r="A15" s="242" t="s">
        <v>81</v>
      </c>
      <c r="B15" s="172">
        <f>'CMS-64'!M23</f>
        <v>38048147</v>
      </c>
      <c r="C15" s="165">
        <v>0</v>
      </c>
      <c r="D15" s="172">
        <f t="shared" si="1"/>
        <v>38048147</v>
      </c>
      <c r="E15" s="228">
        <f>D15</f>
        <v>38048147</v>
      </c>
      <c r="F15" s="121">
        <f t="shared" si="2"/>
        <v>0</v>
      </c>
    </row>
    <row r="16" spans="1:6" ht="12.75">
      <c r="A16" s="242" t="s">
        <v>94</v>
      </c>
      <c r="B16" s="172">
        <f>'CMS-64'!M24</f>
        <v>62815797</v>
      </c>
      <c r="C16" s="165">
        <v>0</v>
      </c>
      <c r="D16" s="172">
        <f t="shared" si="1"/>
        <v>62815797</v>
      </c>
      <c r="E16" s="228">
        <f>D16</f>
        <v>62815797</v>
      </c>
      <c r="F16" s="121">
        <f t="shared" si="2"/>
        <v>0</v>
      </c>
    </row>
    <row r="17" spans="1:6" ht="12.75">
      <c r="A17" s="242" t="s">
        <v>80</v>
      </c>
      <c r="B17" s="172">
        <f>'CMS-64'!M25</f>
        <v>4354267</v>
      </c>
      <c r="C17" s="165">
        <v>0</v>
      </c>
      <c r="D17" s="172">
        <f t="shared" si="1"/>
        <v>4354267</v>
      </c>
      <c r="E17" s="228">
        <f t="shared" si="0"/>
        <v>4391186.717327425</v>
      </c>
      <c r="F17" s="121">
        <f t="shared" si="2"/>
        <v>36919.71732742526</v>
      </c>
    </row>
    <row r="18" ht="13.5" thickBot="1"/>
    <row r="19" spans="1:8" ht="13.5" thickBot="1">
      <c r="A19" s="377" t="s">
        <v>189</v>
      </c>
      <c r="B19" s="378"/>
      <c r="C19" s="378"/>
      <c r="D19" s="378"/>
      <c r="E19" s="378"/>
      <c r="F19" s="378"/>
      <c r="G19" s="378"/>
      <c r="H19" s="379"/>
    </row>
    <row r="20" ht="12.75">
      <c r="A20" s="125"/>
    </row>
    <row r="21" spans="1:14" ht="12.75">
      <c r="A21" s="180" t="s">
        <v>190</v>
      </c>
      <c r="B21" s="181"/>
      <c r="C21" s="181"/>
      <c r="D21" s="181"/>
      <c r="E21" s="181"/>
      <c r="L21" s="222"/>
      <c r="M21" s="222"/>
      <c r="N21" s="222"/>
    </row>
    <row r="22" spans="1:14" ht="12.75">
      <c r="A22" s="181"/>
      <c r="B22" s="428" t="s">
        <v>187</v>
      </c>
      <c r="C22" s="428" t="s">
        <v>188</v>
      </c>
      <c r="D22" s="428" t="s">
        <v>186</v>
      </c>
      <c r="E22" s="428" t="s">
        <v>213</v>
      </c>
      <c r="L22" s="222"/>
      <c r="M22" s="222"/>
      <c r="N22" s="222"/>
    </row>
    <row r="23" spans="1:5" ht="12.75">
      <c r="A23" s="110" t="s">
        <v>88</v>
      </c>
      <c r="B23" s="235">
        <v>48638574.379999995</v>
      </c>
      <c r="C23" s="235">
        <v>34792775</v>
      </c>
      <c r="D23" s="235">
        <v>27947766.45</v>
      </c>
      <c r="E23" s="235">
        <v>20325330.46</v>
      </c>
    </row>
    <row r="24" spans="1:5" ht="12.75">
      <c r="A24" s="110" t="s">
        <v>74</v>
      </c>
      <c r="B24" s="235">
        <v>-48638574.379999995</v>
      </c>
      <c r="C24" s="235">
        <v>-34792775</v>
      </c>
      <c r="D24" s="235">
        <v>-27947766.45</v>
      </c>
      <c r="E24" s="235">
        <v>-20325330.46</v>
      </c>
    </row>
    <row r="26" spans="1:5" ht="12.75" customHeight="1">
      <c r="A26" s="380" t="s">
        <v>217</v>
      </c>
      <c r="B26" s="304" t="s">
        <v>70</v>
      </c>
      <c r="C26" s="304" t="s">
        <v>71</v>
      </c>
      <c r="D26" s="304" t="s">
        <v>72</v>
      </c>
      <c r="E26" s="304" t="s">
        <v>107</v>
      </c>
    </row>
    <row r="27" spans="1:5" ht="12.75">
      <c r="A27" s="69" t="s">
        <v>86</v>
      </c>
      <c r="B27" s="129">
        <f>'CMS-64'!J12</f>
        <v>49254892</v>
      </c>
      <c r="C27" s="129">
        <f>'CMS-64'!K12</f>
        <v>61510632</v>
      </c>
      <c r="D27" s="129">
        <f>'CMS-64'!L12</f>
        <v>42686769</v>
      </c>
      <c r="E27" s="129">
        <f>E4</f>
        <v>23890050.138458263</v>
      </c>
    </row>
    <row r="28" spans="1:5" ht="12.75">
      <c r="A28" s="69" t="s">
        <v>87</v>
      </c>
      <c r="B28" s="129">
        <f>'CMS-64'!J13</f>
        <v>62925131</v>
      </c>
      <c r="C28" s="129">
        <f>'CMS-64'!K13</f>
        <v>48229087</v>
      </c>
      <c r="D28" s="129">
        <f>'CMS-64'!L13</f>
        <v>43847045</v>
      </c>
      <c r="E28" s="129">
        <f aca="true" t="shared" si="3" ref="E28:E40">E5</f>
        <v>49728988.82752454</v>
      </c>
    </row>
    <row r="29" spans="1:5" ht="12.75">
      <c r="A29" s="69" t="s">
        <v>88</v>
      </c>
      <c r="B29" s="129">
        <f>'CMS-64'!J14+B23</f>
        <v>1596898988.38</v>
      </c>
      <c r="C29" s="129">
        <f>'CMS-64'!K14+C23</f>
        <v>1702240312</v>
      </c>
      <c r="D29" s="129">
        <f>'CMS-64'!L14+D23</f>
        <v>1806979645.45</v>
      </c>
      <c r="E29" s="129">
        <f>E6+E23</f>
        <v>1806309409.2688942</v>
      </c>
    </row>
    <row r="30" spans="1:5" ht="12.75">
      <c r="A30" s="69" t="s">
        <v>89</v>
      </c>
      <c r="B30" s="129">
        <f>'CMS-64'!J15</f>
        <v>1861652203</v>
      </c>
      <c r="C30" s="129">
        <f>'CMS-64'!K15</f>
        <v>1951662824</v>
      </c>
      <c r="D30" s="129">
        <f>'CMS-64'!L15</f>
        <v>2095035177</v>
      </c>
      <c r="E30" s="129">
        <f t="shared" si="3"/>
        <v>2101185622.6240947</v>
      </c>
    </row>
    <row r="31" spans="1:5" ht="12.75">
      <c r="A31" s="69" t="s">
        <v>90</v>
      </c>
      <c r="B31" s="129">
        <f>'CMS-64'!J16</f>
        <v>1779713</v>
      </c>
      <c r="C31" s="129">
        <f>'CMS-64'!K16</f>
        <v>1333395</v>
      </c>
      <c r="D31" s="129">
        <f>'CMS-64'!L16</f>
        <v>1491328</v>
      </c>
      <c r="E31" s="129">
        <f t="shared" si="3"/>
        <v>1150891.7946989578</v>
      </c>
    </row>
    <row r="32" spans="1:5" ht="12.75">
      <c r="A32" s="69" t="s">
        <v>91</v>
      </c>
      <c r="B32" s="129">
        <f>'CMS-64'!J17</f>
        <v>3503369</v>
      </c>
      <c r="C32" s="129">
        <f>'CMS-64'!K17</f>
        <v>3919053</v>
      </c>
      <c r="D32" s="129">
        <f>'CMS-64'!L17</f>
        <v>5809164</v>
      </c>
      <c r="E32" s="129">
        <f t="shared" si="3"/>
        <v>6922469.950918419</v>
      </c>
    </row>
    <row r="33" spans="1:5" ht="12.75">
      <c r="A33" s="69" t="s">
        <v>92</v>
      </c>
      <c r="B33" s="129">
        <f>'CMS-64'!J18</f>
        <v>14528869</v>
      </c>
      <c r="C33" s="129">
        <f>'CMS-64'!K18</f>
        <v>16356108</v>
      </c>
      <c r="D33" s="129">
        <f>'CMS-64'!L18</f>
        <v>18331402</v>
      </c>
      <c r="E33" s="129">
        <f t="shared" si="3"/>
        <v>19188376.506983746</v>
      </c>
    </row>
    <row r="34" spans="1:5" ht="12.75">
      <c r="A34" s="69" t="s">
        <v>75</v>
      </c>
      <c r="B34" s="129">
        <f>'CMS-64'!J19</f>
        <v>85611549</v>
      </c>
      <c r="C34" s="129">
        <f>'CMS-64'!K19</f>
        <v>104665264</v>
      </c>
      <c r="D34" s="129">
        <f>'CMS-64'!L19</f>
        <v>116019112</v>
      </c>
      <c r="E34" s="129">
        <f t="shared" si="3"/>
        <v>117888980.32884742</v>
      </c>
    </row>
    <row r="35" spans="1:5" ht="12.75">
      <c r="A35" s="69" t="s">
        <v>93</v>
      </c>
      <c r="B35" s="129">
        <f>'CMS-64'!J20</f>
        <v>4295071</v>
      </c>
      <c r="C35" s="129">
        <f>'CMS-64'!K20</f>
        <v>4621158</v>
      </c>
      <c r="D35" s="129">
        <f>'CMS-64'!L20</f>
        <v>3970604</v>
      </c>
      <c r="E35" s="129">
        <f t="shared" si="3"/>
        <v>3965878.462386562</v>
      </c>
    </row>
    <row r="36" spans="1:5" ht="12.75">
      <c r="A36" s="69" t="s">
        <v>74</v>
      </c>
      <c r="B36" s="129">
        <f>'CMS-64'!J21+B24</f>
        <v>61336319.620000005</v>
      </c>
      <c r="C36" s="129">
        <f>'CMS-64'!K21+C24</f>
        <v>61690513</v>
      </c>
      <c r="D36" s="129">
        <f>'CMS-64'!L21+D24</f>
        <v>61788876.55</v>
      </c>
      <c r="E36" s="129">
        <f>E13+E24</f>
        <v>61055657.21434497</v>
      </c>
    </row>
    <row r="37" spans="1:5" ht="12.75">
      <c r="A37" s="69" t="s">
        <v>82</v>
      </c>
      <c r="B37" s="129">
        <f>'CMS-64'!J22</f>
        <v>200809007</v>
      </c>
      <c r="C37" s="129">
        <f>'CMS-64'!K22</f>
        <v>268759975</v>
      </c>
      <c r="D37" s="129">
        <f>'CMS-64'!L22</f>
        <v>298364426</v>
      </c>
      <c r="E37" s="129">
        <f t="shared" si="3"/>
        <v>303639475.08466345</v>
      </c>
    </row>
    <row r="38" spans="1:5" ht="12.75">
      <c r="A38" s="69" t="s">
        <v>81</v>
      </c>
      <c r="B38" s="129">
        <f>'CMS-64'!J23</f>
        <v>30402692</v>
      </c>
      <c r="C38" s="129">
        <f>'CMS-64'!K23</f>
        <v>31664243</v>
      </c>
      <c r="D38" s="129">
        <f>'CMS-64'!L23</f>
        <v>38868770</v>
      </c>
      <c r="E38" s="129">
        <f t="shared" si="3"/>
        <v>38048147</v>
      </c>
    </row>
    <row r="39" spans="1:5" ht="12.75">
      <c r="A39" s="69" t="s">
        <v>94</v>
      </c>
      <c r="B39" s="129">
        <f>'CMS-64'!J24</f>
        <v>12260405</v>
      </c>
      <c r="C39" s="129">
        <f>'CMS-64'!K24</f>
        <v>19908325</v>
      </c>
      <c r="D39" s="129">
        <f>'CMS-64'!L24</f>
        <v>28492914</v>
      </c>
      <c r="E39" s="129">
        <f t="shared" si="3"/>
        <v>62815797</v>
      </c>
    </row>
    <row r="40" spans="1:5" ht="12.75">
      <c r="A40" s="69" t="s">
        <v>80</v>
      </c>
      <c r="B40" s="129">
        <f>'CMS-64'!J25</f>
        <v>3732653</v>
      </c>
      <c r="C40" s="129">
        <f>'CMS-64'!K25</f>
        <v>4239858</v>
      </c>
      <c r="D40" s="129">
        <f>'CMS-64'!L25</f>
        <v>4634635</v>
      </c>
      <c r="E40" s="129">
        <f t="shared" si="3"/>
        <v>4391186.717327425</v>
      </c>
    </row>
    <row r="41" spans="1:5" ht="12.75">
      <c r="A41" s="69"/>
      <c r="B41" s="129"/>
      <c r="C41" s="129"/>
      <c r="D41" s="129"/>
      <c r="E41" s="129"/>
    </row>
    <row r="42" spans="1:7" ht="12.75">
      <c r="A42" s="69" t="s">
        <v>96</v>
      </c>
      <c r="B42" s="129">
        <f>'CMS-64'!J38</f>
        <v>1330933575</v>
      </c>
      <c r="C42" s="405">
        <f>'CMS-64'!K38</f>
        <v>1344632966</v>
      </c>
      <c r="D42" s="405">
        <f>'CMS-64'!L38</f>
        <v>1327392722</v>
      </c>
      <c r="E42" s="405">
        <f>'CMS-64'!M38</f>
        <v>1493457409</v>
      </c>
      <c r="F42" s="129"/>
      <c r="G42" s="129"/>
    </row>
    <row r="43" ht="13.5" thickBot="1"/>
    <row r="44" spans="1:8" ht="13.5" thickBot="1">
      <c r="A44" s="377" t="s">
        <v>257</v>
      </c>
      <c r="B44" s="378"/>
      <c r="C44" s="378"/>
      <c r="D44" s="378"/>
      <c r="E44" s="378"/>
      <c r="F44" s="378"/>
      <c r="G44" s="378"/>
      <c r="H44" s="379"/>
    </row>
    <row r="46" spans="1:3" ht="12.75">
      <c r="A46" s="180" t="s">
        <v>190</v>
      </c>
      <c r="B46" s="428" t="s">
        <v>187</v>
      </c>
      <c r="C46" s="428" t="s">
        <v>188</v>
      </c>
    </row>
    <row r="47" spans="1:3" ht="12.75">
      <c r="A47" s="110" t="s">
        <v>86</v>
      </c>
      <c r="B47" s="430">
        <v>-242604.5708617915</v>
      </c>
      <c r="C47" s="430">
        <v>-80655.59959756324</v>
      </c>
    </row>
    <row r="48" spans="1:3" ht="12.75">
      <c r="A48" s="110" t="s">
        <v>87</v>
      </c>
      <c r="B48" s="430">
        <v>-231507.39252274227</v>
      </c>
      <c r="C48" s="430">
        <v>-45406.39987543781</v>
      </c>
    </row>
    <row r="49" spans="1:3" ht="12.75">
      <c r="A49" s="110" t="s">
        <v>88</v>
      </c>
      <c r="B49" s="430">
        <v>-3748573.4515550393</v>
      </c>
      <c r="C49" s="430">
        <v>-1190039.6721613351</v>
      </c>
    </row>
    <row r="50" spans="1:3" ht="12.75">
      <c r="A50" s="110" t="s">
        <v>89</v>
      </c>
      <c r="B50" s="430">
        <v>-3586510.580779667</v>
      </c>
      <c r="C50" s="430">
        <v>-1246244.3746752294</v>
      </c>
    </row>
    <row r="51" spans="1:3" ht="12.75">
      <c r="A51" s="110" t="s">
        <v>90</v>
      </c>
      <c r="B51" s="430">
        <v>-2011.2544122745312</v>
      </c>
      <c r="C51" s="430">
        <v>-533.0117605729029</v>
      </c>
    </row>
    <row r="52" spans="1:3" ht="12.75">
      <c r="A52" s="110" t="s">
        <v>91</v>
      </c>
      <c r="B52" s="430">
        <v>0</v>
      </c>
      <c r="C52" s="430">
        <v>0</v>
      </c>
    </row>
    <row r="53" spans="1:3" ht="12.75">
      <c r="A53" s="110" t="s">
        <v>92</v>
      </c>
      <c r="B53" s="430">
        <v>-28811.031870529652</v>
      </c>
      <c r="C53" s="430">
        <v>-10048.944563984416</v>
      </c>
    </row>
    <row r="54" spans="1:3" ht="12.75">
      <c r="A54" s="110" t="s">
        <v>75</v>
      </c>
      <c r="B54" s="430">
        <v>-181247.44330759742</v>
      </c>
      <c r="C54" s="430">
        <v>-67784.4367163529</v>
      </c>
    </row>
    <row r="55" spans="1:3" ht="12.75">
      <c r="A55" s="110" t="s">
        <v>93</v>
      </c>
      <c r="B55" s="430">
        <v>-26507.82012393908</v>
      </c>
      <c r="C55" s="430">
        <v>-9733.376465693054</v>
      </c>
    </row>
    <row r="56" spans="1:3" ht="12.75">
      <c r="A56" s="110" t="s">
        <v>74</v>
      </c>
      <c r="B56" s="430">
        <v>-156872.54632301495</v>
      </c>
      <c r="C56" s="431">
        <v>-54712.51925719135</v>
      </c>
    </row>
    <row r="57" spans="1:3" ht="12.75">
      <c r="A57" s="110" t="s">
        <v>82</v>
      </c>
      <c r="B57" s="430">
        <v>-652017.1087239087</v>
      </c>
      <c r="C57" s="430">
        <v>-286912.246502563</v>
      </c>
    </row>
    <row r="58" spans="1:3" ht="12.75">
      <c r="A58" s="110" t="s">
        <v>96</v>
      </c>
      <c r="B58" s="430">
        <v>13637625</v>
      </c>
      <c r="C58" s="430"/>
    </row>
    <row r="60" spans="1:5" ht="12.75">
      <c r="A60" s="380" t="s">
        <v>217</v>
      </c>
      <c r="B60" s="304" t="s">
        <v>70</v>
      </c>
      <c r="C60" s="304" t="s">
        <v>71</v>
      </c>
      <c r="D60" s="304" t="s">
        <v>72</v>
      </c>
      <c r="E60" s="304" t="s">
        <v>107</v>
      </c>
    </row>
    <row r="61" spans="1:5" ht="12.75">
      <c r="A61" s="69" t="s">
        <v>86</v>
      </c>
      <c r="B61" s="121">
        <f>B27+B47</f>
        <v>49012287.429138206</v>
      </c>
      <c r="C61" s="121">
        <f>C27+C47</f>
        <v>61429976.400402434</v>
      </c>
      <c r="D61" s="121">
        <f>D27+D47</f>
        <v>42686769</v>
      </c>
      <c r="E61" s="121">
        <f>E27+E47</f>
        <v>23890050.138458263</v>
      </c>
    </row>
    <row r="62" spans="1:5" ht="12.75">
      <c r="A62" s="69" t="s">
        <v>87</v>
      </c>
      <c r="B62" s="121">
        <f aca="true" t="shared" si="4" ref="B62:E71">B28+B48</f>
        <v>62693623.607477255</v>
      </c>
      <c r="C62" s="121">
        <f t="shared" si="4"/>
        <v>48183680.60012456</v>
      </c>
      <c r="D62" s="121">
        <f t="shared" si="4"/>
        <v>43847045</v>
      </c>
      <c r="E62" s="121">
        <f t="shared" si="4"/>
        <v>49728988.82752454</v>
      </c>
    </row>
    <row r="63" spans="1:5" ht="12.75">
      <c r="A63" s="69" t="s">
        <v>88</v>
      </c>
      <c r="B63" s="121">
        <f t="shared" si="4"/>
        <v>1593150414.928445</v>
      </c>
      <c r="C63" s="121">
        <f t="shared" si="4"/>
        <v>1701050272.3278387</v>
      </c>
      <c r="D63" s="121">
        <f t="shared" si="4"/>
        <v>1806979645.45</v>
      </c>
      <c r="E63" s="121">
        <f t="shared" si="4"/>
        <v>1806309409.2688942</v>
      </c>
    </row>
    <row r="64" spans="1:5" ht="12.75">
      <c r="A64" s="69" t="s">
        <v>89</v>
      </c>
      <c r="B64" s="121">
        <f t="shared" si="4"/>
        <v>1858065692.4192204</v>
      </c>
      <c r="C64" s="121">
        <f t="shared" si="4"/>
        <v>1950416579.6253247</v>
      </c>
      <c r="D64" s="121">
        <f t="shared" si="4"/>
        <v>2095035177</v>
      </c>
      <c r="E64" s="121">
        <f t="shared" si="4"/>
        <v>2101185622.6240947</v>
      </c>
    </row>
    <row r="65" spans="1:5" ht="12.75">
      <c r="A65" s="69" t="s">
        <v>90</v>
      </c>
      <c r="B65" s="121">
        <f t="shared" si="4"/>
        <v>1777701.7455877254</v>
      </c>
      <c r="C65" s="121">
        <f t="shared" si="4"/>
        <v>1332861.988239427</v>
      </c>
      <c r="D65" s="121">
        <f t="shared" si="4"/>
        <v>1491328</v>
      </c>
      <c r="E65" s="121">
        <f t="shared" si="4"/>
        <v>1150891.7946989578</v>
      </c>
    </row>
    <row r="66" spans="1:5" ht="12.75">
      <c r="A66" s="69" t="s">
        <v>91</v>
      </c>
      <c r="B66" s="121">
        <f t="shared" si="4"/>
        <v>3503369</v>
      </c>
      <c r="C66" s="121">
        <f t="shared" si="4"/>
        <v>3919053</v>
      </c>
      <c r="D66" s="121">
        <f t="shared" si="4"/>
        <v>5809164</v>
      </c>
      <c r="E66" s="121">
        <f t="shared" si="4"/>
        <v>6922469.950918419</v>
      </c>
    </row>
    <row r="67" spans="1:5" ht="12.75">
      <c r="A67" s="69" t="s">
        <v>92</v>
      </c>
      <c r="B67" s="121">
        <f t="shared" si="4"/>
        <v>14500057.968129471</v>
      </c>
      <c r="C67" s="121">
        <f t="shared" si="4"/>
        <v>16346059.055436015</v>
      </c>
      <c r="D67" s="121">
        <f t="shared" si="4"/>
        <v>18331402</v>
      </c>
      <c r="E67" s="121">
        <f t="shared" si="4"/>
        <v>19188376.506983746</v>
      </c>
    </row>
    <row r="68" spans="1:5" ht="12.75">
      <c r="A68" s="69" t="s">
        <v>75</v>
      </c>
      <c r="B68" s="121">
        <f t="shared" si="4"/>
        <v>85430301.5566924</v>
      </c>
      <c r="C68" s="121">
        <f t="shared" si="4"/>
        <v>104597479.56328365</v>
      </c>
      <c r="D68" s="121">
        <f t="shared" si="4"/>
        <v>116019112</v>
      </c>
      <c r="E68" s="121">
        <f t="shared" si="4"/>
        <v>117888980.32884742</v>
      </c>
    </row>
    <row r="69" spans="1:5" ht="12.75">
      <c r="A69" s="69" t="s">
        <v>93</v>
      </c>
      <c r="B69" s="121">
        <f t="shared" si="4"/>
        <v>4268563.179876061</v>
      </c>
      <c r="C69" s="121">
        <f t="shared" si="4"/>
        <v>4611424.623534307</v>
      </c>
      <c r="D69" s="121">
        <f t="shared" si="4"/>
        <v>3970604</v>
      </c>
      <c r="E69" s="121">
        <f t="shared" si="4"/>
        <v>3965878.462386562</v>
      </c>
    </row>
    <row r="70" spans="1:5" ht="12.75">
      <c r="A70" s="69" t="s">
        <v>74</v>
      </c>
      <c r="B70" s="121">
        <f t="shared" si="4"/>
        <v>61179447.07367699</v>
      </c>
      <c r="C70" s="121">
        <f t="shared" si="4"/>
        <v>61635800.48074281</v>
      </c>
      <c r="D70" s="121">
        <f t="shared" si="4"/>
        <v>61788876.55</v>
      </c>
      <c r="E70" s="121">
        <f t="shared" si="4"/>
        <v>61055657.21434497</v>
      </c>
    </row>
    <row r="71" spans="1:5" ht="12.75">
      <c r="A71" s="69" t="s">
        <v>82</v>
      </c>
      <c r="B71" s="121">
        <f t="shared" si="4"/>
        <v>200156989.8912761</v>
      </c>
      <c r="C71" s="121">
        <f t="shared" si="4"/>
        <v>268473062.7534974</v>
      </c>
      <c r="D71" s="121">
        <f t="shared" si="4"/>
        <v>298364426</v>
      </c>
      <c r="E71" s="121">
        <f t="shared" si="4"/>
        <v>303639475.08466345</v>
      </c>
    </row>
    <row r="72" spans="1:5" ht="12.75">
      <c r="A72" s="69" t="s">
        <v>81</v>
      </c>
      <c r="B72" s="121">
        <f>B38</f>
        <v>30402692</v>
      </c>
      <c r="C72" s="121">
        <f>C38</f>
        <v>31664243</v>
      </c>
      <c r="D72" s="121">
        <f>D38</f>
        <v>38868770</v>
      </c>
      <c r="E72" s="121">
        <f>E38</f>
        <v>38048147</v>
      </c>
    </row>
    <row r="73" spans="1:5" ht="12.75">
      <c r="A73" s="69" t="s">
        <v>94</v>
      </c>
      <c r="B73" s="121">
        <f aca="true" t="shared" si="5" ref="B73:E74">B39</f>
        <v>12260405</v>
      </c>
      <c r="C73" s="121">
        <f t="shared" si="5"/>
        <v>19908325</v>
      </c>
      <c r="D73" s="121">
        <f t="shared" si="5"/>
        <v>28492914</v>
      </c>
      <c r="E73" s="121">
        <f t="shared" si="5"/>
        <v>62815797</v>
      </c>
    </row>
    <row r="74" spans="1:5" ht="12.75">
      <c r="A74" s="69" t="s">
        <v>80</v>
      </c>
      <c r="B74" s="121">
        <f t="shared" si="5"/>
        <v>3732653</v>
      </c>
      <c r="C74" s="121">
        <f t="shared" si="5"/>
        <v>4239858</v>
      </c>
      <c r="D74" s="121">
        <f t="shared" si="5"/>
        <v>4634635</v>
      </c>
      <c r="E74" s="121">
        <f t="shared" si="5"/>
        <v>4391186.717327425</v>
      </c>
    </row>
    <row r="75" ht="12.75">
      <c r="A75" s="69"/>
    </row>
    <row r="76" spans="1:5" ht="12.75">
      <c r="A76" s="69" t="s">
        <v>96</v>
      </c>
      <c r="B76" s="121">
        <f>B42+B58</f>
        <v>1344571200</v>
      </c>
      <c r="C76" s="429">
        <f>C42</f>
        <v>1344632966</v>
      </c>
      <c r="D76" s="429">
        <f>D42</f>
        <v>1327392722</v>
      </c>
      <c r="E76" s="429">
        <f>E42</f>
        <v>1493457409</v>
      </c>
    </row>
    <row r="77" ht="13.5" thickBot="1"/>
    <row r="78" spans="1:8" ht="13.5" thickBot="1">
      <c r="A78" s="377" t="s">
        <v>259</v>
      </c>
      <c r="B78" s="378"/>
      <c r="C78" s="378"/>
      <c r="D78" s="378"/>
      <c r="E78" s="378"/>
      <c r="F78" s="378"/>
      <c r="G78" s="378"/>
      <c r="H78" s="379"/>
    </row>
    <row r="80" spans="1:5" ht="12.75">
      <c r="A80" s="380" t="s">
        <v>217</v>
      </c>
      <c r="B80" s="433" t="s">
        <v>70</v>
      </c>
      <c r="C80" s="433" t="s">
        <v>71</v>
      </c>
      <c r="D80" s="433" t="s">
        <v>72</v>
      </c>
      <c r="E80" s="433" t="s">
        <v>107</v>
      </c>
    </row>
    <row r="81" spans="1:5" ht="12.75">
      <c r="A81" s="69" t="s">
        <v>86</v>
      </c>
      <c r="D81" s="121">
        <v>69253.11627533566</v>
      </c>
      <c r="E81" s="121">
        <f>188816.980138531+C4</f>
        <v>5410215.87219765</v>
      </c>
    </row>
    <row r="82" spans="1:5" ht="12.75">
      <c r="A82" s="69" t="s">
        <v>87</v>
      </c>
      <c r="D82" s="121">
        <v>121291.747457032</v>
      </c>
      <c r="E82" s="121">
        <f>341666.707854656+C5</f>
        <v>2507572.5835666037</v>
      </c>
    </row>
    <row r="83" spans="1:5" ht="12.75">
      <c r="A83" s="69" t="s">
        <v>88</v>
      </c>
      <c r="D83" s="121">
        <v>5032919.6845521955</v>
      </c>
      <c r="E83" s="121">
        <f>12798273.1413397+C6</f>
        <v>84865197.9525539</v>
      </c>
    </row>
    <row r="84" spans="1:5" ht="12.75">
      <c r="A84" s="69" t="s">
        <v>89</v>
      </c>
      <c r="D84" s="121">
        <v>6010325.289649284</v>
      </c>
      <c r="E84" s="121">
        <f>15593619.9535302+C7</f>
        <v>93013844.4303785</v>
      </c>
    </row>
    <row r="85" spans="1:5" ht="12.75">
      <c r="A85" s="69" t="s">
        <v>90</v>
      </c>
      <c r="D85" s="121">
        <v>1666.336943671891</v>
      </c>
      <c r="E85" s="121">
        <f>1240.50427120914+C8</f>
        <v>12397.045940976755</v>
      </c>
    </row>
    <row r="86" spans="1:5" ht="12.75">
      <c r="A86" s="69" t="s">
        <v>91</v>
      </c>
      <c r="D86" s="121">
        <v>0</v>
      </c>
      <c r="E86" s="121">
        <f>0+C9</f>
        <v>0</v>
      </c>
    </row>
    <row r="87" spans="1:5" ht="12.75">
      <c r="A87" s="69" t="s">
        <v>92</v>
      </c>
      <c r="D87" s="121">
        <v>28972.067369048236</v>
      </c>
      <c r="E87" s="121">
        <f>61007.8763940851+C10</f>
        <v>609785.2062434237</v>
      </c>
    </row>
    <row r="88" spans="1:5" ht="12.75">
      <c r="A88" s="69" t="s">
        <v>75</v>
      </c>
      <c r="D88" s="121">
        <v>184572.29835313917</v>
      </c>
      <c r="E88" s="121">
        <f>558822.586134296+C11</f>
        <v>4968073.739522319</v>
      </c>
    </row>
    <row r="89" spans="1:5" ht="12.75">
      <c r="A89" s="69" t="s">
        <v>93</v>
      </c>
      <c r="D89" s="121">
        <v>7709.94815177448</v>
      </c>
      <c r="E89" s="121">
        <f>35774.4601743733+C12</f>
        <v>485132.8570248768</v>
      </c>
    </row>
    <row r="90" spans="1:5" ht="12.75">
      <c r="A90" s="69" t="s">
        <v>74</v>
      </c>
      <c r="D90" s="121">
        <v>139012.17044917413</v>
      </c>
      <c r="E90" s="121">
        <f>370336.686819758+C13</f>
        <v>3352809.7706070007</v>
      </c>
    </row>
    <row r="91" spans="1:5" ht="12.75">
      <c r="A91" s="69" t="s">
        <v>82</v>
      </c>
      <c r="D91" s="121">
        <v>811117.3996735283</v>
      </c>
      <c r="E91" s="121">
        <f>2386983.36545934+C14</f>
        <v>22309323.522865944</v>
      </c>
    </row>
    <row r="93" spans="1:7" ht="12.75">
      <c r="A93" s="380" t="s">
        <v>217</v>
      </c>
      <c r="B93" s="304" t="s">
        <v>70</v>
      </c>
      <c r="C93" s="304" t="s">
        <v>71</v>
      </c>
      <c r="D93" s="304" t="s">
        <v>72</v>
      </c>
      <c r="E93" s="304" t="s">
        <v>107</v>
      </c>
      <c r="F93" s="304" t="s">
        <v>218</v>
      </c>
      <c r="G93" s="304" t="s">
        <v>219</v>
      </c>
    </row>
    <row r="94" spans="1:7" ht="12.75">
      <c r="A94" s="69" t="s">
        <v>86</v>
      </c>
      <c r="B94" s="121">
        <f aca="true" t="shared" si="6" ref="B94:G94">B61+B81</f>
        <v>49012287.429138206</v>
      </c>
      <c r="C94" s="121">
        <f t="shared" si="6"/>
        <v>61429976.400402434</v>
      </c>
      <c r="D94" s="121">
        <f t="shared" si="6"/>
        <v>42756022.11627533</v>
      </c>
      <c r="E94" s="121">
        <f t="shared" si="6"/>
        <v>29300266.010655914</v>
      </c>
      <c r="F94" s="121">
        <f t="shared" si="6"/>
        <v>0</v>
      </c>
      <c r="G94" s="121">
        <f t="shared" si="6"/>
        <v>0</v>
      </c>
    </row>
    <row r="95" spans="1:7" ht="12.75">
      <c r="A95" s="69" t="s">
        <v>87</v>
      </c>
      <c r="B95" s="121">
        <f aca="true" t="shared" si="7" ref="B95:G104">B62+B82</f>
        <v>62693623.607477255</v>
      </c>
      <c r="C95" s="121">
        <f t="shared" si="7"/>
        <v>48183680.60012456</v>
      </c>
      <c r="D95" s="121">
        <f t="shared" si="7"/>
        <v>43968336.747457035</v>
      </c>
      <c r="E95" s="121">
        <f t="shared" si="7"/>
        <v>52236561.41109115</v>
      </c>
      <c r="F95" s="121">
        <f t="shared" si="7"/>
        <v>0</v>
      </c>
      <c r="G95" s="121">
        <f t="shared" si="7"/>
        <v>0</v>
      </c>
    </row>
    <row r="96" spans="1:7" ht="12.75">
      <c r="A96" s="69" t="s">
        <v>88</v>
      </c>
      <c r="B96" s="121">
        <f t="shared" si="7"/>
        <v>1593150414.928445</v>
      </c>
      <c r="C96" s="121">
        <f t="shared" si="7"/>
        <v>1701050272.3278387</v>
      </c>
      <c r="D96" s="121">
        <f t="shared" si="7"/>
        <v>1812012565.1345522</v>
      </c>
      <c r="E96" s="121">
        <f t="shared" si="7"/>
        <v>1891174607.2214482</v>
      </c>
      <c r="F96" s="121">
        <f t="shared" si="7"/>
        <v>0</v>
      </c>
      <c r="G96" s="121">
        <f t="shared" si="7"/>
        <v>0</v>
      </c>
    </row>
    <row r="97" spans="1:7" ht="12.75">
      <c r="A97" s="69" t="s">
        <v>89</v>
      </c>
      <c r="B97" s="121">
        <f t="shared" si="7"/>
        <v>1858065692.4192204</v>
      </c>
      <c r="C97" s="121">
        <f t="shared" si="7"/>
        <v>1950416579.6253247</v>
      </c>
      <c r="D97" s="121">
        <f t="shared" si="7"/>
        <v>2101045502.2896492</v>
      </c>
      <c r="E97" s="121">
        <f t="shared" si="7"/>
        <v>2194199467.0544734</v>
      </c>
      <c r="F97" s="121">
        <f t="shared" si="7"/>
        <v>0</v>
      </c>
      <c r="G97" s="121">
        <f t="shared" si="7"/>
        <v>0</v>
      </c>
    </row>
    <row r="98" spans="1:7" ht="12.75">
      <c r="A98" s="69" t="s">
        <v>90</v>
      </c>
      <c r="B98" s="121">
        <f t="shared" si="7"/>
        <v>1777701.7455877254</v>
      </c>
      <c r="C98" s="121">
        <f t="shared" si="7"/>
        <v>1332861.988239427</v>
      </c>
      <c r="D98" s="121">
        <f t="shared" si="7"/>
        <v>1492994.3369436718</v>
      </c>
      <c r="E98" s="121">
        <f t="shared" si="7"/>
        <v>1163288.8406399346</v>
      </c>
      <c r="F98" s="121">
        <f t="shared" si="7"/>
        <v>0</v>
      </c>
      <c r="G98" s="121">
        <f t="shared" si="7"/>
        <v>0</v>
      </c>
    </row>
    <row r="99" spans="1:7" ht="12.75">
      <c r="A99" s="69" t="s">
        <v>91</v>
      </c>
      <c r="B99" s="121">
        <f t="shared" si="7"/>
        <v>3503369</v>
      </c>
      <c r="C99" s="121">
        <f t="shared" si="7"/>
        <v>3919053</v>
      </c>
      <c r="D99" s="121">
        <f t="shared" si="7"/>
        <v>5809164</v>
      </c>
      <c r="E99" s="121">
        <f t="shared" si="7"/>
        <v>6922469.950918419</v>
      </c>
      <c r="F99" s="121">
        <f t="shared" si="7"/>
        <v>0</v>
      </c>
      <c r="G99" s="121">
        <f t="shared" si="7"/>
        <v>0</v>
      </c>
    </row>
    <row r="100" spans="1:7" ht="12.75">
      <c r="A100" s="69" t="s">
        <v>92</v>
      </c>
      <c r="B100" s="121">
        <f t="shared" si="7"/>
        <v>14500057.968129471</v>
      </c>
      <c r="C100" s="121">
        <f t="shared" si="7"/>
        <v>16346059.055436015</v>
      </c>
      <c r="D100" s="121">
        <f t="shared" si="7"/>
        <v>18360374.067369048</v>
      </c>
      <c r="E100" s="121">
        <f t="shared" si="7"/>
        <v>19798161.713227168</v>
      </c>
      <c r="F100" s="121">
        <f t="shared" si="7"/>
        <v>0</v>
      </c>
      <c r="G100" s="121">
        <f t="shared" si="7"/>
        <v>0</v>
      </c>
    </row>
    <row r="101" spans="1:7" ht="12.75">
      <c r="A101" s="69" t="s">
        <v>75</v>
      </c>
      <c r="B101" s="121">
        <f t="shared" si="7"/>
        <v>85430301.5566924</v>
      </c>
      <c r="C101" s="121">
        <f t="shared" si="7"/>
        <v>104597479.56328365</v>
      </c>
      <c r="D101" s="121">
        <f t="shared" si="7"/>
        <v>116203684.29835314</v>
      </c>
      <c r="E101" s="121">
        <f t="shared" si="7"/>
        <v>122857054.06836975</v>
      </c>
      <c r="F101" s="121">
        <f t="shared" si="7"/>
        <v>0</v>
      </c>
      <c r="G101" s="121">
        <f t="shared" si="7"/>
        <v>0</v>
      </c>
    </row>
    <row r="102" spans="1:7" ht="12.75">
      <c r="A102" s="69" t="s">
        <v>93</v>
      </c>
      <c r="B102" s="121">
        <f t="shared" si="7"/>
        <v>4268563.179876061</v>
      </c>
      <c r="C102" s="121">
        <f t="shared" si="7"/>
        <v>4611424.623534307</v>
      </c>
      <c r="D102" s="121">
        <f t="shared" si="7"/>
        <v>3978313.9481517747</v>
      </c>
      <c r="E102" s="121">
        <f t="shared" si="7"/>
        <v>4451011.319411439</v>
      </c>
      <c r="F102" s="121">
        <f t="shared" si="7"/>
        <v>0</v>
      </c>
      <c r="G102" s="121">
        <f t="shared" si="7"/>
        <v>0</v>
      </c>
    </row>
    <row r="103" spans="1:7" ht="12.75">
      <c r="A103" s="69" t="s">
        <v>74</v>
      </c>
      <c r="B103" s="121">
        <f t="shared" si="7"/>
        <v>61179447.07367699</v>
      </c>
      <c r="C103" s="121">
        <f t="shared" si="7"/>
        <v>61635800.48074281</v>
      </c>
      <c r="D103" s="121">
        <f t="shared" si="7"/>
        <v>61927888.72044917</v>
      </c>
      <c r="E103" s="121">
        <f t="shared" si="7"/>
        <v>64408466.98495197</v>
      </c>
      <c r="F103" s="121">
        <f t="shared" si="7"/>
        <v>0</v>
      </c>
      <c r="G103" s="121">
        <f t="shared" si="7"/>
        <v>0</v>
      </c>
    </row>
    <row r="104" spans="1:7" ht="13.5" thickBot="1">
      <c r="A104" s="239" t="s">
        <v>82</v>
      </c>
      <c r="B104" s="240">
        <f t="shared" si="7"/>
        <v>200156989.8912761</v>
      </c>
      <c r="C104" s="240">
        <f t="shared" si="7"/>
        <v>268473062.7534974</v>
      </c>
      <c r="D104" s="240">
        <f t="shared" si="7"/>
        <v>299175543.3996735</v>
      </c>
      <c r="E104" s="240">
        <f t="shared" si="7"/>
        <v>325948798.6075294</v>
      </c>
      <c r="F104" s="241">
        <f t="shared" si="7"/>
        <v>0</v>
      </c>
      <c r="G104" s="241">
        <f t="shared" si="7"/>
        <v>0</v>
      </c>
    </row>
    <row r="105" spans="1:7" ht="13.5" thickTop="1">
      <c r="A105" s="69" t="s">
        <v>81</v>
      </c>
      <c r="B105" s="129">
        <f aca="true" t="shared" si="8" ref="B105:G105">B72</f>
        <v>30402692</v>
      </c>
      <c r="C105" s="129">
        <f t="shared" si="8"/>
        <v>31664243</v>
      </c>
      <c r="D105" s="129">
        <f t="shared" si="8"/>
        <v>38868770</v>
      </c>
      <c r="E105" s="129">
        <f t="shared" si="8"/>
        <v>38048147</v>
      </c>
      <c r="F105" s="238">
        <f t="shared" si="8"/>
        <v>0</v>
      </c>
      <c r="G105" s="238">
        <f t="shared" si="8"/>
        <v>0</v>
      </c>
    </row>
    <row r="106" spans="1:7" ht="12.75">
      <c r="A106" s="69" t="s">
        <v>94</v>
      </c>
      <c r="B106" s="129">
        <f aca="true" t="shared" si="9" ref="B106:G107">B73</f>
        <v>12260405</v>
      </c>
      <c r="C106" s="129">
        <f t="shared" si="9"/>
        <v>19908325</v>
      </c>
      <c r="D106" s="129">
        <f t="shared" si="9"/>
        <v>28492914</v>
      </c>
      <c r="E106" s="129">
        <f t="shared" si="9"/>
        <v>62815797</v>
      </c>
      <c r="F106" s="238">
        <f t="shared" si="9"/>
        <v>0</v>
      </c>
      <c r="G106" s="238">
        <f t="shared" si="9"/>
        <v>0</v>
      </c>
    </row>
    <row r="107" spans="1:7" ht="12.75">
      <c r="A107" s="69" t="s">
        <v>80</v>
      </c>
      <c r="B107" s="121">
        <f t="shared" si="9"/>
        <v>3732653</v>
      </c>
      <c r="C107" s="121">
        <f t="shared" si="9"/>
        <v>4239858</v>
      </c>
      <c r="D107" s="121">
        <f t="shared" si="9"/>
        <v>4634635</v>
      </c>
      <c r="E107" s="121">
        <f t="shared" si="9"/>
        <v>4391186.717327425</v>
      </c>
      <c r="F107" s="121">
        <f t="shared" si="9"/>
        <v>0</v>
      </c>
      <c r="G107" s="121">
        <f t="shared" si="9"/>
        <v>0</v>
      </c>
    </row>
    <row r="108" ht="13.5" thickBot="1"/>
    <row r="109" spans="1:8" ht="13.5" thickBot="1">
      <c r="A109" s="377" t="s">
        <v>258</v>
      </c>
      <c r="B109" s="378"/>
      <c r="C109" s="378"/>
      <c r="D109" s="378"/>
      <c r="E109" s="378"/>
      <c r="F109" s="378"/>
      <c r="G109" s="378"/>
      <c r="H109" s="379"/>
    </row>
    <row r="110" spans="9:10" ht="12.75">
      <c r="I110" s="441" t="s">
        <v>106</v>
      </c>
      <c r="J110" s="442"/>
    </row>
    <row r="111" spans="1:10" ht="12.75">
      <c r="A111" s="380" t="s">
        <v>217</v>
      </c>
      <c r="B111" s="304" t="s">
        <v>70</v>
      </c>
      <c r="C111" s="304" t="s">
        <v>71</v>
      </c>
      <c r="D111" s="304" t="s">
        <v>72</v>
      </c>
      <c r="E111" s="304" t="s">
        <v>107</v>
      </c>
      <c r="F111" s="304" t="s">
        <v>218</v>
      </c>
      <c r="G111" s="304" t="s">
        <v>219</v>
      </c>
      <c r="I111" s="119" t="s">
        <v>116</v>
      </c>
      <c r="J111" s="119" t="s">
        <v>117</v>
      </c>
    </row>
    <row r="112" spans="1:10" ht="12.75">
      <c r="A112" s="69" t="s">
        <v>86</v>
      </c>
      <c r="B112" s="129">
        <f>B94</f>
        <v>49012287.429138206</v>
      </c>
      <c r="C112" s="129">
        <f>C94</f>
        <v>61429976.400402434</v>
      </c>
      <c r="D112" s="129">
        <f>D94</f>
        <v>42756022.11627533</v>
      </c>
      <c r="E112" s="129">
        <f>E94</f>
        <v>29300266.010655914</v>
      </c>
      <c r="F112" s="238">
        <f aca="true" t="shared" si="10" ref="F112:F125">E112*(1+I112)</f>
        <v>28213170.050365083</v>
      </c>
      <c r="G112" s="238">
        <f aca="true" t="shared" si="11" ref="G112:G125">F112*(1+J112)</f>
        <v>30954227.868207496</v>
      </c>
      <c r="I112" s="432">
        <v>-0.03710191436130561</v>
      </c>
      <c r="J112" s="432">
        <v>0.09715525809220238</v>
      </c>
    </row>
    <row r="113" spans="1:10" ht="12.75">
      <c r="A113" s="69" t="s">
        <v>87</v>
      </c>
      <c r="B113" s="129">
        <f aca="true" t="shared" si="12" ref="B113:D125">B95</f>
        <v>62693623.607477255</v>
      </c>
      <c r="C113" s="129">
        <f t="shared" si="12"/>
        <v>48183680.60012456</v>
      </c>
      <c r="D113" s="129">
        <f t="shared" si="12"/>
        <v>43968336.747457035</v>
      </c>
      <c r="E113" s="129">
        <f aca="true" t="shared" si="13" ref="E113:E125">E95</f>
        <v>52236561.41109115</v>
      </c>
      <c r="F113" s="238">
        <f t="shared" si="10"/>
        <v>54242155.74613096</v>
      </c>
      <c r="G113" s="238">
        <f t="shared" si="11"/>
        <v>55148302.34910277</v>
      </c>
      <c r="I113" s="432">
        <v>0.038394455547259065</v>
      </c>
      <c r="J113" s="432">
        <v>0.016705578723914316</v>
      </c>
    </row>
    <row r="114" spans="1:10" ht="12.75">
      <c r="A114" s="69" t="s">
        <v>88</v>
      </c>
      <c r="B114" s="129">
        <f t="shared" si="12"/>
        <v>1593150414.928445</v>
      </c>
      <c r="C114" s="129">
        <f t="shared" si="12"/>
        <v>1701050272.3278387</v>
      </c>
      <c r="D114" s="129">
        <f t="shared" si="12"/>
        <v>1812012565.1345522</v>
      </c>
      <c r="E114" s="129">
        <f t="shared" si="13"/>
        <v>1891174607.2214482</v>
      </c>
      <c r="F114" s="238">
        <f t="shared" si="10"/>
        <v>2019842787.603269</v>
      </c>
      <c r="G114" s="238">
        <f t="shared" si="11"/>
        <v>2169422810.7340875</v>
      </c>
      <c r="I114" s="432">
        <v>0.06803611887051653</v>
      </c>
      <c r="J114" s="432">
        <v>0.07405527996973915</v>
      </c>
    </row>
    <row r="115" spans="1:10" ht="12.75">
      <c r="A115" s="69" t="s">
        <v>89</v>
      </c>
      <c r="B115" s="129">
        <f t="shared" si="12"/>
        <v>1858065692.4192204</v>
      </c>
      <c r="C115" s="129">
        <f t="shared" si="12"/>
        <v>1950416579.6253247</v>
      </c>
      <c r="D115" s="129">
        <f t="shared" si="12"/>
        <v>2101045502.2896492</v>
      </c>
      <c r="E115" s="129">
        <f t="shared" si="13"/>
        <v>2194199467.0544734</v>
      </c>
      <c r="F115" s="238">
        <f t="shared" si="10"/>
        <v>2326813115.4792876</v>
      </c>
      <c r="G115" s="238">
        <f t="shared" si="11"/>
        <v>2545785691.0896454</v>
      </c>
      <c r="I115" s="432">
        <v>0.06043828303487686</v>
      </c>
      <c r="J115" s="432">
        <v>0.09410836399091416</v>
      </c>
    </row>
    <row r="116" spans="1:10" ht="12.75">
      <c r="A116" s="69" t="s">
        <v>90</v>
      </c>
      <c r="B116" s="129">
        <f t="shared" si="12"/>
        <v>1777701.7455877254</v>
      </c>
      <c r="C116" s="129">
        <f t="shared" si="12"/>
        <v>1332861.988239427</v>
      </c>
      <c r="D116" s="129">
        <f t="shared" si="12"/>
        <v>1492994.3369436718</v>
      </c>
      <c r="E116" s="129">
        <f t="shared" si="13"/>
        <v>1163288.8406399346</v>
      </c>
      <c r="F116" s="238">
        <f t="shared" si="10"/>
        <v>1290017.661636491</v>
      </c>
      <c r="G116" s="238">
        <f t="shared" si="11"/>
        <v>1298684.3145042837</v>
      </c>
      <c r="I116" s="432">
        <v>0.10894011579002338</v>
      </c>
      <c r="J116" s="432">
        <v>0.006718243575671856</v>
      </c>
    </row>
    <row r="117" spans="1:10" ht="12.75">
      <c r="A117" s="69" t="s">
        <v>91</v>
      </c>
      <c r="B117" s="129">
        <f t="shared" si="12"/>
        <v>3503369</v>
      </c>
      <c r="C117" s="129">
        <f t="shared" si="12"/>
        <v>3919053</v>
      </c>
      <c r="D117" s="129">
        <f t="shared" si="12"/>
        <v>5809164</v>
      </c>
      <c r="E117" s="129">
        <f t="shared" si="13"/>
        <v>6922469.950918419</v>
      </c>
      <c r="F117" s="238">
        <f t="shared" si="10"/>
        <v>7903275.926566677</v>
      </c>
      <c r="G117" s="238">
        <f t="shared" si="11"/>
        <v>8689291.154116714</v>
      </c>
      <c r="I117" s="432">
        <v>0.14168439626352325</v>
      </c>
      <c r="J117" s="432">
        <v>0.09945435726315277</v>
      </c>
    </row>
    <row r="118" spans="1:10" ht="12.75">
      <c r="A118" s="69" t="s">
        <v>92</v>
      </c>
      <c r="B118" s="129">
        <f t="shared" si="12"/>
        <v>14500057.968129471</v>
      </c>
      <c r="C118" s="129">
        <f t="shared" si="12"/>
        <v>16346059.055436015</v>
      </c>
      <c r="D118" s="129">
        <f t="shared" si="12"/>
        <v>18360374.067369048</v>
      </c>
      <c r="E118" s="129">
        <f t="shared" si="13"/>
        <v>19798161.713227168</v>
      </c>
      <c r="F118" s="238">
        <f t="shared" si="10"/>
        <v>19762231.13609097</v>
      </c>
      <c r="G118" s="238">
        <f t="shared" si="11"/>
        <v>22343636.646768343</v>
      </c>
      <c r="I118" s="432">
        <v>-0.0018148441080866329</v>
      </c>
      <c r="J118" s="432">
        <v>0.13062318181083588</v>
      </c>
    </row>
    <row r="119" spans="1:10" ht="12.75">
      <c r="A119" s="69" t="s">
        <v>75</v>
      </c>
      <c r="B119" s="129">
        <f t="shared" si="12"/>
        <v>85430301.5566924</v>
      </c>
      <c r="C119" s="129">
        <f t="shared" si="12"/>
        <v>104597479.56328365</v>
      </c>
      <c r="D119" s="129">
        <f t="shared" si="12"/>
        <v>116203684.29835314</v>
      </c>
      <c r="E119" s="129">
        <f t="shared" si="13"/>
        <v>122857054.06836975</v>
      </c>
      <c r="F119" s="238">
        <f t="shared" si="10"/>
        <v>138437994.25459903</v>
      </c>
      <c r="G119" s="238">
        <f t="shared" si="11"/>
        <v>165400398.33288616</v>
      </c>
      <c r="I119" s="432">
        <v>0.12682169782093689</v>
      </c>
      <c r="J119" s="432">
        <v>0.19476159145083405</v>
      </c>
    </row>
    <row r="120" spans="1:10" ht="12.75">
      <c r="A120" s="69" t="s">
        <v>93</v>
      </c>
      <c r="B120" s="129">
        <f t="shared" si="12"/>
        <v>4268563.179876061</v>
      </c>
      <c r="C120" s="129">
        <f t="shared" si="12"/>
        <v>4611424.623534307</v>
      </c>
      <c r="D120" s="129">
        <f t="shared" si="12"/>
        <v>3978313.9481517747</v>
      </c>
      <c r="E120" s="129">
        <f t="shared" si="13"/>
        <v>4451011.319411439</v>
      </c>
      <c r="F120" s="238">
        <f t="shared" si="10"/>
        <v>4465349.3924904</v>
      </c>
      <c r="G120" s="238">
        <f t="shared" si="11"/>
        <v>4703651.776312919</v>
      </c>
      <c r="I120" s="432">
        <v>0.0032213068109780973</v>
      </c>
      <c r="J120" s="432">
        <v>0.05336701854132264</v>
      </c>
    </row>
    <row r="121" spans="1:10" ht="12.75">
      <c r="A121" s="69" t="s">
        <v>74</v>
      </c>
      <c r="B121" s="129">
        <f t="shared" si="12"/>
        <v>61179447.07367699</v>
      </c>
      <c r="C121" s="129">
        <f t="shared" si="12"/>
        <v>61635800.48074281</v>
      </c>
      <c r="D121" s="129">
        <f t="shared" si="12"/>
        <v>61927888.72044917</v>
      </c>
      <c r="E121" s="129">
        <f t="shared" si="13"/>
        <v>64408466.98495197</v>
      </c>
      <c r="F121" s="238">
        <f t="shared" si="10"/>
        <v>73527878.04200958</v>
      </c>
      <c r="G121" s="238">
        <f t="shared" si="11"/>
        <v>81870182.97862661</v>
      </c>
      <c r="I121" s="432">
        <v>0.14158714659655236</v>
      </c>
      <c r="J121" s="432">
        <v>0.11345771371031166</v>
      </c>
    </row>
    <row r="122" spans="1:10" ht="13.5" thickBot="1">
      <c r="A122" s="239" t="s">
        <v>82</v>
      </c>
      <c r="B122" s="240">
        <f t="shared" si="12"/>
        <v>200156989.8912761</v>
      </c>
      <c r="C122" s="240">
        <f t="shared" si="12"/>
        <v>268473062.7534974</v>
      </c>
      <c r="D122" s="240">
        <f t="shared" si="12"/>
        <v>299175543.3996735</v>
      </c>
      <c r="E122" s="240">
        <f t="shared" si="13"/>
        <v>325948798.6075294</v>
      </c>
      <c r="F122" s="241">
        <f t="shared" si="10"/>
        <v>354645583.7234717</v>
      </c>
      <c r="G122" s="241">
        <f t="shared" si="11"/>
        <v>394645056.6631965</v>
      </c>
      <c r="I122" s="432">
        <v>0.08804077584742287</v>
      </c>
      <c r="J122" s="432">
        <v>0.1127871733795891</v>
      </c>
    </row>
    <row r="123" spans="1:10" ht="13.5" thickTop="1">
      <c r="A123" s="69" t="s">
        <v>81</v>
      </c>
      <c r="B123" s="129">
        <f t="shared" si="12"/>
        <v>30402692</v>
      </c>
      <c r="C123" s="129">
        <f t="shared" si="12"/>
        <v>31664243</v>
      </c>
      <c r="D123" s="129">
        <f t="shared" si="12"/>
        <v>38868770</v>
      </c>
      <c r="E123" s="129">
        <f t="shared" si="13"/>
        <v>38048147</v>
      </c>
      <c r="F123" s="238">
        <f t="shared" si="10"/>
        <v>37244849.53173484</v>
      </c>
      <c r="G123" s="238">
        <f t="shared" si="11"/>
        <v>36458511.80719967</v>
      </c>
      <c r="I123" s="432">
        <v>-0.021112656767888316</v>
      </c>
      <c r="J123" s="432">
        <v>-0.021112656767888427</v>
      </c>
    </row>
    <row r="124" spans="1:10" ht="12.75">
      <c r="A124" s="69" t="s">
        <v>94</v>
      </c>
      <c r="B124" s="129">
        <f t="shared" si="12"/>
        <v>12260405</v>
      </c>
      <c r="C124" s="129">
        <f t="shared" si="12"/>
        <v>19908325</v>
      </c>
      <c r="D124" s="129">
        <f t="shared" si="12"/>
        <v>28492914</v>
      </c>
      <c r="E124" s="129">
        <f t="shared" si="13"/>
        <v>62815797</v>
      </c>
      <c r="F124" s="238">
        <f t="shared" si="10"/>
        <v>113691133.44699834</v>
      </c>
      <c r="G124" s="238">
        <f t="shared" si="11"/>
        <v>67667463.2647437</v>
      </c>
      <c r="I124" s="432">
        <v>0.8099130931507299</v>
      </c>
      <c r="J124" s="432">
        <v>-0.40481318803731003</v>
      </c>
    </row>
    <row r="125" spans="1:10" ht="12.75">
      <c r="A125" s="69" t="s">
        <v>80</v>
      </c>
      <c r="B125" s="129">
        <f t="shared" si="12"/>
        <v>3732653</v>
      </c>
      <c r="C125" s="129">
        <f t="shared" si="12"/>
        <v>4239858</v>
      </c>
      <c r="D125" s="129">
        <f t="shared" si="12"/>
        <v>4634635</v>
      </c>
      <c r="E125" s="129">
        <f t="shared" si="13"/>
        <v>4391186.717327425</v>
      </c>
      <c r="F125" s="238">
        <f t="shared" si="10"/>
        <v>4735716.722877084</v>
      </c>
      <c r="G125" s="238">
        <f t="shared" si="11"/>
        <v>5196212.794852079</v>
      </c>
      <c r="I125" s="432">
        <v>0.0784594297004404</v>
      </c>
      <c r="J125" s="432">
        <v>0.09723893951478368</v>
      </c>
    </row>
  </sheetData>
  <mergeCells count="1">
    <mergeCell ref="I110:J110"/>
  </mergeCells>
  <printOptions/>
  <pageMargins left="0.75" right="0.75" top="1" bottom="1" header="0.5" footer="0.5"/>
  <pageSetup horizontalDpi="600" verticalDpi="600" orientation="landscape" scale="78" r:id="rId3"/>
  <rowBreaks count="2" manualBreakCount="2">
    <brk id="43" max="9" man="1"/>
    <brk id="77" max="9" man="1"/>
  </rowBreaks>
  <legacyDrawing r:id="rId2"/>
</worksheet>
</file>

<file path=xl/worksheets/sheet7.xml><?xml version="1.0" encoding="utf-8"?>
<worksheet xmlns="http://schemas.openxmlformats.org/spreadsheetml/2006/main" xmlns:r="http://schemas.openxmlformats.org/officeDocument/2006/relationships">
  <dimension ref="A1:J97"/>
  <sheetViews>
    <sheetView workbookViewId="0" topLeftCell="A1">
      <selection activeCell="A1" sqref="A1"/>
    </sheetView>
  </sheetViews>
  <sheetFormatPr defaultColWidth="9.140625" defaultRowHeight="12.75"/>
  <cols>
    <col min="1" max="1" width="10.421875" style="0" customWidth="1"/>
    <col min="2" max="2" width="14.421875" style="0" customWidth="1"/>
    <col min="3" max="3" width="15.140625" style="0" bestFit="1" customWidth="1"/>
    <col min="4" max="4" width="15.421875" style="0" bestFit="1" customWidth="1"/>
    <col min="5" max="5" width="2.28125" style="0" customWidth="1"/>
    <col min="6" max="6" width="14.421875" style="0" customWidth="1"/>
    <col min="7" max="7" width="38.57421875" style="0" customWidth="1"/>
    <col min="8" max="8" width="2.421875" style="0" customWidth="1"/>
    <col min="9" max="9" width="13.8515625" style="0" customWidth="1"/>
    <col min="10" max="10" width="22.00390625" style="0" customWidth="1"/>
  </cols>
  <sheetData>
    <row r="1" ht="18">
      <c r="A1" s="299" t="s">
        <v>241</v>
      </c>
    </row>
    <row r="3" spans="1:10" ht="13.5" thickBot="1">
      <c r="A3" s="182" t="s">
        <v>133</v>
      </c>
      <c r="B3" s="183"/>
      <c r="C3" s="183"/>
      <c r="D3" s="183"/>
      <c r="F3" s="182" t="s">
        <v>119</v>
      </c>
      <c r="G3" s="183"/>
      <c r="I3" s="182" t="s">
        <v>74</v>
      </c>
      <c r="J3" s="183"/>
    </row>
    <row r="4" spans="1:10" s="174" customFormat="1" ht="25.5" customHeight="1">
      <c r="A4" s="445" t="s">
        <v>134</v>
      </c>
      <c r="B4" s="446"/>
      <c r="C4" s="446"/>
      <c r="D4" s="447"/>
      <c r="F4" s="448" t="s">
        <v>137</v>
      </c>
      <c r="G4" s="449"/>
      <c r="I4" s="450"/>
      <c r="J4" s="451"/>
    </row>
    <row r="5" spans="1:10" s="174" customFormat="1" ht="6" customHeight="1">
      <c r="A5" s="184"/>
      <c r="B5" s="185"/>
      <c r="C5" s="185"/>
      <c r="D5" s="186"/>
      <c r="F5" s="187"/>
      <c r="G5" s="186"/>
      <c r="I5" s="188"/>
      <c r="J5" s="186"/>
    </row>
    <row r="6" spans="1:10" s="189" customFormat="1" ht="41.25" customHeight="1">
      <c r="A6" s="443" t="s">
        <v>135</v>
      </c>
      <c r="B6" s="452"/>
      <c r="C6" s="452"/>
      <c r="D6" s="444"/>
      <c r="F6" s="443" t="s">
        <v>260</v>
      </c>
      <c r="G6" s="444"/>
      <c r="I6" s="443"/>
      <c r="J6" s="444"/>
    </row>
    <row r="7" spans="1:10" ht="5.25" customHeight="1">
      <c r="A7" s="190"/>
      <c r="B7" s="168"/>
      <c r="C7" s="168"/>
      <c r="D7" s="191"/>
      <c r="F7" s="192"/>
      <c r="G7" s="191"/>
      <c r="I7" s="192"/>
      <c r="J7" s="191"/>
    </row>
    <row r="8" spans="1:10" ht="12.75" customHeight="1">
      <c r="A8" s="193" t="s">
        <v>191</v>
      </c>
      <c r="B8" s="168"/>
      <c r="C8" s="168"/>
      <c r="D8" s="191"/>
      <c r="F8" s="193" t="s">
        <v>191</v>
      </c>
      <c r="G8" s="191"/>
      <c r="I8" s="194"/>
      <c r="J8" s="191"/>
    </row>
    <row r="9" spans="1:10" ht="12.75">
      <c r="A9" s="190"/>
      <c r="D9" s="191"/>
      <c r="F9" s="196" t="s">
        <v>132</v>
      </c>
      <c r="G9" s="191"/>
      <c r="I9" s="197"/>
      <c r="J9" s="191"/>
    </row>
    <row r="10" spans="1:10" ht="12.75">
      <c r="A10" s="193"/>
      <c r="B10" s="195" t="s">
        <v>132</v>
      </c>
      <c r="C10" s="195" t="s">
        <v>82</v>
      </c>
      <c r="D10" s="191"/>
      <c r="F10" s="198"/>
      <c r="G10" s="191"/>
      <c r="I10" s="196"/>
      <c r="J10" s="191"/>
    </row>
    <row r="11" spans="1:10" ht="12.75">
      <c r="A11" s="193" t="s">
        <v>114</v>
      </c>
      <c r="B11" s="421">
        <v>116773.71059244762</v>
      </c>
      <c r="C11" s="421">
        <v>55784.9967</v>
      </c>
      <c r="D11" s="199"/>
      <c r="E11" s="142"/>
      <c r="F11" s="423">
        <v>99196.63270394885</v>
      </c>
      <c r="G11" s="191"/>
      <c r="I11" s="200"/>
      <c r="J11" s="191"/>
    </row>
    <row r="12" spans="1:10" ht="12.75">
      <c r="A12" s="193" t="s">
        <v>116</v>
      </c>
      <c r="B12" s="421">
        <v>108606.05019118759</v>
      </c>
      <c r="C12" s="421">
        <v>61455.63478231304</v>
      </c>
      <c r="D12" s="199"/>
      <c r="E12" s="142"/>
      <c r="F12" s="423">
        <v>106347.25367957272</v>
      </c>
      <c r="G12" s="191"/>
      <c r="I12" s="200"/>
      <c r="J12" s="191"/>
    </row>
    <row r="13" spans="1:10" ht="12.75">
      <c r="A13" s="193" t="s">
        <v>117</v>
      </c>
      <c r="B13" s="421">
        <v>118467.86054537627</v>
      </c>
      <c r="C13" s="421">
        <v>70598.04943020774</v>
      </c>
      <c r="D13" s="199"/>
      <c r="E13" s="142"/>
      <c r="F13" s="423">
        <v>116003.95738650709</v>
      </c>
      <c r="G13" s="191"/>
      <c r="I13" s="200"/>
      <c r="J13" s="191"/>
    </row>
    <row r="14" spans="1:10" ht="12.75">
      <c r="A14" s="201"/>
      <c r="B14" s="361"/>
      <c r="C14" s="361"/>
      <c r="D14" s="199"/>
      <c r="E14" s="142"/>
      <c r="F14" s="424"/>
      <c r="G14" s="191"/>
      <c r="I14" s="192"/>
      <c r="J14" s="191"/>
    </row>
    <row r="15" spans="1:10" ht="12.75">
      <c r="A15" s="193" t="s">
        <v>0</v>
      </c>
      <c r="B15" s="361"/>
      <c r="C15" s="361"/>
      <c r="D15" s="199"/>
      <c r="E15" s="142"/>
      <c r="F15" s="425" t="s">
        <v>0</v>
      </c>
      <c r="G15" s="191"/>
      <c r="I15" s="194" t="s">
        <v>1</v>
      </c>
      <c r="J15" s="191"/>
    </row>
    <row r="16" spans="1:10" ht="12.75">
      <c r="A16" s="193"/>
      <c r="B16" s="422" t="s">
        <v>132</v>
      </c>
      <c r="C16" s="422" t="s">
        <v>82</v>
      </c>
      <c r="D16" s="199"/>
      <c r="E16" s="142"/>
      <c r="F16" s="198" t="s">
        <v>132</v>
      </c>
      <c r="G16" s="191"/>
      <c r="I16" s="197"/>
      <c r="J16" s="191"/>
    </row>
    <row r="17" spans="1:10" ht="12.75">
      <c r="A17" s="193" t="s">
        <v>114</v>
      </c>
      <c r="B17" s="203">
        <v>374.3316212380417</v>
      </c>
      <c r="C17" s="203">
        <v>277.4406521219527</v>
      </c>
      <c r="D17" s="199"/>
      <c r="E17" s="142"/>
      <c r="F17" s="426">
        <v>374.3316212380417</v>
      </c>
      <c r="G17" s="191"/>
      <c r="I17" s="200"/>
      <c r="J17" s="191"/>
    </row>
    <row r="18" spans="1:10" ht="12.75">
      <c r="A18" s="193" t="s">
        <v>116</v>
      </c>
      <c r="B18" s="203">
        <v>379.3255656230319</v>
      </c>
      <c r="C18" s="203">
        <v>279.12064730830394</v>
      </c>
      <c r="D18" s="199"/>
      <c r="E18" s="142"/>
      <c r="F18" s="426">
        <v>379.3255656230319</v>
      </c>
      <c r="G18" s="191"/>
      <c r="I18" s="200"/>
      <c r="J18" s="191"/>
    </row>
    <row r="19" spans="1:10" ht="12.75">
      <c r="A19" s="193" t="s">
        <v>117</v>
      </c>
      <c r="B19" s="203">
        <v>407.00249075553495</v>
      </c>
      <c r="C19" s="203">
        <v>295.2909498623179</v>
      </c>
      <c r="D19" s="199"/>
      <c r="E19" s="142"/>
      <c r="F19" s="426">
        <v>407.00249075553495</v>
      </c>
      <c r="G19" s="191"/>
      <c r="I19" s="200"/>
      <c r="J19" s="191"/>
    </row>
    <row r="20" spans="1:10" ht="12.75">
      <c r="A20" s="201"/>
      <c r="B20" s="361"/>
      <c r="C20" s="361"/>
      <c r="D20" s="199"/>
      <c r="E20" s="142"/>
      <c r="F20" s="424"/>
      <c r="G20" s="191"/>
      <c r="I20" s="192"/>
      <c r="J20" s="191"/>
    </row>
    <row r="21" spans="1:10" ht="12.75">
      <c r="A21" s="193" t="s">
        <v>2</v>
      </c>
      <c r="B21" s="202"/>
      <c r="C21" s="202"/>
      <c r="D21" s="199"/>
      <c r="E21" s="142"/>
      <c r="F21" s="193" t="s">
        <v>2</v>
      </c>
      <c r="G21" s="191"/>
      <c r="I21" s="193" t="s">
        <v>2</v>
      </c>
      <c r="J21" s="191"/>
    </row>
    <row r="22" spans="1:10" ht="12.75">
      <c r="A22" s="193"/>
      <c r="B22" s="195" t="s">
        <v>132</v>
      </c>
      <c r="C22" s="195" t="s">
        <v>82</v>
      </c>
      <c r="D22" s="204" t="s">
        <v>10</v>
      </c>
      <c r="E22" s="142"/>
      <c r="F22" s="196" t="s">
        <v>132</v>
      </c>
      <c r="G22" s="191"/>
      <c r="I22" s="205" t="s">
        <v>74</v>
      </c>
      <c r="J22" s="191"/>
    </row>
    <row r="23" spans="1:10" ht="12.75">
      <c r="A23" s="193" t="s">
        <v>114</v>
      </c>
      <c r="B23" s="206">
        <f aca="true" t="shared" si="0" ref="B23:C25">B11*B17</f>
        <v>43712092.4040528</v>
      </c>
      <c r="C23" s="206">
        <f t="shared" si="0"/>
        <v>15477025.863068981</v>
      </c>
      <c r="D23" s="207">
        <f>SUM(B23:C23)</f>
        <v>59189118.267121784</v>
      </c>
      <c r="E23" s="142"/>
      <c r="F23" s="208">
        <f>F11*F17</f>
        <v>37132436.34142372</v>
      </c>
      <c r="G23" s="191"/>
      <c r="I23" s="209">
        <f>'CH Demonstration'!D38</f>
        <v>64408466.98495197</v>
      </c>
      <c r="J23" s="191"/>
    </row>
    <row r="24" spans="1:10" ht="12.75">
      <c r="A24" s="193" t="s">
        <v>116</v>
      </c>
      <c r="B24" s="206">
        <f t="shared" si="0"/>
        <v>41197051.41885562</v>
      </c>
      <c r="C24" s="206">
        <f t="shared" si="0"/>
        <v>17153536.561181936</v>
      </c>
      <c r="D24" s="207">
        <f>SUM(B24:C24)</f>
        <v>58350587.980037555</v>
      </c>
      <c r="E24" s="142"/>
      <c r="F24" s="208">
        <f>F12*F18</f>
        <v>40340232.15445998</v>
      </c>
      <c r="G24" s="191"/>
      <c r="I24" s="209">
        <f>'CH Demonstration'!D39</f>
        <v>73527878.04200958</v>
      </c>
      <c r="J24" s="191"/>
    </row>
    <row r="25" spans="1:10" ht="12.75">
      <c r="A25" s="193" t="s">
        <v>117</v>
      </c>
      <c r="B25" s="206">
        <f t="shared" si="0"/>
        <v>48216714.31644751</v>
      </c>
      <c r="C25" s="206">
        <f t="shared" si="0"/>
        <v>20846965.074672915</v>
      </c>
      <c r="D25" s="210">
        <f>SUM(B25:C25)</f>
        <v>69063679.39112043</v>
      </c>
      <c r="E25" s="142"/>
      <c r="F25" s="208">
        <f>F13*F19</f>
        <v>47213899.59380732</v>
      </c>
      <c r="G25" s="191"/>
      <c r="I25" s="209">
        <f>'CH Demonstration'!D40</f>
        <v>81870182.97862661</v>
      </c>
      <c r="J25" s="191"/>
    </row>
    <row r="26" spans="1:10" ht="13.5" thickBot="1">
      <c r="A26" s="211"/>
      <c r="B26" s="212"/>
      <c r="C26" s="212"/>
      <c r="D26" s="213">
        <f>D23+D24+D25</f>
        <v>186603385.63827977</v>
      </c>
      <c r="E26" s="142"/>
      <c r="F26" s="214">
        <f>SUM(F23:F25)</f>
        <v>124686568.08969101</v>
      </c>
      <c r="G26" s="215"/>
      <c r="I26" s="214">
        <f>SUM(I23:I25)</f>
        <v>219806528.00558817</v>
      </c>
      <c r="J26" s="215"/>
    </row>
    <row r="27" spans="1:6" ht="13.5" thickBot="1">
      <c r="A27" s="142"/>
      <c r="B27" s="142"/>
      <c r="C27" s="142"/>
      <c r="D27" s="142"/>
      <c r="E27" s="142"/>
      <c r="F27" s="142"/>
    </row>
    <row r="28" spans="1:10" ht="12.75">
      <c r="A28" s="216" t="s">
        <v>3</v>
      </c>
      <c r="B28" s="217"/>
      <c r="C28" s="218">
        <v>0.0695</v>
      </c>
      <c r="D28" s="219" t="s">
        <v>4</v>
      </c>
      <c r="E28" s="142"/>
      <c r="F28" s="216" t="s">
        <v>3</v>
      </c>
      <c r="G28" s="220"/>
      <c r="I28" s="216" t="s">
        <v>3</v>
      </c>
      <c r="J28" s="220"/>
    </row>
    <row r="29" spans="1:10" ht="12.75">
      <c r="A29" s="190"/>
      <c r="B29" s="195" t="s">
        <v>132</v>
      </c>
      <c r="C29" s="195" t="s">
        <v>82</v>
      </c>
      <c r="D29" s="199"/>
      <c r="E29" s="142"/>
      <c r="F29" s="201"/>
      <c r="G29" s="191"/>
      <c r="I29" s="201"/>
      <c r="J29" s="191"/>
    </row>
    <row r="30" spans="1:10" ht="12.75">
      <c r="A30" s="193" t="s">
        <v>114</v>
      </c>
      <c r="B30" s="203">
        <f>B17</f>
        <v>374.3316212380417</v>
      </c>
      <c r="C30" s="203">
        <f>C17</f>
        <v>277.4406521219527</v>
      </c>
      <c r="D30" s="199"/>
      <c r="E30" s="142"/>
      <c r="F30" s="221">
        <f>F17</f>
        <v>374.3316212380417</v>
      </c>
      <c r="G30" s="191"/>
      <c r="I30" s="194" t="s">
        <v>1</v>
      </c>
      <c r="J30" s="191"/>
    </row>
    <row r="31" spans="1:10" ht="12.75">
      <c r="A31" s="193" t="s">
        <v>116</v>
      </c>
      <c r="B31" s="203">
        <f>B30*(1+$C$28)</f>
        <v>400.34766891408566</v>
      </c>
      <c r="C31" s="203">
        <f>C30*(1+$C$28)</f>
        <v>296.72277744442846</v>
      </c>
      <c r="D31" s="199"/>
      <c r="E31" s="142"/>
      <c r="F31" s="221">
        <f>F30*(1+$C$28)</f>
        <v>400.34766891408566</v>
      </c>
      <c r="G31" s="191"/>
      <c r="I31" s="221"/>
      <c r="J31" s="191"/>
    </row>
    <row r="32" spans="1:10" ht="12.75">
      <c r="A32" s="193" t="s">
        <v>117</v>
      </c>
      <c r="B32" s="203">
        <f>B31*(1+$C$28)</f>
        <v>428.17183190361465</v>
      </c>
      <c r="C32" s="203">
        <f>C31*(1+$C$28)</f>
        <v>317.3450104768163</v>
      </c>
      <c r="D32" s="199"/>
      <c r="E32" s="142"/>
      <c r="F32" s="221">
        <f>F31*(1+$C$28)</f>
        <v>428.17183190361465</v>
      </c>
      <c r="G32" s="191"/>
      <c r="I32" s="221"/>
      <c r="J32" s="191"/>
    </row>
    <row r="33" spans="1:10" ht="12.75">
      <c r="A33" s="201"/>
      <c r="B33" s="202"/>
      <c r="C33" s="202"/>
      <c r="D33" s="199"/>
      <c r="E33" s="142"/>
      <c r="F33" s="201"/>
      <c r="G33" s="191"/>
      <c r="I33" s="201"/>
      <c r="J33" s="191"/>
    </row>
    <row r="34" spans="1:10" ht="12.75">
      <c r="A34" s="193" t="s">
        <v>5</v>
      </c>
      <c r="B34" s="202"/>
      <c r="C34" s="202"/>
      <c r="D34" s="199"/>
      <c r="E34" s="142"/>
      <c r="F34" s="193" t="s">
        <v>5</v>
      </c>
      <c r="G34" s="191"/>
      <c r="I34" s="193" t="s">
        <v>136</v>
      </c>
      <c r="J34" s="191"/>
    </row>
    <row r="35" spans="1:10" ht="12.75">
      <c r="A35" s="190"/>
      <c r="B35" s="195" t="s">
        <v>132</v>
      </c>
      <c r="C35" s="195" t="s">
        <v>82</v>
      </c>
      <c r="D35" s="204" t="s">
        <v>10</v>
      </c>
      <c r="E35" s="142"/>
      <c r="F35" s="201"/>
      <c r="G35" s="191"/>
      <c r="I35" s="201"/>
      <c r="J35" s="191"/>
    </row>
    <row r="36" spans="1:10" ht="12.75">
      <c r="A36" s="193" t="s">
        <v>114</v>
      </c>
      <c r="B36" s="206">
        <f aca="true" t="shared" si="1" ref="B36:C38">B30*B11</f>
        <v>43712092.4040528</v>
      </c>
      <c r="C36" s="206">
        <f t="shared" si="1"/>
        <v>15477025.863068981</v>
      </c>
      <c r="D36" s="207">
        <f>SUM(B36:C36)</f>
        <v>59189118.267121784</v>
      </c>
      <c r="E36" s="142"/>
      <c r="F36" s="208">
        <f>F30*F11</f>
        <v>37132436.34142372</v>
      </c>
      <c r="G36" s="191"/>
      <c r="I36" s="208">
        <f>'CH Demonstration'!D29</f>
        <v>76517285.9781279</v>
      </c>
      <c r="J36" s="191"/>
    </row>
    <row r="37" spans="1:10" ht="12.75">
      <c r="A37" s="193" t="s">
        <v>116</v>
      </c>
      <c r="B37" s="206">
        <f t="shared" si="1"/>
        <v>43480179.02400814</v>
      </c>
      <c r="C37" s="206">
        <f t="shared" si="1"/>
        <v>18235286.642218348</v>
      </c>
      <c r="D37" s="207">
        <f>SUM(B37:C37)</f>
        <v>61715465.66622649</v>
      </c>
      <c r="E37" s="142"/>
      <c r="F37" s="208">
        <f>F31*F12</f>
        <v>42575875.10603186</v>
      </c>
      <c r="G37" s="191"/>
      <c r="I37" s="208">
        <f>'CH Demonstration'!D30</f>
        <v>86296146.918764</v>
      </c>
      <c r="J37" s="191"/>
    </row>
    <row r="38" spans="1:10" ht="12.75">
      <c r="A38" s="193" t="s">
        <v>117</v>
      </c>
      <c r="B38" s="206">
        <f t="shared" si="1"/>
        <v>50724600.87141571</v>
      </c>
      <c r="C38" s="206">
        <f t="shared" si="1"/>
        <v>22403938.73607207</v>
      </c>
      <c r="D38" s="210">
        <f>SUM(B38:C38)</f>
        <v>73128539.60748778</v>
      </c>
      <c r="E38" s="142"/>
      <c r="F38" s="208">
        <f>F32*F13</f>
        <v>49669626.94224959</v>
      </c>
      <c r="G38" s="191"/>
      <c r="I38" s="208">
        <f>'CH Demonstration'!D31</f>
        <v>97003541.14337948</v>
      </c>
      <c r="J38" s="191"/>
    </row>
    <row r="39" spans="1:10" ht="13.5" thickBot="1">
      <c r="A39" s="211"/>
      <c r="B39" s="212"/>
      <c r="C39" s="212"/>
      <c r="D39" s="213">
        <f>D36+D37+D38</f>
        <v>194033123.54083604</v>
      </c>
      <c r="E39" s="142"/>
      <c r="F39" s="211"/>
      <c r="G39" s="215"/>
      <c r="I39" s="211"/>
      <c r="J39" s="215"/>
    </row>
    <row r="40" spans="1:9" ht="13.5" thickBot="1">
      <c r="A40" s="142"/>
      <c r="C40" s="142"/>
      <c r="D40" s="142"/>
      <c r="E40" s="142"/>
      <c r="F40" s="142"/>
      <c r="I40" s="142"/>
    </row>
    <row r="41" spans="1:10" ht="12.75">
      <c r="A41" s="382" t="s">
        <v>6</v>
      </c>
      <c r="B41" s="383"/>
      <c r="C41" s="383"/>
      <c r="D41" s="384"/>
      <c r="E41" s="142"/>
      <c r="F41" s="382" t="s">
        <v>6</v>
      </c>
      <c r="G41" s="395"/>
      <c r="I41" s="382" t="s">
        <v>6</v>
      </c>
      <c r="J41" s="395"/>
    </row>
    <row r="42" spans="1:10" ht="12.75">
      <c r="A42" s="385"/>
      <c r="B42" s="386" t="s">
        <v>132</v>
      </c>
      <c r="C42" s="386" t="s">
        <v>82</v>
      </c>
      <c r="D42" s="387" t="s">
        <v>10</v>
      </c>
      <c r="E42" s="142"/>
      <c r="F42" s="396"/>
      <c r="G42" s="397"/>
      <c r="I42" s="396"/>
      <c r="J42" s="397"/>
    </row>
    <row r="43" spans="1:10" ht="12.75">
      <c r="A43" s="388" t="s">
        <v>114</v>
      </c>
      <c r="B43" s="389">
        <f aca="true" t="shared" si="2" ref="B43:C45">MIN(B36,B23)</f>
        <v>43712092.4040528</v>
      </c>
      <c r="C43" s="389">
        <f t="shared" si="2"/>
        <v>15477025.863068981</v>
      </c>
      <c r="D43" s="390">
        <f>SUM(B43:C43)</f>
        <v>59189118.267121784</v>
      </c>
      <c r="E43" s="142"/>
      <c r="F43" s="398">
        <f>MIN(F36,F23)</f>
        <v>37132436.34142372</v>
      </c>
      <c r="G43" s="397"/>
      <c r="I43" s="398">
        <f>MIN(I36,I23)</f>
        <v>64408466.98495197</v>
      </c>
      <c r="J43" s="397"/>
    </row>
    <row r="44" spans="1:10" ht="12.75">
      <c r="A44" s="388" t="s">
        <v>116</v>
      </c>
      <c r="B44" s="389">
        <f t="shared" si="2"/>
        <v>41197051.41885562</v>
      </c>
      <c r="C44" s="389">
        <f t="shared" si="2"/>
        <v>17153536.561181936</v>
      </c>
      <c r="D44" s="390">
        <f>SUM(B44:C44)</f>
        <v>58350587.980037555</v>
      </c>
      <c r="E44" s="142"/>
      <c r="F44" s="398">
        <f>MIN(F37,F24)</f>
        <v>40340232.15445998</v>
      </c>
      <c r="G44" s="397"/>
      <c r="I44" s="398">
        <f>MIN(I37,I24)</f>
        <v>73527878.04200958</v>
      </c>
      <c r="J44" s="397"/>
    </row>
    <row r="45" spans="1:10" ht="12.75">
      <c r="A45" s="388" t="s">
        <v>117</v>
      </c>
      <c r="B45" s="389">
        <f t="shared" si="2"/>
        <v>48216714.31644751</v>
      </c>
      <c r="C45" s="389">
        <f t="shared" si="2"/>
        <v>20846965.074672915</v>
      </c>
      <c r="D45" s="391">
        <f>SUM(B45:C45)</f>
        <v>69063679.39112043</v>
      </c>
      <c r="E45" s="142"/>
      <c r="F45" s="398">
        <f>MIN(F38,F25)</f>
        <v>47213899.59380732</v>
      </c>
      <c r="G45" s="397"/>
      <c r="I45" s="398">
        <f>MIN(I38,I25)</f>
        <v>81870182.97862661</v>
      </c>
      <c r="J45" s="397"/>
    </row>
    <row r="46" spans="1:10" ht="13.5" thickBot="1">
      <c r="A46" s="392"/>
      <c r="B46" s="393"/>
      <c r="C46" s="393"/>
      <c r="D46" s="394">
        <f>D43+D44+D45</f>
        <v>186603385.63827977</v>
      </c>
      <c r="E46" s="142"/>
      <c r="F46" s="399">
        <f>F43+F44+F45</f>
        <v>124686568.08969101</v>
      </c>
      <c r="G46" s="400"/>
      <c r="I46" s="399">
        <f>I43+I44+I45</f>
        <v>219806528.00558817</v>
      </c>
      <c r="J46" s="400"/>
    </row>
    <row r="47" spans="1:5" ht="12.75">
      <c r="A47" s="128"/>
      <c r="E47" s="142"/>
    </row>
    <row r="53" ht="12.75">
      <c r="A53" s="142"/>
    </row>
    <row r="54" ht="12.75">
      <c r="A54" s="142"/>
    </row>
    <row r="55" ht="12.75">
      <c r="A55" s="142"/>
    </row>
    <row r="56" ht="12.75">
      <c r="A56" s="142"/>
    </row>
    <row r="58" ht="12.75">
      <c r="A58" s="142"/>
    </row>
    <row r="59" ht="12.75">
      <c r="A59" s="142"/>
    </row>
    <row r="60" ht="12.75">
      <c r="A60" s="142"/>
    </row>
    <row r="61" ht="12.75">
      <c r="A61" s="142"/>
    </row>
    <row r="62" ht="12.75">
      <c r="A62" s="142"/>
    </row>
    <row r="63" spans="1:2" ht="12.75">
      <c r="A63" s="142"/>
      <c r="B63" s="117"/>
    </row>
    <row r="64" spans="1:2" ht="12.75">
      <c r="A64" s="142"/>
      <c r="B64" s="117"/>
    </row>
    <row r="65" spans="1:2" ht="12.75">
      <c r="A65" s="142"/>
      <c r="B65" s="117"/>
    </row>
    <row r="66" ht="12.75">
      <c r="A66" s="142"/>
    </row>
    <row r="67" ht="12.75">
      <c r="A67" s="142"/>
    </row>
    <row r="68" ht="12.75">
      <c r="A68" s="142"/>
    </row>
    <row r="69" ht="12.75">
      <c r="A69" s="142"/>
    </row>
    <row r="71" ht="12.75">
      <c r="A71" s="128"/>
    </row>
    <row r="74" ht="12.75">
      <c r="A74" s="142"/>
    </row>
    <row r="75" ht="12.75">
      <c r="A75" s="142"/>
    </row>
    <row r="76" spans="1:2" ht="12.75">
      <c r="A76" s="142"/>
      <c r="B76" s="122"/>
    </row>
    <row r="77" spans="1:2" ht="12.75">
      <c r="A77" s="142"/>
      <c r="B77" s="122"/>
    </row>
    <row r="78" spans="1:2" ht="12.75">
      <c r="A78" s="142"/>
      <c r="B78" s="122"/>
    </row>
    <row r="80" ht="12.75">
      <c r="A80" s="142"/>
    </row>
    <row r="81" ht="12.75">
      <c r="A81" s="142"/>
    </row>
    <row r="82" spans="1:2" ht="12.75">
      <c r="A82" s="142"/>
      <c r="B82" s="117"/>
    </row>
    <row r="83" spans="1:2" ht="12.75">
      <c r="A83" s="142"/>
      <c r="B83" s="117"/>
    </row>
    <row r="84" spans="1:2" ht="12.75">
      <c r="A84" s="142"/>
      <c r="B84" s="117"/>
    </row>
    <row r="85" spans="1:5" ht="12.75">
      <c r="A85" s="142"/>
      <c r="E85" s="121"/>
    </row>
    <row r="86" ht="12.75">
      <c r="A86" s="142"/>
    </row>
    <row r="87" ht="12.75">
      <c r="A87" s="142"/>
    </row>
    <row r="88" spans="1:4" ht="12.75">
      <c r="A88" s="142"/>
      <c r="B88" s="121"/>
      <c r="C88" s="121"/>
      <c r="D88" s="121"/>
    </row>
    <row r="89" spans="1:4" ht="12.75">
      <c r="A89" s="142"/>
      <c r="B89" s="121"/>
      <c r="C89" s="121"/>
      <c r="D89" s="121"/>
    </row>
    <row r="90" spans="1:4" ht="12.75">
      <c r="A90" s="142"/>
      <c r="B90" s="121"/>
      <c r="C90" s="121"/>
      <c r="D90" s="121"/>
    </row>
    <row r="91" ht="12.75">
      <c r="A91" s="142"/>
    </row>
    <row r="92" ht="12.75">
      <c r="A92" s="128"/>
    </row>
    <row r="94" ht="12.75">
      <c r="B94" s="121"/>
    </row>
    <row r="95" ht="12.75">
      <c r="B95" s="121"/>
    </row>
    <row r="96" ht="12.75">
      <c r="B96" s="121"/>
    </row>
    <row r="97" ht="12.75">
      <c r="B97" s="167"/>
    </row>
  </sheetData>
  <mergeCells count="6">
    <mergeCell ref="I6:J6"/>
    <mergeCell ref="A4:D4"/>
    <mergeCell ref="F4:G4"/>
    <mergeCell ref="I4:J4"/>
    <mergeCell ref="A6:D6"/>
    <mergeCell ref="F6:G6"/>
  </mergeCells>
  <printOptions/>
  <pageMargins left="0.75" right="0.75" top="1" bottom="1" header="0.5" footer="0.5"/>
  <pageSetup horizontalDpi="600" verticalDpi="600" orientation="landscape" scale="61" r:id="rId2"/>
  <drawing r:id="rId1"/>
</worksheet>
</file>

<file path=xl/worksheets/sheet8.xml><?xml version="1.0" encoding="utf-8"?>
<worksheet xmlns="http://schemas.openxmlformats.org/spreadsheetml/2006/main" xmlns:r="http://schemas.openxmlformats.org/officeDocument/2006/relationships">
  <sheetPr codeName="Sheet26"/>
  <dimension ref="A1:E41"/>
  <sheetViews>
    <sheetView workbookViewId="0" topLeftCell="A1">
      <selection activeCell="A1" sqref="A1"/>
    </sheetView>
  </sheetViews>
  <sheetFormatPr defaultColWidth="9.140625" defaultRowHeight="12.75"/>
  <cols>
    <col min="1" max="1" width="14.28125" style="0" customWidth="1"/>
    <col min="2" max="2" width="13.00390625" style="0" bestFit="1" customWidth="1"/>
    <col min="3" max="3" width="16.140625" style="0" customWidth="1"/>
    <col min="4" max="4" width="17.8515625" style="0" customWidth="1"/>
    <col min="5" max="5" width="17.00390625" style="0" customWidth="1"/>
    <col min="6" max="6" width="12.28125" style="0" bestFit="1" customWidth="1"/>
    <col min="8" max="8" width="11.8515625" style="0" bestFit="1" customWidth="1"/>
  </cols>
  <sheetData>
    <row r="1" ht="18">
      <c r="A1" s="299" t="s">
        <v>74</v>
      </c>
    </row>
    <row r="3" ht="12.75">
      <c r="A3" s="128" t="s">
        <v>138</v>
      </c>
    </row>
    <row r="13" ht="12.75">
      <c r="A13" s="128" t="s">
        <v>122</v>
      </c>
    </row>
    <row r="14" ht="12.75">
      <c r="A14" t="s">
        <v>123</v>
      </c>
    </row>
    <row r="15" ht="12.75">
      <c r="A15" t="s">
        <v>124</v>
      </c>
    </row>
    <row r="17" spans="1:2" ht="12.75">
      <c r="A17" s="119"/>
      <c r="B17" s="118" t="s">
        <v>110</v>
      </c>
    </row>
    <row r="18" spans="1:2" ht="12.75">
      <c r="A18" s="119" t="s">
        <v>120</v>
      </c>
      <c r="B18" s="126">
        <f>Actuals!G23</f>
        <v>61179447.07367699</v>
      </c>
    </row>
    <row r="19" spans="1:3" ht="12.75">
      <c r="A19" s="119" t="s">
        <v>125</v>
      </c>
      <c r="B19" s="164">
        <v>8730109.552635996</v>
      </c>
      <c r="C19" t="s">
        <v>126</v>
      </c>
    </row>
    <row r="20" spans="1:2" ht="12.75">
      <c r="A20" s="119" t="s">
        <v>127</v>
      </c>
      <c r="B20" s="126">
        <f>B18-B19</f>
        <v>52449337.52104099</v>
      </c>
    </row>
    <row r="21" spans="1:2" ht="12.75">
      <c r="A21" s="119" t="s">
        <v>115</v>
      </c>
      <c r="B21" s="177">
        <v>137818</v>
      </c>
    </row>
    <row r="22" spans="1:2" ht="12.75">
      <c r="A22" s="119" t="s">
        <v>111</v>
      </c>
      <c r="B22" s="120">
        <f>B20/B21</f>
        <v>380.56957379327076</v>
      </c>
    </row>
    <row r="23" ht="12.75">
      <c r="E23" s="162"/>
    </row>
    <row r="24" ht="12.75">
      <c r="A24" s="128" t="s">
        <v>128</v>
      </c>
    </row>
    <row r="25" spans="1:4" ht="25.5" customHeight="1">
      <c r="A25" s="119"/>
      <c r="B25" s="118" t="s">
        <v>111</v>
      </c>
      <c r="C25" s="223" t="s">
        <v>193</v>
      </c>
      <c r="D25" s="223" t="s">
        <v>129</v>
      </c>
    </row>
    <row r="26" spans="1:4" ht="12.75">
      <c r="A26" s="119" t="s">
        <v>110</v>
      </c>
      <c r="B26" s="127">
        <f>B22</f>
        <v>380.56957379327076</v>
      </c>
      <c r="C26" s="143">
        <v>137818</v>
      </c>
      <c r="D26" s="126">
        <f aca="true" t="shared" si="0" ref="D26:D31">B26*C26</f>
        <v>52449337.52104099</v>
      </c>
    </row>
    <row r="27" spans="1:4" ht="12.75">
      <c r="A27" s="119" t="s">
        <v>112</v>
      </c>
      <c r="B27" s="120">
        <f>B22*1.07</f>
        <v>407.20944395879974</v>
      </c>
      <c r="C27" s="177">
        <v>147218.4908</v>
      </c>
      <c r="D27" s="126">
        <f t="shared" si="0"/>
        <v>59948759.779121675</v>
      </c>
    </row>
    <row r="28" spans="1:4" ht="12.75">
      <c r="A28" s="119" t="s">
        <v>113</v>
      </c>
      <c r="B28" s="120">
        <f>B27*1.07</f>
        <v>435.71410503591574</v>
      </c>
      <c r="C28" s="177">
        <v>158048.2002</v>
      </c>
      <c r="D28" s="126">
        <f t="shared" si="0"/>
        <v>68863830.10268024</v>
      </c>
    </row>
    <row r="29" spans="1:4" ht="12.75">
      <c r="A29" s="119" t="s">
        <v>114</v>
      </c>
      <c r="B29" s="120">
        <f>B28*1.0686</f>
        <v>465.60409264137957</v>
      </c>
      <c r="C29" s="177">
        <v>164339.8054</v>
      </c>
      <c r="D29" s="126">
        <f t="shared" si="0"/>
        <v>76517285.9781279</v>
      </c>
    </row>
    <row r="30" spans="1:4" ht="12.75">
      <c r="A30" s="119" t="s">
        <v>116</v>
      </c>
      <c r="B30" s="120">
        <f>B29*1.0686</f>
        <v>497.5445333965782</v>
      </c>
      <c r="C30" s="177">
        <v>173444.06606107732</v>
      </c>
      <c r="D30" s="126">
        <f t="shared" si="0"/>
        <v>86296146.918764</v>
      </c>
    </row>
    <row r="31" spans="1:4" ht="12.75">
      <c r="A31" s="119" t="s">
        <v>117</v>
      </c>
      <c r="B31" s="120">
        <f>B30*1.0686</f>
        <v>531.6760883875835</v>
      </c>
      <c r="C31" s="177">
        <v>182448.56833332972</v>
      </c>
      <c r="D31" s="126">
        <f t="shared" si="0"/>
        <v>97003541.14337948</v>
      </c>
    </row>
    <row r="33" ht="12.75">
      <c r="A33" s="128" t="s">
        <v>130</v>
      </c>
    </row>
    <row r="34" spans="1:5" ht="25.5">
      <c r="A34" s="144"/>
      <c r="B34" s="144"/>
      <c r="C34" s="144"/>
      <c r="D34" s="223" t="s">
        <v>131</v>
      </c>
      <c r="E34" s="401" t="s">
        <v>7</v>
      </c>
    </row>
    <row r="35" spans="1:5" ht="12.75">
      <c r="A35" s="119" t="s">
        <v>110</v>
      </c>
      <c r="B35" s="119"/>
      <c r="C35" s="119"/>
      <c r="D35" s="145">
        <f>B20</f>
        <v>52449337.52104099</v>
      </c>
      <c r="E35" s="402">
        <f aca="true" t="shared" si="1" ref="E35:E40">MIN(D26,D35)</f>
        <v>52449337.52104099</v>
      </c>
    </row>
    <row r="36" spans="1:5" ht="12.75">
      <c r="A36" s="146" t="s">
        <v>112</v>
      </c>
      <c r="B36" s="146"/>
      <c r="C36" s="146"/>
      <c r="D36" s="126">
        <f>Actuals!H23</f>
        <v>61635800.48074281</v>
      </c>
      <c r="E36" s="402">
        <f t="shared" si="1"/>
        <v>59948759.779121675</v>
      </c>
    </row>
    <row r="37" spans="1:5" ht="12.75">
      <c r="A37" s="119" t="s">
        <v>113</v>
      </c>
      <c r="B37" s="119"/>
      <c r="C37" s="119"/>
      <c r="D37" s="126">
        <f>Actuals!I23</f>
        <v>61927888.72044917</v>
      </c>
      <c r="E37" s="402">
        <f t="shared" si="1"/>
        <v>61927888.72044917</v>
      </c>
    </row>
    <row r="38" spans="1:5" ht="12.75">
      <c r="A38" s="119" t="s">
        <v>114</v>
      </c>
      <c r="B38" s="119"/>
      <c r="C38" s="119"/>
      <c r="D38" s="126">
        <f>Actuals!J23</f>
        <v>64408466.98495197</v>
      </c>
      <c r="E38" s="402">
        <f t="shared" si="1"/>
        <v>64408466.98495197</v>
      </c>
    </row>
    <row r="39" spans="1:5" ht="12.75">
      <c r="A39" s="119" t="s">
        <v>116</v>
      </c>
      <c r="B39" s="119"/>
      <c r="C39" s="119"/>
      <c r="D39" s="126">
        <f>Actuals!K23</f>
        <v>73527878.04200958</v>
      </c>
      <c r="E39" s="402">
        <f t="shared" si="1"/>
        <v>73527878.04200958</v>
      </c>
    </row>
    <row r="40" spans="1:5" ht="12.75">
      <c r="A40" s="119" t="s">
        <v>117</v>
      </c>
      <c r="B40" s="119"/>
      <c r="C40" s="119"/>
      <c r="D40" s="126">
        <f>Actuals!L23</f>
        <v>81870182.97862661</v>
      </c>
      <c r="E40" s="402">
        <f t="shared" si="1"/>
        <v>81870182.97862661</v>
      </c>
    </row>
    <row r="41" ht="12.75">
      <c r="C41" s="117"/>
    </row>
  </sheetData>
  <printOptions/>
  <pageMargins left="0.75" right="0.75" top="1" bottom="1" header="0.5" footer="0.5"/>
  <pageSetup horizontalDpi="600" verticalDpi="600" orientation="landscape"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Bwalker</dc:creator>
  <cp:keywords/>
  <dc:description/>
  <cp:lastModifiedBy>Bwalker</cp:lastModifiedBy>
  <cp:lastPrinted>2010-03-01T22:31:25Z</cp:lastPrinted>
  <dcterms:created xsi:type="dcterms:W3CDTF">2007-02-07T15:36:39Z</dcterms:created>
  <dcterms:modified xsi:type="dcterms:W3CDTF">2010-03-01T22:34:37Z</dcterms:modified>
  <cp:category/>
  <cp:version/>
  <cp:contentType/>
  <cp:contentStatus/>
</cp:coreProperties>
</file>