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9410" windowHeight="8760" tabRatio="953" firstSheet="5" activeTab="5"/>
  </bookViews>
  <sheets>
    <sheet name="Rate Review" sheetId="1" state="hidden" r:id="rId1"/>
    <sheet name="CAF Spring17" sheetId="22" state="hidden" r:id="rId2"/>
    <sheet name="AdultCompanion (2)" sheetId="4" state="hidden" r:id="rId3"/>
    <sheet name="AutFamSup" sheetId="5" state="hidden" r:id="rId4"/>
    <sheet name="AWC Admin-Family Nav " sheetId="6" state="hidden" r:id="rId5"/>
    <sheet name="AdultCompanion" sheetId="24" r:id="rId6"/>
    <sheet name="Aut-FamSupCtrs" sheetId="20" state="hidden" r:id="rId7"/>
    <sheet name="Single FTE Model " sheetId="23" state="hidden" r:id="rId8"/>
    <sheet name="AWC ALL DDS" sheetId="33" state="hidden" r:id="rId9"/>
    <sheet name="Aut-FamSupCtrs Final" sheetId="37" r:id="rId10"/>
    <sheet name="AWC Admin - Family Nav" sheetId="18" r:id="rId11"/>
    <sheet name="BehavioralSupport" sheetId="7" r:id="rId12"/>
    <sheet name="Family Train " sheetId="30" r:id="rId13"/>
    <sheet name="Peer Suppt" sheetId="13" r:id="rId14"/>
    <sheet name="Respite " sheetId="28" r:id="rId15"/>
    <sheet name="Fin. Assistance Admin" sheetId="14" r:id="rId16"/>
    <sheet name="MCB FAMS" sheetId="36" r:id="rId17"/>
    <sheet name="Med Complex " sheetId="16" r:id="rId18"/>
    <sheet name="Respite Caregiver Home" sheetId="17" r:id="rId19"/>
    <sheet name="Site Based Respite" sheetId="21" r:id="rId20"/>
    <sheet name="DCFClinicalComp" sheetId="8" state="hidden" r:id="rId21"/>
    <sheet name="IFFS" sheetId="15" r:id="rId22"/>
    <sheet name="Spring 2019 CAF" sheetId="26" r:id="rId23"/>
    <sheet name="DMH DYI Model" sheetId="9" state="hidden" r:id="rId24"/>
    <sheet name="DMH Fam Sys Int " sheetId="10" state="hidden" r:id="rId25"/>
    <sheet name="DMH Indiv Youth Support" sheetId="11" state="hidden" r:id="rId26"/>
    <sheet name="Facility Based Respite" sheetId="12" state="hidden" r:id="rId27"/>
    <sheet name="Master Look Up" sheetId="25" state="hidden" r:id="rId28"/>
    <sheet name="UFR Salary Data" sheetId="27" state="hidden" r:id="rId29"/>
    <sheet name="UFR Salary" sheetId="29" state="hidden" r:id="rId30"/>
    <sheet name="Fiscal Impact" sheetId="35" state="hidden" r:id="rId31"/>
    <sheet name="Rate for Reg" sheetId="31" state="hidden" r:id="rId32"/>
    <sheet name="Sheet1" sheetId="38" state="hidden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_FilterDatabase" localSheetId="8" hidden="1">'AWC ALL DDS'!$A$3:$I$53</definedName>
    <definedName name="asdfasd" localSheetId="9">'[1]Complete UFR List'!#REF!</definedName>
    <definedName name="asdfasd" localSheetId="12">'[1]Complete UFR List'!#REF!</definedName>
    <definedName name="asdfasd" localSheetId="14">'[1]Complete UFR List'!#REF!</definedName>
    <definedName name="asdfasd">'[1]Complete UFR List'!#REF!</definedName>
    <definedName name="asdfasdf" localSheetId="12">'[1]Complete UFR List'!#REF!</definedName>
    <definedName name="asdfasdf" localSheetId="14">'[1]Complete UFR List'!#REF!</definedName>
    <definedName name="asdfasdf">'[1]Complete UFR List'!#REF!</definedName>
    <definedName name="autsupp2" localSheetId="9">#REF!</definedName>
    <definedName name="autsupp2" localSheetId="12">#REF!</definedName>
    <definedName name="autsupp2" localSheetId="14">#REF!</definedName>
    <definedName name="autsupp2" localSheetId="22">#REF!</definedName>
    <definedName name="autsupp2">#REF!</definedName>
    <definedName name="Cap">[2]RawDataCalcs!$L$17:$DB$17</definedName>
    <definedName name="Fisc" localSheetId="9">'[1]Complete UFR List'!#REF!</definedName>
    <definedName name="Fisc" localSheetId="12">'[1]Complete UFR List'!#REF!</definedName>
    <definedName name="Fisc" localSheetId="14">'[1]Complete UFR List'!#REF!</definedName>
    <definedName name="Fisc">'[1]Complete UFR List'!#REF!</definedName>
    <definedName name="Floor">[2]RawDataCalcs!$L$16:$DB$16</definedName>
    <definedName name="gk" localSheetId="5">#REF!</definedName>
    <definedName name="gk" localSheetId="6">#REF!</definedName>
    <definedName name="gk" localSheetId="9">#REF!</definedName>
    <definedName name="gk" localSheetId="12">#REF!</definedName>
    <definedName name="gk" localSheetId="30">#REF!</definedName>
    <definedName name="gk" localSheetId="14">#REF!</definedName>
    <definedName name="gk" localSheetId="22">#REF!</definedName>
    <definedName name="gk">#REF!</definedName>
    <definedName name="jm" localSheetId="9">'[1]Complete UFR List'!#REF!</definedName>
    <definedName name="jm" localSheetId="12">'[1]Complete UFR List'!#REF!</definedName>
    <definedName name="jm" localSheetId="14">'[1]Complete UFR List'!#REF!</definedName>
    <definedName name="jm">'[1]Complete UFR List'!#REF!</definedName>
    <definedName name="ListProviders">'[3]List of Programs'!$A$24:$A$29</definedName>
    <definedName name="MT" localSheetId="5">#REF!</definedName>
    <definedName name="MT" localSheetId="6">#REF!</definedName>
    <definedName name="MT" localSheetId="9">#REF!</definedName>
    <definedName name="MT" localSheetId="12">#REF!</definedName>
    <definedName name="MT" localSheetId="30">#REF!</definedName>
    <definedName name="MT" localSheetId="14">#REF!</definedName>
    <definedName name="MT" localSheetId="22">#REF!</definedName>
    <definedName name="MT">#REF!</definedName>
    <definedName name="_xlnm.Print_Area" localSheetId="5">AdultCompanion!$D$1:$L$48</definedName>
    <definedName name="_xlnm.Print_Area" localSheetId="6">'Aut-FamSupCtrs'!$T$23:$Y$56</definedName>
    <definedName name="_xlnm.Print_Area" localSheetId="9">'Aut-FamSupCtrs Final'!$B$3:$R$224</definedName>
    <definedName name="_xlnm.Print_Area" localSheetId="10">'AWC Admin - Family Nav'!$B$1:$S$38</definedName>
    <definedName name="_xlnm.Print_Area" localSheetId="4">'AWC Admin-Family Nav '!$A$1:$E$20</definedName>
    <definedName name="_xlnm.Print_Area" localSheetId="11">BehavioralSupport!$B$2:$J$62</definedName>
    <definedName name="_xlnm.Print_Area" localSheetId="23">'DMH DYI Model'!$A$2:$K$27</definedName>
    <definedName name="_xlnm.Print_Area" localSheetId="24">'DMH Fam Sys Int '!$B$2:$P$25</definedName>
    <definedName name="_xlnm.Print_Area" localSheetId="25">'DMH Indiv Youth Support'!$J$2:$X$28</definedName>
    <definedName name="_xlnm.Print_Area" localSheetId="26">'Facility Based Respite'!$B$1:$R$72</definedName>
    <definedName name="_xlnm.Print_Area" localSheetId="12">'Family Train '!$N$4:$Y$23</definedName>
    <definedName name="_xlnm.Print_Area" localSheetId="15">'Fin. Assistance Admin'!$B$2:$M$24</definedName>
    <definedName name="_xlnm.Print_Area" localSheetId="30">'Fiscal Impact'!$B$1:$K$41</definedName>
    <definedName name="_xlnm.Print_Area" localSheetId="21">IFFS!$B$2:$O$27</definedName>
    <definedName name="_xlnm.Print_Area" localSheetId="16">'MCB FAMS'!$F$2:$S$26</definedName>
    <definedName name="_xlnm.Print_Area" localSheetId="17">'Med Complex '!$B$1:$K$28</definedName>
    <definedName name="_xlnm.Print_Area" localSheetId="13">'Peer Suppt'!$F$4:$P$23</definedName>
    <definedName name="_xlnm.Print_Area" localSheetId="14">'Respite '!$P$3:$Z$23</definedName>
    <definedName name="_xlnm.Print_Area" localSheetId="18">'Respite Caregiver Home'!$L$1:$Y$45</definedName>
    <definedName name="_xlnm.Print_Area" localSheetId="7">'Single FTE Model '!$U$2:$AG$54</definedName>
    <definedName name="_xlnm.Print_Area" localSheetId="19">'Site Based Respite'!$B$1:$Y$57</definedName>
    <definedName name="_xlnm.Print_Area" localSheetId="22">'Spring 2019 CAF'!$BI$6:$BV$28</definedName>
    <definedName name="_xlnm.Print_Area" localSheetId="29">'UFR Salary'!$B$3:$E$46</definedName>
    <definedName name="_xlnm.Print_Area" localSheetId="28">'UFR Salary Data'!$A$1:$J$55</definedName>
    <definedName name="_xlnm.Print_Titles" localSheetId="1">'CAF Spring17'!$A:$A</definedName>
    <definedName name="_xlnm.Print_Titles" localSheetId="22">'Spring 2019 CAF'!$A:$A</definedName>
    <definedName name="_xlnm.Print_Titles" localSheetId="28">'UFR Salary Data'!$1:$2</definedName>
    <definedName name="Programs">'[3]List of Programs'!$B$3:$B$19</definedName>
    <definedName name="Source" localSheetId="5">#REF!</definedName>
    <definedName name="Source" localSheetId="6">#REF!</definedName>
    <definedName name="Source" localSheetId="9">#REF!</definedName>
    <definedName name="Source" localSheetId="12">#REF!</definedName>
    <definedName name="Source" localSheetId="30">#REF!</definedName>
    <definedName name="Source" localSheetId="14">#REF!</definedName>
    <definedName name="Source" localSheetId="22">#REF!</definedName>
    <definedName name="Source">#REF!</definedName>
    <definedName name="Source_2" localSheetId="9">#REF!</definedName>
    <definedName name="Source_2" localSheetId="12">#REF!</definedName>
    <definedName name="Source_2" localSheetId="14">#REF!</definedName>
    <definedName name="Source_2" localSheetId="22">#REF!</definedName>
    <definedName name="Source_2">#REF!</definedName>
    <definedName name="Total_UFR" localSheetId="5">#REF!</definedName>
    <definedName name="Total_UFR" localSheetId="6">#REF!</definedName>
    <definedName name="Total_UFR" localSheetId="9">#REF!</definedName>
    <definedName name="Total_UFR" localSheetId="12">#REF!</definedName>
    <definedName name="Total_UFR" localSheetId="30">#REF!</definedName>
    <definedName name="Total_UFR" localSheetId="14">#REF!</definedName>
    <definedName name="Total_UFR" localSheetId="22">#REF!</definedName>
    <definedName name="Total_UFR">#REF!</definedName>
    <definedName name="UFR" localSheetId="5">'[1]Complete UFR List'!#REF!</definedName>
    <definedName name="UFR" localSheetId="6">'[1]Complete UFR List'!#REF!</definedName>
    <definedName name="UFR" localSheetId="9">'[1]Complete UFR List'!#REF!</definedName>
    <definedName name="UFR" localSheetId="12">'[1]Complete UFR List'!#REF!</definedName>
    <definedName name="UFR" localSheetId="30">'[1]Complete UFR List'!#REF!</definedName>
    <definedName name="UFR" localSheetId="14">'[1]Complete UFR List'!#REF!</definedName>
    <definedName name="UFR" localSheetId="7">'[1]Complete UFR List'!#REF!</definedName>
    <definedName name="UFR" localSheetId="22">'[1]Complete UFR List'!#REF!</definedName>
    <definedName name="UFR">'[1]Complete UFR List'!#REF!</definedName>
    <definedName name="UFRS" localSheetId="5">'[1]Complete UFR List'!#REF!</definedName>
    <definedName name="UFRS" localSheetId="6">'[1]Complete UFR List'!#REF!</definedName>
    <definedName name="UFRS" localSheetId="9">'[1]Complete UFR List'!#REF!</definedName>
    <definedName name="UFRS" localSheetId="12">'[1]Complete UFR List'!#REF!</definedName>
    <definedName name="UFRS" localSheetId="30">'[1]Complete UFR List'!#REF!</definedName>
    <definedName name="UFRS" localSheetId="14">'[1]Complete UFR List'!#REF!</definedName>
    <definedName name="UFRS" localSheetId="7">'[1]Complete UFR List'!#REF!</definedName>
    <definedName name="UFRS">'[1]Complete UFR List'!#REF!</definedName>
    <definedName name="UPDATE" localSheetId="12">'[1]Complete UFR List'!#REF!</definedName>
    <definedName name="UPDATE" localSheetId="14">'[1]Complete UFR List'!#REF!</definedName>
    <definedName name="UPDATE">'[1]Complete UFR List'!#REF!</definedName>
    <definedName name="wefqwerqwe" localSheetId="12">'[1]Complete UFR List'!#REF!</definedName>
    <definedName name="wefqwerqwe" localSheetId="14">'[1]Complete UFR List'!#REF!</definedName>
    <definedName name="wefqwerqwe">'[1]Complete UFR List'!#REF!</definedName>
    <definedName name="Z_4C1AD9FE_DB97_4D30_8CF1_D476DD376A5A_.wvu.Cols" localSheetId="12" hidden="1">'Family Train '!$A:$H</definedName>
    <definedName name="Z_4C1AD9FE_DB97_4D30_8CF1_D476DD376A5A_.wvu.Cols" localSheetId="15" hidden="1">'Fin. Assistance Admin'!$B:$G</definedName>
    <definedName name="Z_4C1AD9FE_DB97_4D30_8CF1_D476DD376A5A_.wvu.Cols" localSheetId="17" hidden="1">'Med Complex '!#REF!</definedName>
    <definedName name="Z_4C1AD9FE_DB97_4D30_8CF1_D476DD376A5A_.wvu.Cols" localSheetId="13" hidden="1">'Peer Suppt'!$A:$E</definedName>
    <definedName name="Z_4C1AD9FE_DB97_4D30_8CF1_D476DD376A5A_.wvu.Cols" localSheetId="14" hidden="1">'Respite '!$A:$H</definedName>
    <definedName name="Z_4C1AD9FE_DB97_4D30_8CF1_D476DD376A5A_.wvu.Cols" localSheetId="18" hidden="1">'Respite Caregiver Home'!$A:$F</definedName>
    <definedName name="Z_4C1AD9FE_DB97_4D30_8CF1_D476DD376A5A_.wvu.PrintArea" localSheetId="4" hidden="1">'AWC Admin-Family Nav '!$A$1:$E$20</definedName>
    <definedName name="Z_4C1AD9FE_DB97_4D30_8CF1_D476DD376A5A_.wvu.PrintArea" localSheetId="26" hidden="1">'Facility Based Respite'!$B$1:$R$72</definedName>
    <definedName name="Z_4C1AD9FE_DB97_4D30_8CF1_D476DD376A5A_.wvu.PrintArea" localSheetId="18" hidden="1">'Respite Caregiver Home'!$A$1:$F$64</definedName>
    <definedName name="Z_6A16E15D_0E79_4250_8AEC_339F57F63027_.wvu.Cols" localSheetId="12" hidden="1">'Family Train '!$A:$H</definedName>
    <definedName name="Z_6A16E15D_0E79_4250_8AEC_339F57F63027_.wvu.Cols" localSheetId="15" hidden="1">'Fin. Assistance Admin'!$B:$G</definedName>
    <definedName name="Z_6A16E15D_0E79_4250_8AEC_339F57F63027_.wvu.Cols" localSheetId="17" hidden="1">'Med Complex '!#REF!</definedName>
    <definedName name="Z_6A16E15D_0E79_4250_8AEC_339F57F63027_.wvu.Cols" localSheetId="13" hidden="1">'Peer Suppt'!$A:$E</definedName>
    <definedName name="Z_6A16E15D_0E79_4250_8AEC_339F57F63027_.wvu.Cols" localSheetId="14" hidden="1">'Respite '!$A:$H</definedName>
    <definedName name="Z_6A16E15D_0E79_4250_8AEC_339F57F63027_.wvu.Cols" localSheetId="18" hidden="1">'Respite Caregiver Home'!$A:$F</definedName>
    <definedName name="Z_6A16E15D_0E79_4250_8AEC_339F57F63027_.wvu.PrintArea" localSheetId="4" hidden="1">'AWC Admin-Family Nav '!$A$1:$E$20</definedName>
    <definedName name="Z_6A16E15D_0E79_4250_8AEC_339F57F63027_.wvu.PrintArea" localSheetId="26" hidden="1">'Facility Based Respite'!$B$1:$R$72</definedName>
    <definedName name="Z_6A16E15D_0E79_4250_8AEC_339F57F63027_.wvu.PrintArea" localSheetId="18" hidden="1">'Respite Caregiver Home'!$A$1:$F$64</definedName>
  </definedNames>
  <calcPr calcId="145621"/>
  <customWorkbookViews>
    <customWorkbookView name="EHS - Personal View" guid="{4C1AD9FE-DB97-4D30-8CF1-D476DD376A5A}" mergeInterval="0" personalView="1" maximized="1" windowWidth="1916" windowHeight="855" tabRatio="842" activeSheetId="7"/>
    <customWorkbookView name="kara - Personal View" guid="{6A16E15D-0E79-4250-8AEC-339F57F63027}" mergeInterval="0" personalView="1" maximized="1" windowWidth="1916" windowHeight="759" tabRatio="842" activeSheetId="16"/>
  </customWorkbookViews>
</workbook>
</file>

<file path=xl/calcChain.xml><?xml version="1.0" encoding="utf-8"?>
<calcChain xmlns="http://schemas.openxmlformats.org/spreadsheetml/2006/main">
  <c r="I61" i="7" l="1"/>
  <c r="I14" i="14" l="1"/>
  <c r="J31" i="35" l="1"/>
  <c r="H16" i="35" l="1"/>
  <c r="G20" i="36" l="1"/>
  <c r="P11" i="17" l="1"/>
  <c r="P10" i="17"/>
  <c r="P9" i="17"/>
  <c r="G31" i="35" l="1"/>
  <c r="E78" i="35"/>
  <c r="F78" i="35"/>
  <c r="H82" i="35"/>
  <c r="H84" i="35" s="1"/>
  <c r="E86" i="35"/>
  <c r="F86" i="35"/>
  <c r="E98" i="35"/>
  <c r="F98" i="35"/>
  <c r="F102" i="35" s="1"/>
  <c r="E102" i="35"/>
  <c r="G35" i="35" l="1"/>
  <c r="I84" i="35"/>
  <c r="H86" i="35"/>
  <c r="I86" i="35" s="1"/>
  <c r="I87" i="35" s="1"/>
  <c r="H97" i="35"/>
  <c r="H95" i="35"/>
  <c r="I95" i="35" s="1"/>
  <c r="H94" i="35"/>
  <c r="I94" i="35" s="1"/>
  <c r="H93" i="35"/>
  <c r="I93" i="35" s="1"/>
  <c r="H92" i="35"/>
  <c r="I92" i="35" s="1"/>
  <c r="H91" i="35"/>
  <c r="I91" i="35" l="1"/>
  <c r="I98" i="35" s="1"/>
  <c r="H98" i="35"/>
  <c r="H293" i="37" l="1"/>
  <c r="L288" i="37"/>
  <c r="I281" i="37"/>
  <c r="J277" i="37"/>
  <c r="K276" i="37"/>
  <c r="J276" i="37"/>
  <c r="P215" i="37"/>
  <c r="N215" i="37"/>
  <c r="J215" i="37"/>
  <c r="H215" i="37"/>
  <c r="D215" i="37"/>
  <c r="B215" i="37"/>
  <c r="P214" i="37"/>
  <c r="J214" i="37"/>
  <c r="D214" i="37"/>
  <c r="P213" i="37"/>
  <c r="J213" i="37"/>
  <c r="D213" i="37"/>
  <c r="P212" i="37"/>
  <c r="J212" i="37"/>
  <c r="D212" i="37"/>
  <c r="P211" i="37"/>
  <c r="J211" i="37"/>
  <c r="D211" i="37"/>
  <c r="P210" i="37"/>
  <c r="J210" i="37"/>
  <c r="D210" i="37"/>
  <c r="O208" i="37"/>
  <c r="I208" i="37"/>
  <c r="C208" i="37"/>
  <c r="P203" i="37"/>
  <c r="J203" i="37"/>
  <c r="D203" i="37"/>
  <c r="Q202" i="37"/>
  <c r="P202" i="37"/>
  <c r="K202" i="37"/>
  <c r="J202" i="37"/>
  <c r="E202" i="37"/>
  <c r="D202" i="37"/>
  <c r="P187" i="37"/>
  <c r="N187" i="37"/>
  <c r="J187" i="37"/>
  <c r="H187" i="37"/>
  <c r="D187" i="37"/>
  <c r="B187" i="37"/>
  <c r="P186" i="37"/>
  <c r="J186" i="37"/>
  <c r="D186" i="37"/>
  <c r="P185" i="37"/>
  <c r="J185" i="37"/>
  <c r="D185" i="37"/>
  <c r="P184" i="37"/>
  <c r="J184" i="37"/>
  <c r="D184" i="37"/>
  <c r="P183" i="37"/>
  <c r="J183" i="37"/>
  <c r="D183" i="37"/>
  <c r="P182" i="37"/>
  <c r="J182" i="37"/>
  <c r="D182" i="37"/>
  <c r="O180" i="37"/>
  <c r="I180" i="37"/>
  <c r="P175" i="37"/>
  <c r="J175" i="37"/>
  <c r="D175" i="37"/>
  <c r="Q174" i="37"/>
  <c r="P174" i="37"/>
  <c r="K174" i="37"/>
  <c r="J174" i="37"/>
  <c r="E174" i="37"/>
  <c r="D174" i="37"/>
  <c r="P159" i="37"/>
  <c r="N159" i="37"/>
  <c r="J159" i="37"/>
  <c r="H159" i="37"/>
  <c r="D159" i="37"/>
  <c r="B159" i="37"/>
  <c r="P158" i="37"/>
  <c r="J158" i="37"/>
  <c r="D158" i="37"/>
  <c r="P157" i="37"/>
  <c r="J157" i="37"/>
  <c r="D157" i="37"/>
  <c r="P156" i="37"/>
  <c r="J156" i="37"/>
  <c r="D156" i="37"/>
  <c r="P155" i="37"/>
  <c r="J155" i="37"/>
  <c r="D155" i="37"/>
  <c r="P154" i="37"/>
  <c r="J154" i="37"/>
  <c r="D154" i="37"/>
  <c r="O152" i="37"/>
  <c r="I152" i="37"/>
  <c r="C152" i="37"/>
  <c r="P147" i="37"/>
  <c r="J147" i="37"/>
  <c r="D147" i="37"/>
  <c r="Q146" i="37"/>
  <c r="P146" i="37"/>
  <c r="K146" i="37"/>
  <c r="J146" i="37"/>
  <c r="E146" i="37"/>
  <c r="D146" i="37"/>
  <c r="P131" i="37"/>
  <c r="N131" i="37"/>
  <c r="J131" i="37"/>
  <c r="H131" i="37"/>
  <c r="D131" i="37"/>
  <c r="B131" i="37"/>
  <c r="P130" i="37"/>
  <c r="J130" i="37"/>
  <c r="D130" i="37"/>
  <c r="P129" i="37"/>
  <c r="J129" i="37"/>
  <c r="D129" i="37"/>
  <c r="P128" i="37"/>
  <c r="J128" i="37"/>
  <c r="D128" i="37"/>
  <c r="P127" i="37"/>
  <c r="J127" i="37"/>
  <c r="D127" i="37"/>
  <c r="P126" i="37"/>
  <c r="J126" i="37"/>
  <c r="D126" i="37"/>
  <c r="O124" i="37"/>
  <c r="I124" i="37"/>
  <c r="C124" i="37"/>
  <c r="P119" i="37"/>
  <c r="J119" i="37"/>
  <c r="D119" i="37"/>
  <c r="Q118" i="37"/>
  <c r="P118" i="37"/>
  <c r="K118" i="37"/>
  <c r="J118" i="37"/>
  <c r="E118" i="37"/>
  <c r="D118" i="37"/>
  <c r="P103" i="37"/>
  <c r="N103" i="37"/>
  <c r="J103" i="37"/>
  <c r="H103" i="37"/>
  <c r="D103" i="37"/>
  <c r="B103" i="37"/>
  <c r="P102" i="37"/>
  <c r="J102" i="37"/>
  <c r="D102" i="37"/>
  <c r="P101" i="37"/>
  <c r="J101" i="37"/>
  <c r="D101" i="37"/>
  <c r="P100" i="37"/>
  <c r="J100" i="37"/>
  <c r="D100" i="37"/>
  <c r="P99" i="37"/>
  <c r="J99" i="37"/>
  <c r="D99" i="37"/>
  <c r="P98" i="37"/>
  <c r="J98" i="37"/>
  <c r="D98" i="37"/>
  <c r="O96" i="37"/>
  <c r="I96" i="37"/>
  <c r="P91" i="37"/>
  <c r="J91" i="37"/>
  <c r="D91" i="37"/>
  <c r="Q90" i="37"/>
  <c r="P90" i="37"/>
  <c r="K90" i="37"/>
  <c r="J90" i="37"/>
  <c r="E90" i="37"/>
  <c r="D90" i="37"/>
  <c r="O77" i="37"/>
  <c r="O105" i="37" s="1"/>
  <c r="O133" i="37" s="1"/>
  <c r="I77" i="37"/>
  <c r="I105" i="37" s="1"/>
  <c r="I133" i="37" s="1"/>
  <c r="C77" i="37"/>
  <c r="C105" i="37" s="1"/>
  <c r="C133" i="37" s="1"/>
  <c r="P75" i="37"/>
  <c r="N75" i="37"/>
  <c r="J75" i="37"/>
  <c r="H75" i="37"/>
  <c r="D75" i="37"/>
  <c r="B75" i="37"/>
  <c r="P74" i="37"/>
  <c r="J74" i="37"/>
  <c r="D74" i="37"/>
  <c r="P73" i="37"/>
  <c r="J73" i="37"/>
  <c r="D73" i="37"/>
  <c r="P72" i="37"/>
  <c r="J72" i="37"/>
  <c r="D72" i="37"/>
  <c r="P71" i="37"/>
  <c r="J71" i="37"/>
  <c r="D71" i="37"/>
  <c r="P70" i="37"/>
  <c r="J70" i="37"/>
  <c r="D70" i="37"/>
  <c r="O68" i="37"/>
  <c r="I68" i="37"/>
  <c r="C68" i="37"/>
  <c r="P63" i="37"/>
  <c r="J63" i="37"/>
  <c r="D63" i="37"/>
  <c r="Q62" i="37"/>
  <c r="P62" i="37"/>
  <c r="K62" i="37"/>
  <c r="J62" i="37"/>
  <c r="E62" i="37"/>
  <c r="D62" i="37"/>
  <c r="AG59" i="37"/>
  <c r="AG58" i="37"/>
  <c r="AI58" i="37" s="1"/>
  <c r="X50" i="37"/>
  <c r="X49" i="37"/>
  <c r="O49" i="37"/>
  <c r="I49" i="37"/>
  <c r="C49" i="37"/>
  <c r="X48" i="37"/>
  <c r="X47" i="37"/>
  <c r="P47" i="37"/>
  <c r="N47" i="37"/>
  <c r="J47" i="37"/>
  <c r="H47" i="37"/>
  <c r="D47" i="37"/>
  <c r="B47" i="37"/>
  <c r="X46" i="37"/>
  <c r="P46" i="37"/>
  <c r="J46" i="37"/>
  <c r="D46" i="37"/>
  <c r="X45" i="37"/>
  <c r="P45" i="37"/>
  <c r="J45" i="37"/>
  <c r="D45" i="37"/>
  <c r="X44" i="37"/>
  <c r="P44" i="37"/>
  <c r="J44" i="37"/>
  <c r="D44" i="37"/>
  <c r="X43" i="37"/>
  <c r="P43" i="37"/>
  <c r="J43" i="37"/>
  <c r="D43" i="37"/>
  <c r="X42" i="37"/>
  <c r="P42" i="37"/>
  <c r="J42" i="37"/>
  <c r="D42" i="37"/>
  <c r="X41" i="37"/>
  <c r="X40" i="37"/>
  <c r="O40" i="37"/>
  <c r="I40" i="37"/>
  <c r="C40" i="37"/>
  <c r="X39" i="37"/>
  <c r="X38" i="37"/>
  <c r="X37" i="37"/>
  <c r="X36" i="37"/>
  <c r="X35" i="37"/>
  <c r="P35" i="37"/>
  <c r="J35" i="37"/>
  <c r="D35" i="37"/>
  <c r="X34" i="37"/>
  <c r="Q34" i="37"/>
  <c r="P34" i="37"/>
  <c r="R34" i="37" s="1"/>
  <c r="K34" i="37"/>
  <c r="J34" i="37"/>
  <c r="L34" i="37" s="1"/>
  <c r="E34" i="37"/>
  <c r="D34" i="37"/>
  <c r="F34" i="37" s="1"/>
  <c r="X33" i="37"/>
  <c r="X32" i="37"/>
  <c r="X31" i="37"/>
  <c r="X30" i="37"/>
  <c r="X29" i="37"/>
  <c r="X28" i="37"/>
  <c r="U28" i="37"/>
  <c r="U29" i="37" s="1"/>
  <c r="X27" i="37"/>
  <c r="O22" i="37"/>
  <c r="O50" i="37" s="1"/>
  <c r="I22" i="37"/>
  <c r="I50" i="37" s="1"/>
  <c r="C22" i="37"/>
  <c r="C50" i="37" s="1"/>
  <c r="W21" i="37"/>
  <c r="O25" i="37" s="1"/>
  <c r="O21" i="37"/>
  <c r="I21" i="37"/>
  <c r="C21" i="37"/>
  <c r="P19" i="37"/>
  <c r="N19" i="37"/>
  <c r="J19" i="37"/>
  <c r="H19" i="37"/>
  <c r="D19" i="37"/>
  <c r="B19" i="37"/>
  <c r="P18" i="37"/>
  <c r="J18" i="37"/>
  <c r="D18" i="37"/>
  <c r="P17" i="37"/>
  <c r="J17" i="37"/>
  <c r="D17" i="37"/>
  <c r="P16" i="37"/>
  <c r="J16" i="37"/>
  <c r="D16" i="37"/>
  <c r="P15" i="37"/>
  <c r="J15" i="37"/>
  <c r="D15" i="37"/>
  <c r="P14" i="37"/>
  <c r="J14" i="37"/>
  <c r="D14" i="37"/>
  <c r="O12" i="37"/>
  <c r="I12" i="37"/>
  <c r="P7" i="37"/>
  <c r="K7" i="37"/>
  <c r="L19" i="37" s="1"/>
  <c r="J7" i="37"/>
  <c r="E7" i="37"/>
  <c r="F17" i="37" s="1"/>
  <c r="D7" i="37"/>
  <c r="Q6" i="37"/>
  <c r="P6" i="37"/>
  <c r="K6" i="37"/>
  <c r="K9" i="37" s="1"/>
  <c r="J6" i="37"/>
  <c r="E6" i="37"/>
  <c r="E9" i="37" s="1"/>
  <c r="D6" i="37"/>
  <c r="D9" i="37" s="1"/>
  <c r="V71" i="35"/>
  <c r="F22" i="35"/>
  <c r="F20" i="35"/>
  <c r="F19" i="35"/>
  <c r="F18" i="35"/>
  <c r="F14" i="35"/>
  <c r="F13" i="35"/>
  <c r="F12" i="35"/>
  <c r="F11" i="35"/>
  <c r="F10" i="35"/>
  <c r="F9" i="35"/>
  <c r="F8" i="35"/>
  <c r="F7" i="35"/>
  <c r="F5" i="35"/>
  <c r="F4" i="35"/>
  <c r="L62" i="37" l="1"/>
  <c r="R62" i="37"/>
  <c r="F90" i="37"/>
  <c r="L90" i="37"/>
  <c r="R90" i="37"/>
  <c r="F118" i="37"/>
  <c r="L118" i="37"/>
  <c r="F174" i="37"/>
  <c r="L174" i="37"/>
  <c r="R174" i="37"/>
  <c r="L202" i="37"/>
  <c r="L6" i="37"/>
  <c r="R6" i="37"/>
  <c r="L7" i="37"/>
  <c r="F19" i="37"/>
  <c r="F146" i="37"/>
  <c r="L146" i="37"/>
  <c r="L276" i="37"/>
  <c r="L14" i="37"/>
  <c r="L15" i="37"/>
  <c r="L16" i="37"/>
  <c r="L17" i="37"/>
  <c r="L18" i="37"/>
  <c r="AI59" i="37"/>
  <c r="AI60" i="37" s="1"/>
  <c r="R202" i="37"/>
  <c r="I25" i="37"/>
  <c r="C25" i="37"/>
  <c r="F23" i="35"/>
  <c r="C78" i="37"/>
  <c r="O78" i="37"/>
  <c r="I78" i="37"/>
  <c r="Q7" i="37"/>
  <c r="Q9" i="37" s="1"/>
  <c r="U30" i="37"/>
  <c r="F6" i="37"/>
  <c r="F18" i="37"/>
  <c r="F7" i="37"/>
  <c r="O221" i="37"/>
  <c r="I221" i="37"/>
  <c r="C221" i="37"/>
  <c r="I293" i="37"/>
  <c r="I193" i="37"/>
  <c r="O165" i="37"/>
  <c r="I165" i="37"/>
  <c r="C165" i="37"/>
  <c r="O137" i="37"/>
  <c r="I137" i="37"/>
  <c r="C137" i="37"/>
  <c r="O193" i="37"/>
  <c r="C193" i="37"/>
  <c r="C109" i="37"/>
  <c r="I109" i="37"/>
  <c r="O81" i="37"/>
  <c r="I81" i="37"/>
  <c r="C81" i="37"/>
  <c r="AG61" i="37"/>
  <c r="O109" i="37" s="1"/>
  <c r="O53" i="37"/>
  <c r="I53" i="37"/>
  <c r="C53" i="37"/>
  <c r="F62" i="37"/>
  <c r="C161" i="37"/>
  <c r="O161" i="37"/>
  <c r="F14" i="37"/>
  <c r="F15" i="37"/>
  <c r="F16" i="37"/>
  <c r="I161" i="37"/>
  <c r="R118" i="37"/>
  <c r="R146" i="37"/>
  <c r="F202" i="37"/>
  <c r="I20" i="36"/>
  <c r="I21" i="36" s="1"/>
  <c r="I22" i="36" s="1"/>
  <c r="I23" i="36" s="1"/>
  <c r="I24" i="36" s="1"/>
  <c r="H16" i="36"/>
  <c r="I16" i="36"/>
  <c r="N19" i="36"/>
  <c r="G22" i="36"/>
  <c r="H12" i="36"/>
  <c r="G11" i="36"/>
  <c r="I11" i="36"/>
  <c r="G10" i="36"/>
  <c r="I10" i="36"/>
  <c r="I12" i="36"/>
  <c r="I14" i="36"/>
  <c r="I15" i="36"/>
  <c r="I17" i="36"/>
  <c r="I19" i="36"/>
  <c r="E23" i="35"/>
  <c r="E110" i="35" s="1"/>
  <c r="I10" i="35"/>
  <c r="I12" i="35"/>
  <c r="I16" i="35"/>
  <c r="J16" i="35" s="1"/>
  <c r="I20" i="35"/>
  <c r="I13" i="35"/>
  <c r="I40" i="31"/>
  <c r="J40" i="31" s="1"/>
  <c r="I4" i="31"/>
  <c r="J4" i="31" s="1"/>
  <c r="I12" i="31"/>
  <c r="I11" i="31"/>
  <c r="I77" i="31"/>
  <c r="J77" i="31" s="1"/>
  <c r="I78" i="31"/>
  <c r="J78" i="31" s="1"/>
  <c r="I79" i="31"/>
  <c r="J79" i="31" s="1"/>
  <c r="I80" i="31"/>
  <c r="I76" i="31"/>
  <c r="I70" i="31"/>
  <c r="I71" i="31"/>
  <c r="I72" i="31"/>
  <c r="I73" i="31"/>
  <c r="I74" i="31"/>
  <c r="I69" i="31"/>
  <c r="I67" i="31"/>
  <c r="I66" i="31"/>
  <c r="I64" i="31"/>
  <c r="I55" i="31"/>
  <c r="J55" i="31" s="1"/>
  <c r="I48" i="31"/>
  <c r="I49" i="31"/>
  <c r="I50" i="31"/>
  <c r="I51" i="31"/>
  <c r="I52" i="31"/>
  <c r="I53" i="31"/>
  <c r="I54" i="31"/>
  <c r="I47" i="31"/>
  <c r="J47" i="31" s="1"/>
  <c r="J48" i="31"/>
  <c r="J49" i="31"/>
  <c r="J50" i="31"/>
  <c r="J51" i="31"/>
  <c r="J52" i="31"/>
  <c r="J53" i="31"/>
  <c r="J54" i="31"/>
  <c r="Y33" i="17"/>
  <c r="T33" i="17"/>
  <c r="O33" i="17"/>
  <c r="J102" i="31"/>
  <c r="J56" i="31"/>
  <c r="J57" i="31"/>
  <c r="J58" i="31"/>
  <c r="J59" i="31"/>
  <c r="J60" i="31"/>
  <c r="J61" i="31"/>
  <c r="J62" i="31"/>
  <c r="J64" i="31"/>
  <c r="J66" i="31"/>
  <c r="J67" i="31"/>
  <c r="J69" i="31"/>
  <c r="J70" i="31"/>
  <c r="J71" i="31"/>
  <c r="J72" i="31"/>
  <c r="J73" i="31"/>
  <c r="J74" i="31"/>
  <c r="J76" i="31"/>
  <c r="J80" i="31"/>
  <c r="J44" i="31"/>
  <c r="J45" i="31"/>
  <c r="W49" i="20"/>
  <c r="W48" i="20"/>
  <c r="W47" i="20"/>
  <c r="W46" i="20"/>
  <c r="W45" i="20"/>
  <c r="W44" i="20"/>
  <c r="W43" i="20"/>
  <c r="W42" i="20"/>
  <c r="W41" i="20"/>
  <c r="W40" i="20"/>
  <c r="W39" i="20"/>
  <c r="W38" i="20"/>
  <c r="W37" i="20"/>
  <c r="W36" i="20"/>
  <c r="W35" i="20"/>
  <c r="W34" i="20"/>
  <c r="W33" i="20"/>
  <c r="W32" i="20"/>
  <c r="W31" i="20"/>
  <c r="W30" i="20"/>
  <c r="W29" i="20"/>
  <c r="W28" i="20"/>
  <c r="W27" i="20"/>
  <c r="W26" i="20"/>
  <c r="Q174" i="20"/>
  <c r="E174" i="20"/>
  <c r="K90" i="20"/>
  <c r="E90" i="20"/>
  <c r="Q64" i="20"/>
  <c r="Q62" i="20"/>
  <c r="K64" i="20"/>
  <c r="K62" i="20"/>
  <c r="E64" i="20"/>
  <c r="E62" i="20"/>
  <c r="Q36" i="20"/>
  <c r="Q34" i="20"/>
  <c r="K36" i="20"/>
  <c r="K34" i="20"/>
  <c r="E36" i="20"/>
  <c r="K8" i="20"/>
  <c r="K6" i="20"/>
  <c r="E8" i="20"/>
  <c r="E7" i="20"/>
  <c r="E6" i="20"/>
  <c r="Q146" i="20"/>
  <c r="O77" i="20"/>
  <c r="O105" i="20"/>
  <c r="I77" i="20"/>
  <c r="C77" i="20"/>
  <c r="C105" i="20"/>
  <c r="O49" i="20"/>
  <c r="I49" i="20"/>
  <c r="C49" i="20"/>
  <c r="O21" i="20"/>
  <c r="I21" i="20"/>
  <c r="C21" i="20"/>
  <c r="C133" i="20"/>
  <c r="O133" i="20"/>
  <c r="I105" i="20"/>
  <c r="I133" i="20"/>
  <c r="O161" i="20"/>
  <c r="C161" i="20"/>
  <c r="I161" i="20"/>
  <c r="C189" i="20"/>
  <c r="O189" i="20"/>
  <c r="O217" i="20"/>
  <c r="C217" i="20"/>
  <c r="I189" i="20"/>
  <c r="I217" i="20"/>
  <c r="Q204" i="20"/>
  <c r="K204" i="20"/>
  <c r="E204" i="20"/>
  <c r="Q176" i="20"/>
  <c r="K176" i="20"/>
  <c r="E176" i="20"/>
  <c r="Q148" i="20"/>
  <c r="K148" i="20"/>
  <c r="E148" i="20"/>
  <c r="Q120" i="20"/>
  <c r="K120" i="20"/>
  <c r="E120" i="20"/>
  <c r="Q92" i="20"/>
  <c r="K92" i="20"/>
  <c r="E92" i="20"/>
  <c r="Q8" i="20"/>
  <c r="O22" i="20"/>
  <c r="O50" i="20"/>
  <c r="O78" i="20"/>
  <c r="O106" i="20"/>
  <c r="O134" i="20"/>
  <c r="O162" i="20"/>
  <c r="O190" i="20"/>
  <c r="O218" i="20"/>
  <c r="I22" i="20"/>
  <c r="I50" i="20"/>
  <c r="I78" i="20"/>
  <c r="I106" i="20"/>
  <c r="I134" i="20"/>
  <c r="I162" i="20"/>
  <c r="I190" i="20"/>
  <c r="I218" i="20"/>
  <c r="C22" i="20"/>
  <c r="P211" i="20"/>
  <c r="R211" i="20"/>
  <c r="P212" i="20"/>
  <c r="R212" i="20"/>
  <c r="P213" i="20"/>
  <c r="R213" i="20"/>
  <c r="P214" i="20"/>
  <c r="R214" i="20"/>
  <c r="P210" i="20"/>
  <c r="R210" i="20"/>
  <c r="J211" i="20"/>
  <c r="L211" i="20"/>
  <c r="J212" i="20"/>
  <c r="L212" i="20"/>
  <c r="J213" i="20"/>
  <c r="L213" i="20"/>
  <c r="J214" i="20"/>
  <c r="L214" i="20"/>
  <c r="J210" i="20"/>
  <c r="L210" i="20"/>
  <c r="D211" i="20"/>
  <c r="F211" i="20"/>
  <c r="D212" i="20"/>
  <c r="D213" i="20"/>
  <c r="F213" i="20"/>
  <c r="D214" i="20"/>
  <c r="D210" i="20"/>
  <c r="F210" i="20"/>
  <c r="P183" i="20"/>
  <c r="R183" i="20"/>
  <c r="P184" i="20"/>
  <c r="R184" i="20"/>
  <c r="P185" i="20"/>
  <c r="R185" i="20"/>
  <c r="P186" i="20"/>
  <c r="R186" i="20"/>
  <c r="P182" i="20"/>
  <c r="R182" i="20"/>
  <c r="J183" i="20"/>
  <c r="L183" i="20"/>
  <c r="J184" i="20"/>
  <c r="J185" i="20"/>
  <c r="L185" i="20"/>
  <c r="J186" i="20"/>
  <c r="L186" i="20"/>
  <c r="J182" i="20"/>
  <c r="L182" i="20"/>
  <c r="D183" i="20"/>
  <c r="F183" i="20"/>
  <c r="D184" i="20"/>
  <c r="F184" i="20"/>
  <c r="D185" i="20"/>
  <c r="F185" i="20"/>
  <c r="D186" i="20"/>
  <c r="F186" i="20"/>
  <c r="D182" i="20"/>
  <c r="F182" i="20"/>
  <c r="P155" i="20"/>
  <c r="R155" i="20"/>
  <c r="P156" i="20"/>
  <c r="R156" i="20"/>
  <c r="P157" i="20"/>
  <c r="R157" i="20"/>
  <c r="P158" i="20"/>
  <c r="R158" i="20"/>
  <c r="P154" i="20"/>
  <c r="R154" i="20"/>
  <c r="J155" i="20"/>
  <c r="L155" i="20"/>
  <c r="J156" i="20"/>
  <c r="L156" i="20"/>
  <c r="J157" i="20"/>
  <c r="L157" i="20"/>
  <c r="J158" i="20"/>
  <c r="L158" i="20"/>
  <c r="J154" i="20"/>
  <c r="L154" i="20"/>
  <c r="D155" i="20"/>
  <c r="F155" i="20"/>
  <c r="D156" i="20"/>
  <c r="D157" i="20"/>
  <c r="F157" i="20"/>
  <c r="D158" i="20"/>
  <c r="D154" i="20"/>
  <c r="F154" i="20"/>
  <c r="P127" i="20"/>
  <c r="R127" i="20"/>
  <c r="P128" i="20"/>
  <c r="R128" i="20"/>
  <c r="P129" i="20"/>
  <c r="R129" i="20"/>
  <c r="P130" i="20"/>
  <c r="R130" i="20"/>
  <c r="P126" i="20"/>
  <c r="R126" i="20"/>
  <c r="J127" i="20"/>
  <c r="L127" i="20"/>
  <c r="J128" i="20"/>
  <c r="J129" i="20"/>
  <c r="L129" i="20"/>
  <c r="J130" i="20"/>
  <c r="J126" i="20"/>
  <c r="L126" i="20"/>
  <c r="D127" i="20"/>
  <c r="F127" i="20"/>
  <c r="D128" i="20"/>
  <c r="F128" i="20"/>
  <c r="D129" i="20"/>
  <c r="F129" i="20"/>
  <c r="D130" i="20"/>
  <c r="F130" i="20"/>
  <c r="D126" i="20"/>
  <c r="F126" i="20"/>
  <c r="P99" i="20"/>
  <c r="R99" i="20"/>
  <c r="P100" i="20"/>
  <c r="P101" i="20"/>
  <c r="R101" i="20"/>
  <c r="P102" i="20"/>
  <c r="P98" i="20"/>
  <c r="R98" i="20"/>
  <c r="J99" i="20"/>
  <c r="L99" i="20"/>
  <c r="J100" i="20"/>
  <c r="L100" i="20"/>
  <c r="J101" i="20"/>
  <c r="L101" i="20"/>
  <c r="J102" i="20"/>
  <c r="L102" i="20"/>
  <c r="J98" i="20"/>
  <c r="L98" i="20"/>
  <c r="D99" i="20"/>
  <c r="F99" i="20"/>
  <c r="D100" i="20"/>
  <c r="D101" i="20"/>
  <c r="F101" i="20"/>
  <c r="D102" i="20"/>
  <c r="D98" i="20"/>
  <c r="F98" i="20"/>
  <c r="P71" i="20"/>
  <c r="R71" i="20"/>
  <c r="P72" i="20"/>
  <c r="R72" i="20"/>
  <c r="P73" i="20"/>
  <c r="R73" i="20"/>
  <c r="P74" i="20"/>
  <c r="R74" i="20"/>
  <c r="P70" i="20"/>
  <c r="R70" i="20"/>
  <c r="J71" i="20"/>
  <c r="L71" i="20"/>
  <c r="J72" i="20"/>
  <c r="J73" i="20"/>
  <c r="L73" i="20"/>
  <c r="J74" i="20"/>
  <c r="J70" i="20"/>
  <c r="L70" i="20"/>
  <c r="D71" i="20"/>
  <c r="F71" i="20"/>
  <c r="D72" i="20"/>
  <c r="F72" i="20"/>
  <c r="D73" i="20"/>
  <c r="F73" i="20"/>
  <c r="D74" i="20"/>
  <c r="F74" i="20"/>
  <c r="D70" i="20"/>
  <c r="F70" i="20"/>
  <c r="P43" i="20"/>
  <c r="R43" i="20"/>
  <c r="P44" i="20"/>
  <c r="R44" i="20"/>
  <c r="P45" i="20"/>
  <c r="R45" i="20"/>
  <c r="P46" i="20"/>
  <c r="R46" i="20"/>
  <c r="P42" i="20"/>
  <c r="R42" i="20"/>
  <c r="J43" i="20"/>
  <c r="L43" i="20"/>
  <c r="J44" i="20"/>
  <c r="L44" i="20"/>
  <c r="J45" i="20"/>
  <c r="L45" i="20"/>
  <c r="J46" i="20"/>
  <c r="L46" i="20"/>
  <c r="J42" i="20"/>
  <c r="L42" i="20"/>
  <c r="D43" i="20"/>
  <c r="F43" i="20"/>
  <c r="D44" i="20"/>
  <c r="D45" i="20"/>
  <c r="F45" i="20"/>
  <c r="D46" i="20"/>
  <c r="D42" i="20"/>
  <c r="F42" i="20"/>
  <c r="P15" i="20"/>
  <c r="P16" i="20"/>
  <c r="P17" i="20"/>
  <c r="P18" i="20"/>
  <c r="P14" i="20"/>
  <c r="J15" i="20"/>
  <c r="J16" i="20"/>
  <c r="J17" i="20"/>
  <c r="J18" i="20"/>
  <c r="J14" i="20"/>
  <c r="D15" i="20"/>
  <c r="D16" i="20"/>
  <c r="D17" i="20"/>
  <c r="D18" i="20"/>
  <c r="D14" i="20"/>
  <c r="P204" i="20"/>
  <c r="R204" i="20"/>
  <c r="J204" i="20"/>
  <c r="L204" i="20"/>
  <c r="D204" i="20"/>
  <c r="F204" i="20"/>
  <c r="P176" i="20"/>
  <c r="R176" i="20"/>
  <c r="J176" i="20"/>
  <c r="L176" i="20"/>
  <c r="D176" i="20"/>
  <c r="F176" i="20"/>
  <c r="P148" i="20"/>
  <c r="J148" i="20"/>
  <c r="L148" i="20"/>
  <c r="D148" i="20"/>
  <c r="F148" i="20"/>
  <c r="P120" i="20"/>
  <c r="R120" i="20"/>
  <c r="J120" i="20"/>
  <c r="L120" i="20"/>
  <c r="D120" i="20"/>
  <c r="F120" i="20"/>
  <c r="P92" i="20"/>
  <c r="R92" i="20"/>
  <c r="J92" i="20"/>
  <c r="L92" i="20"/>
  <c r="D92" i="20"/>
  <c r="F92" i="20"/>
  <c r="P64" i="20"/>
  <c r="R64" i="20"/>
  <c r="J64" i="20"/>
  <c r="L64" i="20"/>
  <c r="D64" i="20"/>
  <c r="F64" i="20"/>
  <c r="P36" i="20"/>
  <c r="R36" i="20"/>
  <c r="J36" i="20"/>
  <c r="L36" i="20"/>
  <c r="D36" i="20"/>
  <c r="F36" i="20"/>
  <c r="P8" i="20"/>
  <c r="J8" i="20"/>
  <c r="L8" i="20"/>
  <c r="D8" i="20"/>
  <c r="F8" i="20"/>
  <c r="V20" i="20"/>
  <c r="V27" i="23"/>
  <c r="C28" i="14"/>
  <c r="C29" i="14"/>
  <c r="J27" i="14"/>
  <c r="F214" i="20"/>
  <c r="F212" i="20"/>
  <c r="L184" i="20"/>
  <c r="F158" i="20"/>
  <c r="F156" i="20"/>
  <c r="L130" i="20"/>
  <c r="L128" i="20"/>
  <c r="R102" i="20"/>
  <c r="R100" i="20"/>
  <c r="F102" i="20"/>
  <c r="F100" i="20"/>
  <c r="L74" i="20"/>
  <c r="L72" i="20"/>
  <c r="F46" i="20"/>
  <c r="F44" i="20"/>
  <c r="L15" i="20"/>
  <c r="F16" i="20"/>
  <c r="R16" i="20"/>
  <c r="F14" i="20"/>
  <c r="F17" i="20"/>
  <c r="F15" i="20"/>
  <c r="F18" i="20"/>
  <c r="R14" i="20"/>
  <c r="R17" i="20"/>
  <c r="R15" i="20"/>
  <c r="R18" i="20"/>
  <c r="L18" i="20"/>
  <c r="L16" i="20"/>
  <c r="L14" i="20"/>
  <c r="L17" i="20"/>
  <c r="R8" i="20"/>
  <c r="C50" i="20"/>
  <c r="C78" i="20"/>
  <c r="C106" i="20"/>
  <c r="C134" i="20"/>
  <c r="C162" i="20"/>
  <c r="C190" i="20"/>
  <c r="C218" i="20"/>
  <c r="R148" i="20"/>
  <c r="D54" i="33"/>
  <c r="AA32" i="33"/>
  <c r="AA31" i="33"/>
  <c r="AA30" i="33"/>
  <c r="AA29" i="33"/>
  <c r="AA28" i="33"/>
  <c r="AL27" i="33"/>
  <c r="AA27" i="33"/>
  <c r="AL26" i="33"/>
  <c r="AA26" i="33"/>
  <c r="AL25" i="33"/>
  <c r="AA25" i="33"/>
  <c r="AL24" i="33"/>
  <c r="AA24" i="33"/>
  <c r="AL23" i="33"/>
  <c r="AA23" i="33"/>
  <c r="AL22" i="33"/>
  <c r="AA22" i="33"/>
  <c r="AL21" i="33"/>
  <c r="AA21" i="33"/>
  <c r="AL20" i="33"/>
  <c r="AA20" i="33"/>
  <c r="AL19" i="33"/>
  <c r="AA19" i="33"/>
  <c r="AL18" i="33"/>
  <c r="AA18" i="33"/>
  <c r="AL17" i="33"/>
  <c r="AA17" i="33"/>
  <c r="AL16" i="33"/>
  <c r="AA16" i="33"/>
  <c r="AL15" i="33"/>
  <c r="AA15" i="33"/>
  <c r="AL14" i="33"/>
  <c r="AC14" i="33"/>
  <c r="AC15" i="33"/>
  <c r="AA14" i="33"/>
  <c r="AL13" i="33"/>
  <c r="AA13" i="33"/>
  <c r="AL12" i="33"/>
  <c r="AL11" i="33"/>
  <c r="AL10" i="33"/>
  <c r="AB10" i="33"/>
  <c r="AD13" i="33"/>
  <c r="AL9" i="33"/>
  <c r="AB9" i="33"/>
  <c r="AD9" i="33"/>
  <c r="AL8" i="33"/>
  <c r="AB8" i="33"/>
  <c r="AD8" i="33"/>
  <c r="AB7" i="33"/>
  <c r="AD7" i="33"/>
  <c r="J40" i="33"/>
  <c r="K40" i="33"/>
  <c r="G5" i="33"/>
  <c r="H5" i="33"/>
  <c r="I5" i="33"/>
  <c r="G4" i="33"/>
  <c r="H4" i="33"/>
  <c r="I4" i="33"/>
  <c r="AL17" i="23"/>
  <c r="AL18" i="23"/>
  <c r="AL19" i="23"/>
  <c r="AL16" i="23"/>
  <c r="V9" i="23"/>
  <c r="V8" i="23"/>
  <c r="AG4" i="33"/>
  <c r="AG5" i="33"/>
  <c r="AI6" i="33"/>
  <c r="AI7" i="33"/>
  <c r="G41" i="33"/>
  <c r="H41" i="33"/>
  <c r="I41" i="33"/>
  <c r="J5" i="33"/>
  <c r="K5" i="33"/>
  <c r="L5" i="33"/>
  <c r="J4" i="33"/>
  <c r="K4" i="33"/>
  <c r="L4" i="33"/>
  <c r="J6" i="33"/>
  <c r="K6" i="33"/>
  <c r="L6" i="33"/>
  <c r="G40" i="33"/>
  <c r="H40" i="33"/>
  <c r="AI4" i="33"/>
  <c r="AI5" i="33"/>
  <c r="AG6" i="33"/>
  <c r="G6" i="33"/>
  <c r="H6" i="33"/>
  <c r="I6" i="33"/>
  <c r="AG7" i="33"/>
  <c r="G7" i="33"/>
  <c r="H7" i="33"/>
  <c r="I7" i="33"/>
  <c r="G42" i="33"/>
  <c r="H42" i="33"/>
  <c r="I42" i="33"/>
  <c r="I40" i="33"/>
  <c r="L40" i="33"/>
  <c r="J14" i="33"/>
  <c r="K14" i="33"/>
  <c r="L14" i="33"/>
  <c r="J47" i="33"/>
  <c r="K47" i="33"/>
  <c r="L47" i="33"/>
  <c r="J45" i="33"/>
  <c r="K45" i="33"/>
  <c r="L45" i="33"/>
  <c r="J10" i="33"/>
  <c r="K10" i="33"/>
  <c r="L10" i="33"/>
  <c r="J13" i="33"/>
  <c r="K13" i="33"/>
  <c r="L13" i="33"/>
  <c r="J12" i="33"/>
  <c r="K12" i="33"/>
  <c r="L12" i="33"/>
  <c r="J11" i="33"/>
  <c r="K11" i="33"/>
  <c r="L11" i="33"/>
  <c r="J44" i="33"/>
  <c r="K44" i="33"/>
  <c r="L44" i="33"/>
  <c r="AD10" i="33"/>
  <c r="G43" i="33"/>
  <c r="H43" i="33"/>
  <c r="I43" i="33"/>
  <c r="G9" i="33"/>
  <c r="H9" i="33"/>
  <c r="I9" i="33"/>
  <c r="AC16" i="33"/>
  <c r="AD15" i="33"/>
  <c r="AB15" i="33"/>
  <c r="AB16" i="33"/>
  <c r="AB18" i="33"/>
  <c r="AB20" i="33"/>
  <c r="AB21" i="33"/>
  <c r="AB22" i="33"/>
  <c r="AB23" i="33"/>
  <c r="AB24" i="33"/>
  <c r="AB26" i="33"/>
  <c r="AB28" i="33"/>
  <c r="AB27" i="33"/>
  <c r="AB25" i="33"/>
  <c r="AB19" i="33"/>
  <c r="AB17" i="33"/>
  <c r="G8" i="33"/>
  <c r="H8" i="33"/>
  <c r="I8" i="33"/>
  <c r="AB13" i="33"/>
  <c r="AB14" i="33"/>
  <c r="AD14" i="33"/>
  <c r="AB29" i="33"/>
  <c r="AB30" i="33"/>
  <c r="AB32" i="33"/>
  <c r="AB31" i="33"/>
  <c r="I91" i="31"/>
  <c r="J91" i="31"/>
  <c r="I89" i="31"/>
  <c r="J89" i="31"/>
  <c r="J11" i="31"/>
  <c r="J12" i="31"/>
  <c r="O32" i="17"/>
  <c r="M9" i="28"/>
  <c r="M8" i="28"/>
  <c r="M10" i="28"/>
  <c r="M11" i="28"/>
  <c r="R6" i="28"/>
  <c r="M7" i="28"/>
  <c r="U20" i="21"/>
  <c r="U19" i="21"/>
  <c r="N43" i="21"/>
  <c r="E16" i="21"/>
  <c r="M9" i="30"/>
  <c r="M8" i="30"/>
  <c r="M7" i="30"/>
  <c r="R163" i="20"/>
  <c r="AI27" i="33"/>
  <c r="AG27" i="33"/>
  <c r="G39" i="33"/>
  <c r="H39" i="33"/>
  <c r="I39" i="33"/>
  <c r="AG24" i="33"/>
  <c r="AI24" i="33"/>
  <c r="G20" i="33"/>
  <c r="H20" i="33"/>
  <c r="I20" i="33"/>
  <c r="G19" i="33"/>
  <c r="H19" i="33"/>
  <c r="I19" i="33"/>
  <c r="G17" i="33"/>
  <c r="H17" i="33"/>
  <c r="I17" i="33"/>
  <c r="G46" i="33"/>
  <c r="H46" i="33"/>
  <c r="I46" i="33"/>
  <c r="G48" i="33"/>
  <c r="H48" i="33"/>
  <c r="I48" i="33"/>
  <c r="G18" i="33"/>
  <c r="H18" i="33"/>
  <c r="I18" i="33"/>
  <c r="G16" i="33"/>
  <c r="H16" i="33"/>
  <c r="I16" i="33"/>
  <c r="G15" i="33"/>
  <c r="H15" i="33"/>
  <c r="I15" i="33"/>
  <c r="AI9" i="33"/>
  <c r="AG9" i="33"/>
  <c r="G50" i="33"/>
  <c r="H50" i="33"/>
  <c r="I50" i="33"/>
  <c r="G33" i="33"/>
  <c r="H33" i="33"/>
  <c r="I33" i="33"/>
  <c r="G49" i="33"/>
  <c r="H49" i="33"/>
  <c r="I49" i="33"/>
  <c r="G32" i="33"/>
  <c r="H32" i="33"/>
  <c r="I32" i="33"/>
  <c r="G31" i="33"/>
  <c r="H31" i="33"/>
  <c r="I31" i="33"/>
  <c r="AG14" i="33"/>
  <c r="AI14" i="33"/>
  <c r="G38" i="33"/>
  <c r="H38" i="33"/>
  <c r="I38" i="33"/>
  <c r="AG22" i="33"/>
  <c r="AI22" i="33"/>
  <c r="AI21" i="33"/>
  <c r="AG21" i="33"/>
  <c r="AG18" i="33"/>
  <c r="AI18" i="33"/>
  <c r="G37" i="33"/>
  <c r="H37" i="33"/>
  <c r="I37" i="33"/>
  <c r="G53" i="33"/>
  <c r="H53" i="33"/>
  <c r="I53" i="33"/>
  <c r="G52" i="33"/>
  <c r="H52" i="33"/>
  <c r="I52" i="33"/>
  <c r="AG16" i="33"/>
  <c r="AI16" i="33"/>
  <c r="G30" i="33"/>
  <c r="H30" i="33"/>
  <c r="I30" i="33"/>
  <c r="AG13" i="33"/>
  <c r="AI13" i="33"/>
  <c r="AG10" i="33"/>
  <c r="AI10" i="33"/>
  <c r="AC17" i="33"/>
  <c r="AD16" i="33"/>
  <c r="AG26" i="33"/>
  <c r="AI26" i="33"/>
  <c r="AI25" i="33"/>
  <c r="AG25" i="33"/>
  <c r="J18" i="33"/>
  <c r="K18" i="33"/>
  <c r="L18" i="33"/>
  <c r="J16" i="33"/>
  <c r="K16" i="33"/>
  <c r="L16" i="33"/>
  <c r="J15" i="33"/>
  <c r="K15" i="33"/>
  <c r="L15" i="33"/>
  <c r="J20" i="33"/>
  <c r="K20" i="33"/>
  <c r="L20" i="33"/>
  <c r="J19" i="33"/>
  <c r="K19" i="33"/>
  <c r="L19" i="33"/>
  <c r="J17" i="33"/>
  <c r="K17" i="33"/>
  <c r="L17" i="33"/>
  <c r="J46" i="33"/>
  <c r="K46" i="33"/>
  <c r="L46" i="33"/>
  <c r="J48" i="33"/>
  <c r="K48" i="33"/>
  <c r="L48" i="33"/>
  <c r="G13" i="33"/>
  <c r="H13" i="33"/>
  <c r="I13" i="33"/>
  <c r="G12" i="33"/>
  <c r="H12" i="33"/>
  <c r="I12" i="33"/>
  <c r="G11" i="33"/>
  <c r="H11" i="33"/>
  <c r="I11" i="33"/>
  <c r="G14" i="33"/>
  <c r="H14" i="33"/>
  <c r="I14" i="33"/>
  <c r="G47" i="33"/>
  <c r="H47" i="33"/>
  <c r="I47" i="33"/>
  <c r="G45" i="33"/>
  <c r="H45" i="33"/>
  <c r="I45" i="33"/>
  <c r="G10" i="33"/>
  <c r="H10" i="33"/>
  <c r="I10" i="33"/>
  <c r="AG8" i="33"/>
  <c r="G44" i="33"/>
  <c r="H44" i="33"/>
  <c r="I44" i="33"/>
  <c r="AI8" i="33"/>
  <c r="G29" i="33"/>
  <c r="H29" i="33"/>
  <c r="I29" i="33"/>
  <c r="G28" i="33"/>
  <c r="H28" i="33"/>
  <c r="I28" i="33"/>
  <c r="G27" i="33"/>
  <c r="H27" i="33"/>
  <c r="I27" i="33"/>
  <c r="G26" i="33"/>
  <c r="H26" i="33"/>
  <c r="I26" i="33"/>
  <c r="G25" i="33"/>
  <c r="H25" i="33"/>
  <c r="I25" i="33"/>
  <c r="G24" i="33"/>
  <c r="H24" i="33"/>
  <c r="I24" i="33"/>
  <c r="G23" i="33"/>
  <c r="H23" i="33"/>
  <c r="I23" i="33"/>
  <c r="AG12" i="33"/>
  <c r="AI12" i="33"/>
  <c r="AG20" i="33"/>
  <c r="AI20" i="33"/>
  <c r="AI23" i="33"/>
  <c r="AG23" i="33"/>
  <c r="AI19" i="33"/>
  <c r="AG19" i="33"/>
  <c r="AI17" i="33"/>
  <c r="AG17" i="33"/>
  <c r="G36" i="33"/>
  <c r="H36" i="33"/>
  <c r="I36" i="33"/>
  <c r="G35" i="33"/>
  <c r="H35" i="33"/>
  <c r="I35" i="33"/>
  <c r="G51" i="33"/>
  <c r="H51" i="33"/>
  <c r="I51" i="33"/>
  <c r="G34" i="33"/>
  <c r="H34" i="33"/>
  <c r="I34" i="33"/>
  <c r="AI15" i="33"/>
  <c r="AG15" i="33"/>
  <c r="G22" i="33"/>
  <c r="H22" i="33"/>
  <c r="I22" i="33"/>
  <c r="G21" i="33"/>
  <c r="H21" i="33"/>
  <c r="I21" i="33"/>
  <c r="AI11" i="33"/>
  <c r="AG11" i="33"/>
  <c r="J9" i="33"/>
  <c r="K9" i="33"/>
  <c r="L9" i="33"/>
  <c r="J43" i="33"/>
  <c r="K43" i="33"/>
  <c r="L43" i="33"/>
  <c r="J41" i="33"/>
  <c r="K41" i="33"/>
  <c r="L41" i="33"/>
  <c r="J8" i="33"/>
  <c r="K8" i="33"/>
  <c r="L8" i="33"/>
  <c r="J42" i="33"/>
  <c r="K42" i="33"/>
  <c r="L42" i="33"/>
  <c r="J7" i="33"/>
  <c r="K7" i="33"/>
  <c r="E43" i="21"/>
  <c r="M10" i="30"/>
  <c r="M11" i="30"/>
  <c r="Q6" i="30"/>
  <c r="N18" i="15"/>
  <c r="I54" i="33"/>
  <c r="H54" i="33"/>
  <c r="H55" i="33"/>
  <c r="H57" i="33"/>
  <c r="AC18" i="33"/>
  <c r="AD17" i="33"/>
  <c r="L7" i="33"/>
  <c r="J22" i="33"/>
  <c r="K22" i="33"/>
  <c r="L22" i="33"/>
  <c r="J21" i="33"/>
  <c r="K21" i="33"/>
  <c r="L21" i="33"/>
  <c r="J29" i="33"/>
  <c r="K29" i="33"/>
  <c r="L29" i="33"/>
  <c r="J28" i="33"/>
  <c r="K28" i="33"/>
  <c r="L28" i="33"/>
  <c r="J27" i="33"/>
  <c r="K27" i="33"/>
  <c r="L27" i="33"/>
  <c r="J26" i="33"/>
  <c r="K26" i="33"/>
  <c r="L26" i="33"/>
  <c r="J25" i="33"/>
  <c r="K25" i="33"/>
  <c r="L25" i="33"/>
  <c r="J24" i="33"/>
  <c r="K24" i="33"/>
  <c r="L24" i="33"/>
  <c r="J23" i="33"/>
  <c r="K23" i="33"/>
  <c r="L23" i="33"/>
  <c r="AC19" i="33"/>
  <c r="AD18" i="33"/>
  <c r="J30" i="33"/>
  <c r="K30" i="33"/>
  <c r="L30" i="33"/>
  <c r="H6" i="13"/>
  <c r="G48" i="24"/>
  <c r="G45" i="24"/>
  <c r="G44" i="24"/>
  <c r="G47" i="24"/>
  <c r="G34" i="18"/>
  <c r="G33" i="18"/>
  <c r="G30" i="18"/>
  <c r="G31" i="18"/>
  <c r="G32" i="18"/>
  <c r="G29" i="18"/>
  <c r="D10" i="13"/>
  <c r="D9" i="13"/>
  <c r="D8" i="13"/>
  <c r="D11" i="13"/>
  <c r="D12" i="13"/>
  <c r="R9" i="28"/>
  <c r="C15" i="18"/>
  <c r="AC20" i="33"/>
  <c r="AD19" i="33"/>
  <c r="G35" i="18"/>
  <c r="G36" i="18"/>
  <c r="G38" i="18" s="1"/>
  <c r="I18" i="15"/>
  <c r="G9" i="21"/>
  <c r="G20" i="30"/>
  <c r="E19" i="30"/>
  <c r="W18" i="30"/>
  <c r="P18" i="30"/>
  <c r="W17" i="30"/>
  <c r="Q20" i="30"/>
  <c r="P17" i="30"/>
  <c r="S17" i="30" s="1"/>
  <c r="S19" i="30" s="1"/>
  <c r="S20" i="30" s="1"/>
  <c r="S21" i="30" s="1"/>
  <c r="O17" i="30"/>
  <c r="G17" i="30"/>
  <c r="O14" i="30"/>
  <c r="O13" i="30"/>
  <c r="W12" i="30"/>
  <c r="S14" i="30"/>
  <c r="W11" i="30"/>
  <c r="S13" i="30"/>
  <c r="P11" i="30"/>
  <c r="R10" i="30"/>
  <c r="W8" i="30"/>
  <c r="Q9" i="30"/>
  <c r="S9" i="30"/>
  <c r="D8" i="30"/>
  <c r="W7" i="30"/>
  <c r="Q8" i="30"/>
  <c r="S8" i="30"/>
  <c r="C7" i="30"/>
  <c r="E7" i="30" s="1"/>
  <c r="E8" i="30" s="1"/>
  <c r="E6" i="30"/>
  <c r="H5" i="30"/>
  <c r="G5" i="30"/>
  <c r="P8" i="18"/>
  <c r="R8" i="18"/>
  <c r="J8" i="18"/>
  <c r="L8" i="18"/>
  <c r="O8" i="18"/>
  <c r="I8" i="18"/>
  <c r="AE25" i="23"/>
  <c r="AC25" i="23"/>
  <c r="J50" i="33"/>
  <c r="K50" i="33"/>
  <c r="L50" i="33"/>
  <c r="J33" i="33"/>
  <c r="K33" i="33"/>
  <c r="L33" i="33"/>
  <c r="J49" i="33"/>
  <c r="K49" i="33"/>
  <c r="L49" i="33"/>
  <c r="J32" i="33"/>
  <c r="K32" i="33"/>
  <c r="L32" i="33"/>
  <c r="J31" i="33"/>
  <c r="K31" i="33"/>
  <c r="AC21" i="33"/>
  <c r="AD20" i="33"/>
  <c r="S10" i="30"/>
  <c r="O35" i="21"/>
  <c r="F35" i="21"/>
  <c r="O8" i="21"/>
  <c r="F7" i="21"/>
  <c r="AC22" i="33"/>
  <c r="AD21" i="33"/>
  <c r="J36" i="33"/>
  <c r="K36" i="33"/>
  <c r="L36" i="33"/>
  <c r="J35" i="33"/>
  <c r="K35" i="33"/>
  <c r="L35" i="33"/>
  <c r="J51" i="33"/>
  <c r="K51" i="33"/>
  <c r="L51" i="33"/>
  <c r="J34" i="33"/>
  <c r="K34" i="33"/>
  <c r="L34" i="33"/>
  <c r="L31" i="33"/>
  <c r="S11" i="30"/>
  <c r="S12" i="30"/>
  <c r="S16" i="30"/>
  <c r="AE24" i="23"/>
  <c r="AD8" i="23"/>
  <c r="V28" i="23"/>
  <c r="J37" i="33"/>
  <c r="K37" i="33"/>
  <c r="L37" i="33"/>
  <c r="J53" i="33"/>
  <c r="K53" i="33"/>
  <c r="L53" i="33"/>
  <c r="J52" i="33"/>
  <c r="K52" i="33"/>
  <c r="L52" i="33"/>
  <c r="AC23" i="33"/>
  <c r="AD22" i="33"/>
  <c r="S18" i="30"/>
  <c r="O6" i="17"/>
  <c r="Y32" i="17"/>
  <c r="T32" i="17"/>
  <c r="W29" i="17"/>
  <c r="R29" i="17"/>
  <c r="M29" i="17"/>
  <c r="P14" i="28"/>
  <c r="P13" i="28"/>
  <c r="X12" i="28"/>
  <c r="X11" i="28"/>
  <c r="B8" i="16"/>
  <c r="I14" i="16"/>
  <c r="I13" i="16"/>
  <c r="I12" i="16"/>
  <c r="I11" i="16"/>
  <c r="I10" i="16"/>
  <c r="E14" i="16"/>
  <c r="F14" i="16"/>
  <c r="I9" i="16"/>
  <c r="E13" i="16"/>
  <c r="F13" i="16"/>
  <c r="J7" i="16"/>
  <c r="J6" i="16"/>
  <c r="I6" i="16"/>
  <c r="I7" i="16"/>
  <c r="D6" i="14"/>
  <c r="C6" i="14"/>
  <c r="C11" i="14"/>
  <c r="B11" i="14"/>
  <c r="F14" i="13"/>
  <c r="F13" i="13"/>
  <c r="N12" i="13"/>
  <c r="J14" i="13"/>
  <c r="N11" i="13"/>
  <c r="J13" i="13"/>
  <c r="C11" i="7"/>
  <c r="C31" i="7"/>
  <c r="C51" i="7"/>
  <c r="C10" i="7"/>
  <c r="C30" i="7"/>
  <c r="C50" i="7"/>
  <c r="X7" i="28"/>
  <c r="I11" i="7"/>
  <c r="I12" i="7"/>
  <c r="Q27" i="17"/>
  <c r="V27" i="17"/>
  <c r="L27" i="17"/>
  <c r="AC24" i="33"/>
  <c r="AD23" i="33"/>
  <c r="E15" i="16"/>
  <c r="F15" i="16"/>
  <c r="E16" i="16"/>
  <c r="F16" i="16"/>
  <c r="N7" i="13"/>
  <c r="E22" i="28"/>
  <c r="E21" i="28"/>
  <c r="E20" i="28"/>
  <c r="G19" i="28"/>
  <c r="G17" i="28"/>
  <c r="Q17" i="28"/>
  <c r="X18" i="28"/>
  <c r="Q16" i="28"/>
  <c r="P16" i="28"/>
  <c r="X17" i="28"/>
  <c r="R19" i="28"/>
  <c r="Q11" i="28"/>
  <c r="S10" i="28"/>
  <c r="T9" i="28"/>
  <c r="D8" i="28"/>
  <c r="C7" i="28"/>
  <c r="G7" i="28" s="1"/>
  <c r="H7" i="28" s="1"/>
  <c r="E6" i="28"/>
  <c r="G5" i="28"/>
  <c r="H5" i="28"/>
  <c r="K6" i="18"/>
  <c r="I7" i="18"/>
  <c r="C16" i="18"/>
  <c r="C12" i="18"/>
  <c r="P14" i="18" s="1"/>
  <c r="R14" i="18" s="1"/>
  <c r="C13" i="18"/>
  <c r="C14" i="18"/>
  <c r="C5" i="18"/>
  <c r="D5" i="18"/>
  <c r="I23" i="24"/>
  <c r="F22" i="24"/>
  <c r="L23" i="24"/>
  <c r="G74" i="27"/>
  <c r="G75" i="27"/>
  <c r="E63" i="27"/>
  <c r="E64" i="27"/>
  <c r="F62" i="27"/>
  <c r="F63" i="27"/>
  <c r="F64" i="27"/>
  <c r="D55" i="27"/>
  <c r="C55" i="27"/>
  <c r="D54" i="27"/>
  <c r="C54" i="27"/>
  <c r="D53" i="27"/>
  <c r="C53" i="27"/>
  <c r="D49" i="27"/>
  <c r="C49" i="27"/>
  <c r="D48" i="27"/>
  <c r="C48" i="27"/>
  <c r="D47" i="27"/>
  <c r="C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D37" i="27"/>
  <c r="C37" i="27"/>
  <c r="D36" i="27"/>
  <c r="C36" i="27"/>
  <c r="D35" i="27"/>
  <c r="C35" i="27"/>
  <c r="D31" i="27"/>
  <c r="C31" i="27"/>
  <c r="D30" i="27"/>
  <c r="C30" i="27"/>
  <c r="D29" i="27"/>
  <c r="C29" i="27"/>
  <c r="D28" i="27"/>
  <c r="C28" i="27"/>
  <c r="D27" i="27"/>
  <c r="C27" i="27"/>
  <c r="D26" i="27"/>
  <c r="C26" i="27"/>
  <c r="D25" i="27"/>
  <c r="C25" i="27"/>
  <c r="D21" i="27"/>
  <c r="C21" i="27"/>
  <c r="D20" i="27"/>
  <c r="C20" i="27"/>
  <c r="D19" i="27"/>
  <c r="C19" i="27"/>
  <c r="D18" i="27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8" i="27"/>
  <c r="C8" i="27"/>
  <c r="D7" i="27"/>
  <c r="C7" i="27"/>
  <c r="D6" i="27"/>
  <c r="C6" i="27"/>
  <c r="D5" i="27"/>
  <c r="C5" i="27"/>
  <c r="D4" i="27"/>
  <c r="C4" i="27"/>
  <c r="L26" i="25"/>
  <c r="AC25" i="33"/>
  <c r="AD24" i="33"/>
  <c r="J15" i="18"/>
  <c r="P15" i="18"/>
  <c r="T14" i="28"/>
  <c r="T13" i="28"/>
  <c r="L15" i="18"/>
  <c r="J14" i="18"/>
  <c r="L14" i="18"/>
  <c r="R8" i="28"/>
  <c r="T8" i="28"/>
  <c r="T10" i="28"/>
  <c r="T16" i="28"/>
  <c r="T18" i="28" s="1"/>
  <c r="T19" i="28" s="1"/>
  <c r="T20" i="28" s="1"/>
  <c r="J19" i="24"/>
  <c r="V24" i="11"/>
  <c r="V23" i="11"/>
  <c r="V5" i="11"/>
  <c r="L19" i="15"/>
  <c r="N19" i="15" s="1"/>
  <c r="N20" i="15" s="1"/>
  <c r="N22" i="15" s="1"/>
  <c r="N23" i="15" s="1"/>
  <c r="I84" i="31" s="1"/>
  <c r="J84" i="31" s="1"/>
  <c r="I19" i="15"/>
  <c r="N15" i="15"/>
  <c r="M8" i="15"/>
  <c r="L8" i="15"/>
  <c r="N8" i="15"/>
  <c r="L7" i="15"/>
  <c r="N7" i="15"/>
  <c r="C18" i="15"/>
  <c r="L23" i="15"/>
  <c r="R19" i="11"/>
  <c r="R14" i="11"/>
  <c r="K13" i="11"/>
  <c r="K8" i="11"/>
  <c r="K7" i="11"/>
  <c r="T8" i="11"/>
  <c r="V8" i="11"/>
  <c r="K6" i="11"/>
  <c r="T7" i="11"/>
  <c r="V7" i="11"/>
  <c r="T9" i="11"/>
  <c r="V9" i="11"/>
  <c r="K16" i="11"/>
  <c r="R23" i="11"/>
  <c r="R20" i="11"/>
  <c r="Q20" i="11"/>
  <c r="V17" i="11"/>
  <c r="O23" i="10"/>
  <c r="O18" i="10"/>
  <c r="O13" i="10"/>
  <c r="P24" i="10"/>
  <c r="O16" i="10"/>
  <c r="C12" i="10"/>
  <c r="K19" i="10"/>
  <c r="J19" i="10"/>
  <c r="C8" i="10"/>
  <c r="C7" i="10"/>
  <c r="C6" i="10"/>
  <c r="M7" i="10"/>
  <c r="C5" i="10"/>
  <c r="M6" i="10"/>
  <c r="M9" i="10"/>
  <c r="M8" i="10"/>
  <c r="C15" i="10"/>
  <c r="K23" i="10"/>
  <c r="G20" i="9"/>
  <c r="F20" i="9"/>
  <c r="C18" i="9"/>
  <c r="I24" i="9"/>
  <c r="N48" i="21"/>
  <c r="E48" i="21"/>
  <c r="K48" i="21"/>
  <c r="B48" i="21"/>
  <c r="N21" i="21"/>
  <c r="E21" i="21"/>
  <c r="K21" i="21"/>
  <c r="B21" i="21"/>
  <c r="U23" i="21"/>
  <c r="N52" i="21"/>
  <c r="W39" i="17"/>
  <c r="R39" i="17"/>
  <c r="M39" i="17"/>
  <c r="V39" i="17"/>
  <c r="Q39" i="17"/>
  <c r="L39" i="17"/>
  <c r="P20" i="17"/>
  <c r="R41" i="17"/>
  <c r="C20" i="16"/>
  <c r="F20" i="16" s="1"/>
  <c r="F21" i="16" s="1"/>
  <c r="F22" i="16" s="1"/>
  <c r="F24" i="16" s="1"/>
  <c r="B20" i="16"/>
  <c r="I19" i="16"/>
  <c r="D22" i="16"/>
  <c r="H14" i="14"/>
  <c r="J17" i="14"/>
  <c r="I15" i="14"/>
  <c r="I10" i="14"/>
  <c r="J6" i="14"/>
  <c r="J7" i="14"/>
  <c r="G17" i="13"/>
  <c r="F17" i="13"/>
  <c r="N17" i="13"/>
  <c r="H20" i="13"/>
  <c r="G19" i="7"/>
  <c r="G55" i="7"/>
  <c r="I55" i="7" s="1"/>
  <c r="I57" i="7" s="1"/>
  <c r="I59" i="7" s="1"/>
  <c r="I60" i="7" s="1"/>
  <c r="G15" i="7"/>
  <c r="I15" i="7" s="1"/>
  <c r="I17" i="7" s="1"/>
  <c r="I19" i="7" s="1"/>
  <c r="F55" i="7"/>
  <c r="F35" i="7"/>
  <c r="F15" i="7"/>
  <c r="G35" i="7"/>
  <c r="I35" i="7" s="1"/>
  <c r="I37" i="7" s="1"/>
  <c r="I39" i="7" s="1"/>
  <c r="C56" i="7"/>
  <c r="G59" i="7"/>
  <c r="C36" i="7"/>
  <c r="G39" i="7"/>
  <c r="C16" i="7"/>
  <c r="P20" i="18"/>
  <c r="O20" i="18"/>
  <c r="J20" i="18"/>
  <c r="I20" i="18"/>
  <c r="C22" i="18"/>
  <c r="J23" i="18" s="1"/>
  <c r="AE17" i="23"/>
  <c r="AE28" i="23"/>
  <c r="F29" i="24"/>
  <c r="BS23" i="26"/>
  <c r="BR23" i="26"/>
  <c r="BQ23" i="26"/>
  <c r="BP23" i="26"/>
  <c r="BO23" i="26"/>
  <c r="BN23" i="26"/>
  <c r="BM23" i="26"/>
  <c r="BL23" i="26"/>
  <c r="BU23" i="26"/>
  <c r="BU25" i="26"/>
  <c r="BS22" i="26"/>
  <c r="BR22" i="26"/>
  <c r="BQ22" i="26"/>
  <c r="BP22" i="26"/>
  <c r="BO22" i="26"/>
  <c r="BN22" i="26"/>
  <c r="BM22" i="26"/>
  <c r="BU19" i="26"/>
  <c r="BL19" i="26"/>
  <c r="AC26" i="33"/>
  <c r="AD25" i="33"/>
  <c r="M41" i="17"/>
  <c r="G21" i="28"/>
  <c r="T11" i="28"/>
  <c r="T12" i="28"/>
  <c r="T15" i="28"/>
  <c r="M9" i="15"/>
  <c r="N9" i="15"/>
  <c r="V11" i="11"/>
  <c r="N26" i="21"/>
  <c r="E26" i="21"/>
  <c r="E52" i="21"/>
  <c r="W41" i="17"/>
  <c r="J28" i="24"/>
  <c r="J27" i="24"/>
  <c r="L27" i="24" s="1"/>
  <c r="L29" i="24" s="1"/>
  <c r="L31" i="24" s="1"/>
  <c r="L33" i="24" s="1"/>
  <c r="L34" i="24" s="1"/>
  <c r="K37" i="24" s="1"/>
  <c r="I27" i="24"/>
  <c r="J31" i="24"/>
  <c r="J21" i="24"/>
  <c r="L19" i="24"/>
  <c r="I19" i="24"/>
  <c r="D8" i="24"/>
  <c r="D7" i="24"/>
  <c r="D6" i="24"/>
  <c r="F1" i="24"/>
  <c r="AC27" i="33"/>
  <c r="AD26" i="33"/>
  <c r="G22" i="28"/>
  <c r="H22" i="28"/>
  <c r="G20" i="28"/>
  <c r="T17" i="28"/>
  <c r="N12" i="15"/>
  <c r="N13" i="15"/>
  <c r="N16" i="15"/>
  <c r="V14" i="11"/>
  <c r="V15" i="11"/>
  <c r="V18" i="11"/>
  <c r="L21" i="24"/>
  <c r="L22" i="24"/>
  <c r="E6" i="24"/>
  <c r="E7" i="24"/>
  <c r="E8" i="24"/>
  <c r="AE11" i="23"/>
  <c r="AF8" i="23"/>
  <c r="AC28" i="33"/>
  <c r="AD27" i="33"/>
  <c r="J38" i="33"/>
  <c r="K38" i="33"/>
  <c r="L38" i="33"/>
  <c r="AF17" i="23"/>
  <c r="AF18" i="23"/>
  <c r="AF21" i="23"/>
  <c r="AF19" i="23"/>
  <c r="AF20" i="23"/>
  <c r="L26" i="24"/>
  <c r="L28" i="24"/>
  <c r="N17" i="15"/>
  <c r="V19" i="11"/>
  <c r="V20" i="11"/>
  <c r="AC29" i="33"/>
  <c r="AD28" i="33"/>
  <c r="V21" i="11"/>
  <c r="AD29" i="33"/>
  <c r="J39" i="33"/>
  <c r="K39" i="33"/>
  <c r="AC30" i="33"/>
  <c r="AD30" i="33"/>
  <c r="AC31" i="33"/>
  <c r="L39" i="33"/>
  <c r="K54" i="33"/>
  <c r="K55" i="33"/>
  <c r="L54" i="33"/>
  <c r="AD31" i="33"/>
  <c r="AC32" i="33"/>
  <c r="AD32" i="33"/>
  <c r="F23" i="4"/>
  <c r="J28" i="4"/>
  <c r="J25" i="4"/>
  <c r="J22" i="4"/>
  <c r="I22" i="4"/>
  <c r="J19" i="4"/>
  <c r="J17" i="4"/>
  <c r="L17" i="4"/>
  <c r="I17" i="4"/>
  <c r="D8" i="4"/>
  <c r="E8" i="4"/>
  <c r="L22" i="4"/>
  <c r="L19" i="4"/>
  <c r="L20" i="4"/>
  <c r="G18" i="13"/>
  <c r="G11" i="13"/>
  <c r="L23" i="4"/>
  <c r="L25" i="4"/>
  <c r="L26" i="4"/>
  <c r="L28" i="4"/>
  <c r="L30" i="4"/>
  <c r="L31" i="4"/>
  <c r="G36" i="21"/>
  <c r="C17" i="9"/>
  <c r="X24" i="15"/>
  <c r="F26" i="11"/>
  <c r="N14" i="8"/>
  <c r="G34" i="21"/>
  <c r="G33" i="21"/>
  <c r="P21" i="17"/>
  <c r="N18" i="13"/>
  <c r="C17" i="7"/>
  <c r="F1" i="4"/>
  <c r="BB21" i="22"/>
  <c r="BC25" i="22"/>
  <c r="BD25" i="22"/>
  <c r="BE25" i="22"/>
  <c r="BF25" i="22"/>
  <c r="BG25" i="22"/>
  <c r="BH25" i="22"/>
  <c r="BI25" i="22"/>
  <c r="BB25" i="22"/>
  <c r="BI39" i="22"/>
  <c r="BH39" i="22"/>
  <c r="BG39" i="22"/>
  <c r="BF39" i="22"/>
  <c r="BE39" i="22"/>
  <c r="BD39" i="22"/>
  <c r="BC39" i="22"/>
  <c r="BB39" i="22"/>
  <c r="BK39" i="22"/>
  <c r="BE35" i="22"/>
  <c r="BD35" i="22"/>
  <c r="BC35" i="22"/>
  <c r="BB35" i="22"/>
  <c r="BK35" i="22"/>
  <c r="BK25" i="22"/>
  <c r="BK21" i="22"/>
  <c r="C13" i="9"/>
  <c r="C9" i="9"/>
  <c r="C11" i="9"/>
  <c r="C6" i="7"/>
  <c r="C37" i="7"/>
  <c r="C26" i="7"/>
  <c r="C57" i="7"/>
  <c r="C46" i="7"/>
  <c r="W212" i="21"/>
  <c r="O34" i="21"/>
  <c r="E17" i="21"/>
  <c r="T35" i="17"/>
  <c r="T36" i="17"/>
  <c r="Y35" i="17"/>
  <c r="Y36" i="17"/>
  <c r="O35" i="17"/>
  <c r="O36" i="17"/>
  <c r="H8" i="13"/>
  <c r="BK27" i="22"/>
  <c r="BK41" i="22"/>
  <c r="F34" i="21"/>
  <c r="H34" i="21"/>
  <c r="F33" i="21"/>
  <c r="H33" i="21"/>
  <c r="E47" i="21"/>
  <c r="E40" i="21"/>
  <c r="E44" i="21"/>
  <c r="N44" i="21"/>
  <c r="N47" i="21"/>
  <c r="N40" i="21"/>
  <c r="O36" i="21"/>
  <c r="O33" i="21"/>
  <c r="N22" i="21"/>
  <c r="N17" i="21"/>
  <c r="Q17" i="21"/>
  <c r="N14" i="21"/>
  <c r="O6" i="21"/>
  <c r="E20" i="21"/>
  <c r="E13" i="21"/>
  <c r="F6" i="21"/>
  <c r="H35" i="21"/>
  <c r="Y205" i="21"/>
  <c r="N18" i="21"/>
  <c r="F36" i="21"/>
  <c r="H36" i="21"/>
  <c r="F9" i="21"/>
  <c r="O7" i="21"/>
  <c r="O10" i="21"/>
  <c r="P6" i="21"/>
  <c r="P36" i="21"/>
  <c r="Q36" i="21"/>
  <c r="Q35" i="21"/>
  <c r="P34" i="21"/>
  <c r="Q34" i="21"/>
  <c r="P33" i="21"/>
  <c r="Q33" i="21"/>
  <c r="Q31" i="21"/>
  <c r="Y196" i="21"/>
  <c r="Z198" i="21"/>
  <c r="Y194" i="21"/>
  <c r="Z196" i="21"/>
  <c r="Y193" i="21"/>
  <c r="Z195" i="21"/>
  <c r="Y192" i="21"/>
  <c r="Z194" i="21"/>
  <c r="Y191" i="21"/>
  <c r="Z193" i="21"/>
  <c r="H31" i="21"/>
  <c r="Z191" i="21"/>
  <c r="P10" i="21"/>
  <c r="Q10" i="21"/>
  <c r="H9" i="21"/>
  <c r="Q8" i="21"/>
  <c r="H7" i="21"/>
  <c r="P7" i="21"/>
  <c r="Q7" i="21"/>
  <c r="G6" i="21"/>
  <c r="H6" i="21"/>
  <c r="X7" i="21"/>
  <c r="V7" i="21"/>
  <c r="X6" i="21"/>
  <c r="V6" i="21"/>
  <c r="X5" i="21"/>
  <c r="X9" i="21"/>
  <c r="X10" i="21"/>
  <c r="V5" i="21"/>
  <c r="V9" i="21"/>
  <c r="V10" i="21"/>
  <c r="Q18" i="21"/>
  <c r="Q6" i="21"/>
  <c r="W195" i="21"/>
  <c r="Y195" i="21"/>
  <c r="Z197" i="21"/>
  <c r="Z199" i="21"/>
  <c r="Q37" i="21"/>
  <c r="Q48" i="21"/>
  <c r="Z205" i="21"/>
  <c r="Z206" i="21"/>
  <c r="H10" i="9"/>
  <c r="H9" i="9"/>
  <c r="H8" i="9"/>
  <c r="P37" i="21"/>
  <c r="Y197" i="21"/>
  <c r="Q19" i="21"/>
  <c r="H37" i="21"/>
  <c r="H48" i="21"/>
  <c r="G37" i="21"/>
  <c r="Q40" i="21"/>
  <c r="Q41" i="21"/>
  <c r="Z202" i="21"/>
  <c r="Z203" i="21"/>
  <c r="Z207" i="21"/>
  <c r="H289" i="20"/>
  <c r="L284" i="20"/>
  <c r="I277" i="20"/>
  <c r="J273" i="20"/>
  <c r="K272" i="20"/>
  <c r="J272" i="20"/>
  <c r="O208" i="20"/>
  <c r="I208" i="20"/>
  <c r="C208" i="20"/>
  <c r="P203" i="20"/>
  <c r="J203" i="20"/>
  <c r="D203" i="20"/>
  <c r="Q202" i="20"/>
  <c r="P202" i="20"/>
  <c r="K202" i="20"/>
  <c r="J202" i="20"/>
  <c r="E202" i="20"/>
  <c r="D202" i="20"/>
  <c r="O180" i="20"/>
  <c r="I180" i="20"/>
  <c r="P175" i="20"/>
  <c r="J175" i="20"/>
  <c r="D175" i="20"/>
  <c r="P174" i="20"/>
  <c r="K174" i="20"/>
  <c r="J174" i="20"/>
  <c r="D174" i="20"/>
  <c r="O152" i="20"/>
  <c r="I152" i="20"/>
  <c r="C152" i="20"/>
  <c r="P147" i="20"/>
  <c r="J147" i="20"/>
  <c r="D147" i="20"/>
  <c r="P146" i="20"/>
  <c r="R146" i="20"/>
  <c r="K146" i="20"/>
  <c r="J146" i="20"/>
  <c r="E146" i="20"/>
  <c r="D146" i="20"/>
  <c r="O124" i="20"/>
  <c r="I124" i="20"/>
  <c r="C124" i="20"/>
  <c r="P119" i="20"/>
  <c r="J119" i="20"/>
  <c r="D119" i="20"/>
  <c r="Q118" i="20"/>
  <c r="P118" i="20"/>
  <c r="K118" i="20"/>
  <c r="J118" i="20"/>
  <c r="E118" i="20"/>
  <c r="D118" i="20"/>
  <c r="O96" i="20"/>
  <c r="I96" i="20"/>
  <c r="P91" i="20"/>
  <c r="J91" i="20"/>
  <c r="D91" i="20"/>
  <c r="Q90" i="20"/>
  <c r="P90" i="20"/>
  <c r="J90" i="20"/>
  <c r="D90" i="20"/>
  <c r="O68" i="20"/>
  <c r="I68" i="20"/>
  <c r="C68" i="20"/>
  <c r="P63" i="20"/>
  <c r="J63" i="20"/>
  <c r="D63" i="20"/>
  <c r="P62" i="20"/>
  <c r="J62" i="20"/>
  <c r="D62" i="20"/>
  <c r="O40" i="20"/>
  <c r="I40" i="20"/>
  <c r="C40" i="20"/>
  <c r="P35" i="20"/>
  <c r="J35" i="20"/>
  <c r="D35" i="20"/>
  <c r="P34" i="20"/>
  <c r="J34" i="20"/>
  <c r="D34" i="20"/>
  <c r="T27" i="20"/>
  <c r="AF59" i="20"/>
  <c r="AF58" i="20"/>
  <c r="AH58" i="20"/>
  <c r="O12" i="20"/>
  <c r="I12" i="20"/>
  <c r="P7" i="20"/>
  <c r="J7" i="20"/>
  <c r="D7" i="20"/>
  <c r="P6" i="20"/>
  <c r="J6" i="20"/>
  <c r="E9" i="20"/>
  <c r="D6" i="20"/>
  <c r="D9" i="20"/>
  <c r="T28" i="20"/>
  <c r="Q7" i="20"/>
  <c r="K7" i="20"/>
  <c r="F174" i="20"/>
  <c r="R62" i="20"/>
  <c r="L62" i="20"/>
  <c r="F62" i="20"/>
  <c r="L6" i="20"/>
  <c r="F146" i="20"/>
  <c r="L146" i="20"/>
  <c r="L202" i="20"/>
  <c r="R174" i="20"/>
  <c r="R202" i="20"/>
  <c r="U28" i="20"/>
  <c r="L34" i="20"/>
  <c r="R34" i="20"/>
  <c r="H43" i="21"/>
  <c r="H45" i="21"/>
  <c r="H44" i="21"/>
  <c r="Q44" i="21"/>
  <c r="Q43" i="21"/>
  <c r="H40" i="21"/>
  <c r="H41" i="21"/>
  <c r="P11" i="21"/>
  <c r="Z208" i="21"/>
  <c r="Y201" i="21"/>
  <c r="P41" i="21"/>
  <c r="O193" i="20"/>
  <c r="I193" i="20"/>
  <c r="C193" i="20"/>
  <c r="I137" i="20"/>
  <c r="C109" i="20"/>
  <c r="O221" i="20"/>
  <c r="I221" i="20"/>
  <c r="C221" i="20"/>
  <c r="O137" i="20"/>
  <c r="C137" i="20"/>
  <c r="I109" i="20"/>
  <c r="I53" i="20"/>
  <c r="F7" i="20"/>
  <c r="C53" i="20"/>
  <c r="O53" i="20"/>
  <c r="F90" i="20"/>
  <c r="L90" i="20"/>
  <c r="R90" i="20"/>
  <c r="F118" i="20"/>
  <c r="R118" i="20"/>
  <c r="L272" i="20"/>
  <c r="H10" i="21"/>
  <c r="G10" i="21"/>
  <c r="Q11" i="21"/>
  <c r="Q21" i="21"/>
  <c r="AH59" i="20"/>
  <c r="AH60" i="20"/>
  <c r="R7" i="20"/>
  <c r="F6" i="20"/>
  <c r="O165" i="20"/>
  <c r="I165" i="20"/>
  <c r="C165" i="20"/>
  <c r="O81" i="20"/>
  <c r="I81" i="20"/>
  <c r="C81" i="20"/>
  <c r="C25" i="20"/>
  <c r="I25" i="20"/>
  <c r="O25" i="20"/>
  <c r="AF61" i="20"/>
  <c r="O109" i="20"/>
  <c r="L118" i="20"/>
  <c r="L174" i="20"/>
  <c r="F202" i="20"/>
  <c r="I289" i="20"/>
  <c r="P19" i="18"/>
  <c r="P11" i="18"/>
  <c r="Q7" i="18"/>
  <c r="Q6" i="18"/>
  <c r="P7" i="18"/>
  <c r="P6" i="18"/>
  <c r="R6" i="18"/>
  <c r="O7" i="18"/>
  <c r="O6" i="18"/>
  <c r="F9" i="20"/>
  <c r="F22" i="20"/>
  <c r="T29" i="20"/>
  <c r="E35" i="20"/>
  <c r="F12" i="20"/>
  <c r="F13" i="20"/>
  <c r="F20" i="20"/>
  <c r="K9" i="20"/>
  <c r="F23" i="20"/>
  <c r="L7" i="20"/>
  <c r="L9" i="20"/>
  <c r="U29" i="20"/>
  <c r="Q6" i="20"/>
  <c r="H16" i="21"/>
  <c r="H18" i="21"/>
  <c r="H17" i="21"/>
  <c r="Q45" i="21"/>
  <c r="Q46" i="21"/>
  <c r="H13" i="21"/>
  <c r="H21" i="21"/>
  <c r="Q9" i="18"/>
  <c r="R15" i="18" s="1"/>
  <c r="G41" i="21"/>
  <c r="H46" i="21"/>
  <c r="Q14" i="21"/>
  <c r="Q15" i="21"/>
  <c r="Q47" i="21"/>
  <c r="Q49" i="21"/>
  <c r="Q51" i="21"/>
  <c r="Q52" i="21"/>
  <c r="Q53" i="21"/>
  <c r="I90" i="31"/>
  <c r="J90" i="31"/>
  <c r="Z209" i="21"/>
  <c r="Z210" i="21"/>
  <c r="Z213" i="21"/>
  <c r="Z214" i="21"/>
  <c r="T30" i="20"/>
  <c r="K35" i="20"/>
  <c r="F35" i="20"/>
  <c r="AH61" i="20"/>
  <c r="AH62" i="20"/>
  <c r="R7" i="18"/>
  <c r="E34" i="20"/>
  <c r="E37" i="20"/>
  <c r="F21" i="20"/>
  <c r="F24" i="20"/>
  <c r="L22" i="20"/>
  <c r="L12" i="20"/>
  <c r="L13" i="20"/>
  <c r="R6" i="20"/>
  <c r="R9" i="20"/>
  <c r="R12" i="20"/>
  <c r="R13" i="20"/>
  <c r="Q9" i="20"/>
  <c r="F34" i="20"/>
  <c r="F37" i="20"/>
  <c r="F40" i="20"/>
  <c r="F41" i="20"/>
  <c r="R9" i="18"/>
  <c r="R20" i="18" s="1"/>
  <c r="Q55" i="21"/>
  <c r="H47" i="21"/>
  <c r="H51" i="21"/>
  <c r="H52" i="21"/>
  <c r="Z215" i="21"/>
  <c r="Z216" i="21"/>
  <c r="Q54" i="21"/>
  <c r="Q56" i="21"/>
  <c r="Q20" i="21"/>
  <c r="P15" i="21"/>
  <c r="T31" i="20"/>
  <c r="Q35" i="20"/>
  <c r="I92" i="31"/>
  <c r="J92" i="31"/>
  <c r="F25" i="20"/>
  <c r="F26" i="20"/>
  <c r="R22" i="20"/>
  <c r="L23" i="20"/>
  <c r="L20" i="20"/>
  <c r="K37" i="20"/>
  <c r="L35" i="20"/>
  <c r="L37" i="20"/>
  <c r="F50" i="20"/>
  <c r="H54" i="21"/>
  <c r="H53" i="21"/>
  <c r="Q22" i="21"/>
  <c r="T32" i="20"/>
  <c r="E63" i="20"/>
  <c r="L21" i="20"/>
  <c r="L24" i="20"/>
  <c r="L50" i="20"/>
  <c r="L40" i="20"/>
  <c r="L41" i="20"/>
  <c r="Q37" i="20"/>
  <c r="R35" i="20"/>
  <c r="R37" i="20"/>
  <c r="F51" i="20"/>
  <c r="R23" i="20"/>
  <c r="R20" i="20"/>
  <c r="F48" i="20"/>
  <c r="H55" i="21"/>
  <c r="H56" i="21"/>
  <c r="Q23" i="21"/>
  <c r="Q25" i="21" s="1"/>
  <c r="Q26" i="21" s="1"/>
  <c r="T33" i="20"/>
  <c r="K63" i="20"/>
  <c r="L25" i="20"/>
  <c r="L26" i="20"/>
  <c r="L28" i="20"/>
  <c r="R21" i="20"/>
  <c r="R24" i="20"/>
  <c r="F49" i="20"/>
  <c r="F52" i="20"/>
  <c r="R40" i="20"/>
  <c r="R41" i="20"/>
  <c r="R50" i="20"/>
  <c r="L48" i="20"/>
  <c r="F63" i="20"/>
  <c r="F65" i="20"/>
  <c r="E65" i="20"/>
  <c r="L51" i="20"/>
  <c r="T34" i="20"/>
  <c r="Q63" i="20"/>
  <c r="Q57" i="8"/>
  <c r="Q58" i="8"/>
  <c r="O36" i="8"/>
  <c r="C8" i="8"/>
  <c r="C7" i="8"/>
  <c r="C5" i="8"/>
  <c r="C15" i="8"/>
  <c r="A15" i="8"/>
  <c r="A36" i="8"/>
  <c r="M36" i="8"/>
  <c r="G36" i="8"/>
  <c r="A57" i="8"/>
  <c r="D27" i="8"/>
  <c r="D28" i="8"/>
  <c r="D29" i="8"/>
  <c r="D26" i="8"/>
  <c r="O57" i="8"/>
  <c r="M57" i="8"/>
  <c r="G57" i="8"/>
  <c r="O64" i="8"/>
  <c r="O59" i="8"/>
  <c r="O54" i="8"/>
  <c r="P48" i="8"/>
  <c r="P49" i="8"/>
  <c r="P50" i="8"/>
  <c r="P47" i="8"/>
  <c r="I54" i="8"/>
  <c r="J48" i="8"/>
  <c r="J49" i="8"/>
  <c r="J50" i="8"/>
  <c r="J47" i="8"/>
  <c r="C57" i="8"/>
  <c r="E57" i="8"/>
  <c r="E58" i="8"/>
  <c r="C54" i="8"/>
  <c r="C59" i="8"/>
  <c r="D48" i="8"/>
  <c r="D49" i="8"/>
  <c r="D50" i="8"/>
  <c r="D47" i="8"/>
  <c r="O48" i="8"/>
  <c r="O49" i="8"/>
  <c r="O50" i="8"/>
  <c r="I48" i="8"/>
  <c r="I49" i="8"/>
  <c r="I50" i="8"/>
  <c r="C48" i="8"/>
  <c r="C49" i="8"/>
  <c r="C50" i="8"/>
  <c r="C36" i="8"/>
  <c r="C38" i="8"/>
  <c r="C33" i="8"/>
  <c r="C27" i="8"/>
  <c r="C28" i="8"/>
  <c r="C29" i="8"/>
  <c r="D7" i="8"/>
  <c r="D8" i="8"/>
  <c r="D5" i="8"/>
  <c r="G15" i="8"/>
  <c r="C17" i="8"/>
  <c r="C12" i="8"/>
  <c r="P27" i="8"/>
  <c r="P29" i="8"/>
  <c r="P26" i="8"/>
  <c r="O38" i="8"/>
  <c r="O33" i="8"/>
  <c r="O27" i="8"/>
  <c r="O29" i="8"/>
  <c r="I36" i="8"/>
  <c r="L30" i="20"/>
  <c r="Y27" i="20"/>
  <c r="X27" i="20"/>
  <c r="F53" i="20"/>
  <c r="F54" i="20"/>
  <c r="F56" i="20"/>
  <c r="X29" i="20"/>
  <c r="R25" i="20"/>
  <c r="R26" i="20"/>
  <c r="R28" i="20"/>
  <c r="X28" i="20"/>
  <c r="L49" i="20"/>
  <c r="L52" i="20"/>
  <c r="F78" i="20"/>
  <c r="F68" i="20"/>
  <c r="F69" i="20"/>
  <c r="R51" i="20"/>
  <c r="K65" i="20"/>
  <c r="L63" i="20"/>
  <c r="L65" i="20"/>
  <c r="R48" i="20"/>
  <c r="T35" i="20"/>
  <c r="E91" i="20"/>
  <c r="Q61" i="8"/>
  <c r="Q63" i="8"/>
  <c r="Q59" i="8"/>
  <c r="P30" i="8"/>
  <c r="R30" i="20"/>
  <c r="Y28" i="20"/>
  <c r="M6" i="33"/>
  <c r="N6" i="33"/>
  <c r="O6" i="33"/>
  <c r="M4" i="33"/>
  <c r="N4" i="33"/>
  <c r="O4" i="33"/>
  <c r="M5" i="33"/>
  <c r="N5" i="33"/>
  <c r="O5" i="33"/>
  <c r="F58" i="20"/>
  <c r="Y29" i="20"/>
  <c r="M42" i="33"/>
  <c r="N42" i="33"/>
  <c r="O42" i="33"/>
  <c r="M8" i="33"/>
  <c r="N8" i="33"/>
  <c r="O8" i="33"/>
  <c r="M7" i="33"/>
  <c r="N7" i="33"/>
  <c r="O7" i="33"/>
  <c r="M41" i="33"/>
  <c r="N41" i="33"/>
  <c r="O41" i="33"/>
  <c r="M9" i="33"/>
  <c r="N9" i="33"/>
  <c r="O9" i="33"/>
  <c r="M43" i="33"/>
  <c r="N43" i="33"/>
  <c r="O43" i="33"/>
  <c r="L53" i="20"/>
  <c r="L54" i="20"/>
  <c r="L56" i="20"/>
  <c r="X30" i="20"/>
  <c r="R49" i="20"/>
  <c r="R52" i="20"/>
  <c r="L78" i="20"/>
  <c r="L68" i="20"/>
  <c r="L69" i="20"/>
  <c r="F76" i="20"/>
  <c r="Q65" i="20"/>
  <c r="R63" i="20"/>
  <c r="R65" i="20"/>
  <c r="F79" i="20"/>
  <c r="T36" i="20"/>
  <c r="K91" i="20"/>
  <c r="I12" i="8"/>
  <c r="I57" i="8"/>
  <c r="I59" i="8"/>
  <c r="I38" i="8"/>
  <c r="I33" i="8"/>
  <c r="J27" i="8"/>
  <c r="J28" i="8"/>
  <c r="J29" i="8"/>
  <c r="J26" i="8"/>
  <c r="I27" i="8"/>
  <c r="I28" i="8"/>
  <c r="I29" i="8"/>
  <c r="J7" i="8"/>
  <c r="J8" i="8"/>
  <c r="J5" i="8"/>
  <c r="I8" i="8"/>
  <c r="I7" i="8"/>
  <c r="I15" i="8"/>
  <c r="C19" i="16"/>
  <c r="C11" i="16"/>
  <c r="D8" i="16"/>
  <c r="D7" i="16"/>
  <c r="L58" i="20"/>
  <c r="Y30" i="20"/>
  <c r="M11" i="33"/>
  <c r="N11" i="33"/>
  <c r="O11" i="33"/>
  <c r="M12" i="33"/>
  <c r="N12" i="33"/>
  <c r="O12" i="33"/>
  <c r="M13" i="33"/>
  <c r="N13" i="33"/>
  <c r="O13" i="33"/>
  <c r="M44" i="33"/>
  <c r="N44" i="33"/>
  <c r="O44" i="33"/>
  <c r="M10" i="33"/>
  <c r="N10" i="33"/>
  <c r="O10" i="33"/>
  <c r="M47" i="33"/>
  <c r="N47" i="33"/>
  <c r="O47" i="33"/>
  <c r="M14" i="33"/>
  <c r="N14" i="33"/>
  <c r="O14" i="33"/>
  <c r="M45" i="33"/>
  <c r="N45" i="33"/>
  <c r="O45" i="33"/>
  <c r="R53" i="20"/>
  <c r="R54" i="20"/>
  <c r="R56" i="20"/>
  <c r="X31" i="20"/>
  <c r="F77" i="20"/>
  <c r="F80" i="20"/>
  <c r="R78" i="20"/>
  <c r="R68" i="20"/>
  <c r="R69" i="20"/>
  <c r="F91" i="20"/>
  <c r="F93" i="20"/>
  <c r="E93" i="20"/>
  <c r="L79" i="20"/>
  <c r="L76" i="20"/>
  <c r="T37" i="20"/>
  <c r="C64" i="8"/>
  <c r="C22" i="8"/>
  <c r="C43" i="8"/>
  <c r="I43" i="8"/>
  <c r="O43" i="8"/>
  <c r="I64" i="8"/>
  <c r="I22" i="8"/>
  <c r="Q35" i="17"/>
  <c r="R58" i="20"/>
  <c r="Y31" i="20"/>
  <c r="M46" i="33"/>
  <c r="N46" i="33"/>
  <c r="O46" i="33"/>
  <c r="M17" i="33"/>
  <c r="N17" i="33"/>
  <c r="O17" i="33"/>
  <c r="M19" i="33"/>
  <c r="N19" i="33"/>
  <c r="O19" i="33"/>
  <c r="M48" i="33"/>
  <c r="N48" i="33"/>
  <c r="O48" i="33"/>
  <c r="M15" i="33"/>
  <c r="N15" i="33"/>
  <c r="O15" i="33"/>
  <c r="M18" i="33"/>
  <c r="N18" i="33"/>
  <c r="O18" i="33"/>
  <c r="M20" i="33"/>
  <c r="N20" i="33"/>
  <c r="O20" i="33"/>
  <c r="M16" i="33"/>
  <c r="N16" i="33"/>
  <c r="O16" i="33"/>
  <c r="F81" i="20"/>
  <c r="F82" i="20"/>
  <c r="F84" i="20"/>
  <c r="L77" i="20"/>
  <c r="L80" i="20"/>
  <c r="F106" i="20"/>
  <c r="F96" i="20"/>
  <c r="F97" i="20"/>
  <c r="R76" i="20"/>
  <c r="K93" i="20"/>
  <c r="L91" i="20"/>
  <c r="L93" i="20"/>
  <c r="R79" i="20"/>
  <c r="T38" i="20"/>
  <c r="Q91" i="20"/>
  <c r="J19" i="18"/>
  <c r="J11" i="18"/>
  <c r="K7" i="18"/>
  <c r="J7" i="18"/>
  <c r="J6" i="18"/>
  <c r="L6" i="18" s="1"/>
  <c r="L9" i="18" s="1"/>
  <c r="N54" i="7"/>
  <c r="N14" i="7"/>
  <c r="N34" i="7"/>
  <c r="F86" i="20"/>
  <c r="Y32" i="20"/>
  <c r="X32" i="20"/>
  <c r="L81" i="20"/>
  <c r="L82" i="20"/>
  <c r="L84" i="20"/>
  <c r="X33" i="20"/>
  <c r="R77" i="20"/>
  <c r="R80" i="20"/>
  <c r="L106" i="20"/>
  <c r="L96" i="20"/>
  <c r="L97" i="20"/>
  <c r="Q93" i="20"/>
  <c r="R91" i="20"/>
  <c r="R93" i="20"/>
  <c r="F107" i="20"/>
  <c r="F104" i="20"/>
  <c r="L7" i="18"/>
  <c r="E119" i="20"/>
  <c r="T39" i="20"/>
  <c r="Y20" i="15"/>
  <c r="L86" i="20"/>
  <c r="Y33" i="20"/>
  <c r="M21" i="33"/>
  <c r="N21" i="33"/>
  <c r="O21" i="33"/>
  <c r="M22" i="33"/>
  <c r="N22" i="33"/>
  <c r="O22" i="33"/>
  <c r="R81" i="20"/>
  <c r="R82" i="20"/>
  <c r="R84" i="20"/>
  <c r="X34" i="20"/>
  <c r="F105" i="20"/>
  <c r="F108" i="20"/>
  <c r="R96" i="20"/>
  <c r="R97" i="20"/>
  <c r="R106" i="20"/>
  <c r="E121" i="20"/>
  <c r="F119" i="20"/>
  <c r="F121" i="20"/>
  <c r="L104" i="20"/>
  <c r="L107" i="20"/>
  <c r="K119" i="20"/>
  <c r="T40" i="20"/>
  <c r="G56" i="7"/>
  <c r="G49" i="7"/>
  <c r="H47" i="7"/>
  <c r="F47" i="7"/>
  <c r="G47" i="7"/>
  <c r="G36" i="7"/>
  <c r="H27" i="7"/>
  <c r="G29" i="7"/>
  <c r="F27" i="7"/>
  <c r="G9" i="7"/>
  <c r="G16" i="7"/>
  <c r="H7" i="7"/>
  <c r="F7" i="7"/>
  <c r="R86" i="20"/>
  <c r="Y34" i="20"/>
  <c r="M24" i="33"/>
  <c r="N24" i="33"/>
  <c r="O24" i="33"/>
  <c r="M26" i="33"/>
  <c r="N26" i="33"/>
  <c r="O26" i="33"/>
  <c r="M28" i="33"/>
  <c r="N28" i="33"/>
  <c r="O28" i="33"/>
  <c r="M23" i="33"/>
  <c r="N23" i="33"/>
  <c r="O23" i="33"/>
  <c r="M25" i="33"/>
  <c r="N25" i="33"/>
  <c r="O25" i="33"/>
  <c r="M29" i="33"/>
  <c r="N29" i="33"/>
  <c r="O29" i="33"/>
  <c r="M27" i="33"/>
  <c r="N27" i="33"/>
  <c r="O27" i="33"/>
  <c r="F109" i="20"/>
  <c r="F110" i="20"/>
  <c r="F112" i="20"/>
  <c r="X35" i="20"/>
  <c r="L105" i="20"/>
  <c r="L108" i="20"/>
  <c r="R107" i="20"/>
  <c r="F134" i="20"/>
  <c r="F124" i="20"/>
  <c r="F125" i="20"/>
  <c r="K121" i="20"/>
  <c r="L119" i="20"/>
  <c r="L121" i="20"/>
  <c r="R104" i="20"/>
  <c r="Q119" i="20"/>
  <c r="T41" i="20"/>
  <c r="I47" i="7"/>
  <c r="I49" i="7"/>
  <c r="E10" i="16"/>
  <c r="F114" i="20"/>
  <c r="Y35" i="20"/>
  <c r="M30" i="33"/>
  <c r="N30" i="33"/>
  <c r="O30" i="33"/>
  <c r="L109" i="20"/>
  <c r="L110" i="20"/>
  <c r="L112" i="20"/>
  <c r="X36" i="20"/>
  <c r="R105" i="20"/>
  <c r="R108" i="20"/>
  <c r="L134" i="20"/>
  <c r="L124" i="20"/>
  <c r="L125" i="20"/>
  <c r="R119" i="20"/>
  <c r="R121" i="20"/>
  <c r="Q121" i="20"/>
  <c r="F135" i="20"/>
  <c r="F132" i="20"/>
  <c r="T42" i="20"/>
  <c r="E147" i="20"/>
  <c r="I50" i="7"/>
  <c r="V35" i="17"/>
  <c r="E45" i="17"/>
  <c r="E64" i="17"/>
  <c r="I10" i="13"/>
  <c r="J9" i="13"/>
  <c r="J8" i="13"/>
  <c r="L114" i="20"/>
  <c r="Y36" i="20"/>
  <c r="M32" i="33"/>
  <c r="N32" i="33"/>
  <c r="O32" i="33"/>
  <c r="M33" i="33"/>
  <c r="N33" i="33"/>
  <c r="O33" i="33"/>
  <c r="M31" i="33"/>
  <c r="N31" i="33"/>
  <c r="O31" i="33"/>
  <c r="M50" i="33"/>
  <c r="N50" i="33"/>
  <c r="O50" i="33"/>
  <c r="M49" i="33"/>
  <c r="N49" i="33"/>
  <c r="O49" i="33"/>
  <c r="R109" i="20"/>
  <c r="R110" i="20"/>
  <c r="R112" i="20"/>
  <c r="X37" i="20"/>
  <c r="F133" i="20"/>
  <c r="R134" i="20"/>
  <c r="R124" i="20"/>
  <c r="R125" i="20"/>
  <c r="E149" i="20"/>
  <c r="F147" i="20"/>
  <c r="F149" i="20"/>
  <c r="L132" i="20"/>
  <c r="L135" i="20"/>
  <c r="K147" i="20"/>
  <c r="T43" i="20"/>
  <c r="Q147" i="20"/>
  <c r="J10" i="13"/>
  <c r="J17" i="13"/>
  <c r="L6" i="14"/>
  <c r="L7" i="14"/>
  <c r="K8" i="14"/>
  <c r="R114" i="20"/>
  <c r="Y37" i="20"/>
  <c r="M51" i="33"/>
  <c r="N51" i="33"/>
  <c r="O51" i="33"/>
  <c r="M36" i="33"/>
  <c r="N36" i="33"/>
  <c r="O36" i="33"/>
  <c r="M34" i="33"/>
  <c r="N34" i="33"/>
  <c r="O34" i="33"/>
  <c r="M35" i="33"/>
  <c r="N35" i="33"/>
  <c r="O35" i="33"/>
  <c r="Q149" i="20"/>
  <c r="R147" i="20"/>
  <c r="R149" i="20"/>
  <c r="F136" i="20"/>
  <c r="L133" i="20"/>
  <c r="L136" i="20"/>
  <c r="F162" i="20"/>
  <c r="F152" i="20"/>
  <c r="F153" i="20"/>
  <c r="L147" i="20"/>
  <c r="L149" i="20"/>
  <c r="K149" i="20"/>
  <c r="R135" i="20"/>
  <c r="R132" i="20"/>
  <c r="J11" i="13"/>
  <c r="J12" i="13"/>
  <c r="J16" i="13"/>
  <c r="K273" i="20"/>
  <c r="L273" i="20"/>
  <c r="L274" i="20"/>
  <c r="L277" i="20"/>
  <c r="L278" i="20"/>
  <c r="L285" i="20"/>
  <c r="L286" i="20"/>
  <c r="L289" i="20"/>
  <c r="T44" i="20"/>
  <c r="L8" i="14"/>
  <c r="F137" i="20"/>
  <c r="F138" i="20"/>
  <c r="F140" i="20"/>
  <c r="X38" i="20"/>
  <c r="L137" i="20"/>
  <c r="L138" i="20"/>
  <c r="L140" i="20"/>
  <c r="R162" i="20"/>
  <c r="R152" i="20"/>
  <c r="R153" i="20"/>
  <c r="R160" i="20"/>
  <c r="R133" i="20"/>
  <c r="R136" i="20"/>
  <c r="L152" i="20"/>
  <c r="L153" i="20"/>
  <c r="L162" i="20"/>
  <c r="F163" i="20"/>
  <c r="F160" i="20"/>
  <c r="L10" i="14"/>
  <c r="L11" i="14"/>
  <c r="L13" i="14"/>
  <c r="L14" i="14"/>
  <c r="J18" i="13"/>
  <c r="J19" i="13"/>
  <c r="J20" i="13" s="1"/>
  <c r="J21" i="13" s="1"/>
  <c r="E175" i="20"/>
  <c r="T45" i="20"/>
  <c r="E7" i="4"/>
  <c r="E6" i="4"/>
  <c r="H24" i="5"/>
  <c r="K24" i="5"/>
  <c r="W24" i="5"/>
  <c r="Z24" i="5"/>
  <c r="E29" i="5"/>
  <c r="E31" i="5"/>
  <c r="E30" i="5"/>
  <c r="D31" i="5"/>
  <c r="E40" i="5"/>
  <c r="H46" i="5"/>
  <c r="K46" i="5"/>
  <c r="W46" i="5"/>
  <c r="Z46" i="5"/>
  <c r="E51" i="5"/>
  <c r="E53" i="5"/>
  <c r="E52" i="5"/>
  <c r="D53" i="5"/>
  <c r="E62" i="5"/>
  <c r="H68" i="5"/>
  <c r="K68" i="5"/>
  <c r="W68" i="5"/>
  <c r="Z68" i="5"/>
  <c r="H90" i="5"/>
  <c r="K90" i="5"/>
  <c r="W90" i="5"/>
  <c r="Z90" i="5"/>
  <c r="H112" i="5"/>
  <c r="K112" i="5"/>
  <c r="W112" i="5"/>
  <c r="Z112" i="5"/>
  <c r="H134" i="5"/>
  <c r="K134" i="5"/>
  <c r="W134" i="5"/>
  <c r="Z134" i="5"/>
  <c r="H156" i="5"/>
  <c r="K156" i="5"/>
  <c r="W156" i="5"/>
  <c r="Z156" i="5"/>
  <c r="H178" i="5"/>
  <c r="K178" i="5"/>
  <c r="W178" i="5"/>
  <c r="Z178" i="5"/>
  <c r="L142" i="20"/>
  <c r="Y39" i="20"/>
  <c r="X39" i="20"/>
  <c r="F142" i="20"/>
  <c r="Y38" i="20"/>
  <c r="M37" i="33"/>
  <c r="N37" i="33"/>
  <c r="O37" i="33"/>
  <c r="M52" i="33"/>
  <c r="N52" i="33"/>
  <c r="O52" i="33"/>
  <c r="M53" i="33"/>
  <c r="N53" i="33"/>
  <c r="O53" i="33"/>
  <c r="R137" i="20"/>
  <c r="R138" i="20"/>
  <c r="R140" i="20"/>
  <c r="R161" i="20"/>
  <c r="R164" i="20"/>
  <c r="F161" i="20"/>
  <c r="F164" i="20"/>
  <c r="L160" i="20"/>
  <c r="E177" i="20"/>
  <c r="F175" i="20"/>
  <c r="L163" i="20"/>
  <c r="L15" i="14"/>
  <c r="K175" i="20"/>
  <c r="T46" i="20"/>
  <c r="F177" i="20"/>
  <c r="E56" i="5"/>
  <c r="E57" i="5"/>
  <c r="E34" i="5"/>
  <c r="E35" i="5"/>
  <c r="R142" i="20"/>
  <c r="Y40" i="20"/>
  <c r="X40" i="20"/>
  <c r="R165" i="20"/>
  <c r="R166" i="20"/>
  <c r="R168" i="20"/>
  <c r="F165" i="20"/>
  <c r="F166" i="20"/>
  <c r="F168" i="20"/>
  <c r="L161" i="20"/>
  <c r="L164" i="20"/>
  <c r="K177" i="20"/>
  <c r="L175" i="20"/>
  <c r="L177" i="20"/>
  <c r="F180" i="20"/>
  <c r="F181" i="20"/>
  <c r="F190" i="20"/>
  <c r="L16" i="14"/>
  <c r="L26" i="14" s="1"/>
  <c r="L27" i="14" s="1"/>
  <c r="L28" i="14" s="1"/>
  <c r="Q175" i="20"/>
  <c r="T47" i="20"/>
  <c r="B57" i="5"/>
  <c r="E63" i="5"/>
  <c r="B35" i="5"/>
  <c r="E41" i="5"/>
  <c r="R170" i="20"/>
  <c r="Y43" i="20"/>
  <c r="X43" i="20"/>
  <c r="F170" i="20"/>
  <c r="Y41" i="20"/>
  <c r="X41" i="20"/>
  <c r="L165" i="20"/>
  <c r="L166" i="20"/>
  <c r="L168" i="20"/>
  <c r="L180" i="20"/>
  <c r="L181" i="20"/>
  <c r="L190" i="20"/>
  <c r="F191" i="20"/>
  <c r="Q177" i="20"/>
  <c r="R175" i="20"/>
  <c r="R177" i="20"/>
  <c r="F188" i="20"/>
  <c r="L17" i="14"/>
  <c r="L18" i="14" s="1"/>
  <c r="E203" i="20"/>
  <c r="T48" i="20"/>
  <c r="B37" i="5"/>
  <c r="B39" i="5"/>
  <c r="E42" i="5"/>
  <c r="B38" i="5"/>
  <c r="E43" i="5"/>
  <c r="E44" i="5"/>
  <c r="E45" i="5"/>
  <c r="E46" i="5"/>
  <c r="B59" i="5"/>
  <c r="B61" i="5"/>
  <c r="E64" i="5"/>
  <c r="B60" i="5"/>
  <c r="E65" i="5"/>
  <c r="E66" i="5"/>
  <c r="E67" i="5"/>
  <c r="E68" i="5"/>
  <c r="L170" i="20"/>
  <c r="Y42" i="20"/>
  <c r="X42" i="20"/>
  <c r="F189" i="20"/>
  <c r="F192" i="20"/>
  <c r="L191" i="20"/>
  <c r="R190" i="20"/>
  <c r="R180" i="20"/>
  <c r="R181" i="20"/>
  <c r="F203" i="20"/>
  <c r="F205" i="20"/>
  <c r="E205" i="20"/>
  <c r="L188" i="20"/>
  <c r="K203" i="20"/>
  <c r="T49" i="20"/>
  <c r="Q203" i="20"/>
  <c r="B62" i="5"/>
  <c r="B40" i="5"/>
  <c r="F193" i="20"/>
  <c r="F194" i="20"/>
  <c r="F196" i="20"/>
  <c r="X44" i="20"/>
  <c r="L189" i="20"/>
  <c r="L192" i="20"/>
  <c r="F208" i="20"/>
  <c r="F209" i="20"/>
  <c r="F218" i="20"/>
  <c r="R203" i="20"/>
  <c r="R205" i="20"/>
  <c r="R208" i="20"/>
  <c r="R209" i="20"/>
  <c r="Q205" i="20"/>
  <c r="R191" i="20"/>
  <c r="R188" i="20"/>
  <c r="K205" i="20"/>
  <c r="L203" i="20"/>
  <c r="L205" i="20"/>
  <c r="N50" i="8"/>
  <c r="H50" i="8"/>
  <c r="B50" i="8"/>
  <c r="N49" i="8"/>
  <c r="Q49" i="8"/>
  <c r="H49" i="8"/>
  <c r="K49" i="8"/>
  <c r="B49" i="8"/>
  <c r="E49" i="8"/>
  <c r="N48" i="8"/>
  <c r="Q48" i="8"/>
  <c r="H48" i="8"/>
  <c r="K48" i="8"/>
  <c r="B48" i="8"/>
  <c r="E48" i="8"/>
  <c r="N47" i="8"/>
  <c r="H47" i="8"/>
  <c r="B47" i="8"/>
  <c r="N29" i="8"/>
  <c r="H29" i="8"/>
  <c r="H28" i="8"/>
  <c r="K28" i="8"/>
  <c r="E28" i="8"/>
  <c r="N27" i="8"/>
  <c r="Q27" i="8"/>
  <c r="H27" i="8"/>
  <c r="K27" i="8"/>
  <c r="B27" i="8"/>
  <c r="E27" i="8"/>
  <c r="N26" i="8"/>
  <c r="H26" i="8"/>
  <c r="I17" i="8"/>
  <c r="H8" i="8"/>
  <c r="B8" i="8"/>
  <c r="H7" i="8"/>
  <c r="K7" i="8"/>
  <c r="B7" i="8"/>
  <c r="E7" i="8"/>
  <c r="H5" i="8"/>
  <c r="B5" i="8"/>
  <c r="F198" i="20"/>
  <c r="Y44" i="20"/>
  <c r="M38" i="33"/>
  <c r="N38" i="33"/>
  <c r="O38" i="33"/>
  <c r="L193" i="20"/>
  <c r="L194" i="20"/>
  <c r="L196" i="20"/>
  <c r="R189" i="20"/>
  <c r="R192" i="20"/>
  <c r="R218" i="20"/>
  <c r="L208" i="20"/>
  <c r="L209" i="20"/>
  <c r="L218" i="20"/>
  <c r="F219" i="20"/>
  <c r="F216" i="20"/>
  <c r="D30" i="8"/>
  <c r="E29" i="8"/>
  <c r="E50" i="8"/>
  <c r="K50" i="8"/>
  <c r="Q50" i="8"/>
  <c r="P51" i="8"/>
  <c r="D9" i="8"/>
  <c r="J9" i="8"/>
  <c r="E8" i="8"/>
  <c r="K8" i="8"/>
  <c r="J30" i="8"/>
  <c r="K29" i="8"/>
  <c r="Q29" i="8"/>
  <c r="D51" i="8"/>
  <c r="J51" i="8"/>
  <c r="L198" i="20"/>
  <c r="Y45" i="20"/>
  <c r="X45" i="20"/>
  <c r="R193" i="20"/>
  <c r="R194" i="20"/>
  <c r="R196" i="20"/>
  <c r="X46" i="20"/>
  <c r="F217" i="20"/>
  <c r="F220" i="20"/>
  <c r="R219" i="20"/>
  <c r="R216" i="20"/>
  <c r="L219" i="20"/>
  <c r="L216" i="20"/>
  <c r="E54" i="17"/>
  <c r="D50" i="17"/>
  <c r="C49" i="17"/>
  <c r="E49" i="17" s="1"/>
  <c r="E50" i="17" s="1"/>
  <c r="E30" i="17"/>
  <c r="D27" i="17"/>
  <c r="C26" i="17"/>
  <c r="E26" i="17"/>
  <c r="E27" i="17" s="1"/>
  <c r="E28" i="17" s="1"/>
  <c r="E11" i="17"/>
  <c r="E12" i="17"/>
  <c r="D7" i="17"/>
  <c r="C6" i="17"/>
  <c r="E6" i="17" s="1"/>
  <c r="E7" i="17" s="1"/>
  <c r="N9" i="10"/>
  <c r="O9" i="10"/>
  <c r="N8" i="10"/>
  <c r="O8" i="10"/>
  <c r="N7" i="10"/>
  <c r="O7" i="10"/>
  <c r="N6" i="10"/>
  <c r="B46" i="11"/>
  <c r="C37" i="11"/>
  <c r="C36" i="11"/>
  <c r="C35" i="11"/>
  <c r="C34" i="11"/>
  <c r="C33" i="11"/>
  <c r="C32" i="11"/>
  <c r="C31" i="11"/>
  <c r="D10" i="11"/>
  <c r="E9" i="11"/>
  <c r="E8" i="11"/>
  <c r="E7" i="11"/>
  <c r="P91" i="12"/>
  <c r="Q91" i="12" s="1"/>
  <c r="P84" i="12"/>
  <c r="P80" i="12"/>
  <c r="P79" i="12"/>
  <c r="P78" i="12"/>
  <c r="P77" i="12"/>
  <c r="P76" i="12"/>
  <c r="Q72" i="12"/>
  <c r="AI62" i="12"/>
  <c r="AI61" i="12"/>
  <c r="P58" i="12"/>
  <c r="Q58" i="12" s="1"/>
  <c r="G57" i="12"/>
  <c r="H57" i="12" s="1"/>
  <c r="AJ54" i="12"/>
  <c r="AJ53" i="12"/>
  <c r="AJ52" i="12"/>
  <c r="AJ51" i="12"/>
  <c r="P51" i="12"/>
  <c r="G50" i="12"/>
  <c r="AJ48" i="12"/>
  <c r="P47" i="12"/>
  <c r="P46" i="12"/>
  <c r="G46" i="12"/>
  <c r="P45" i="12"/>
  <c r="G45" i="12"/>
  <c r="P44" i="12"/>
  <c r="G44" i="12"/>
  <c r="P43" i="12"/>
  <c r="G43" i="12"/>
  <c r="AQ40" i="12"/>
  <c r="AI40" i="12"/>
  <c r="AQ39" i="12"/>
  <c r="AI39" i="12"/>
  <c r="Q39" i="12"/>
  <c r="H39" i="12"/>
  <c r="AQ38" i="12"/>
  <c r="AQ42" i="12"/>
  <c r="AQ43" i="12"/>
  <c r="AI38" i="12"/>
  <c r="AI42" i="12"/>
  <c r="AI43" i="12"/>
  <c r="AI29" i="12"/>
  <c r="P92" i="12" s="1"/>
  <c r="Q92" i="12" s="1"/>
  <c r="AI28" i="12"/>
  <c r="AJ21" i="12"/>
  <c r="AJ20" i="12"/>
  <c r="AJ19" i="12"/>
  <c r="O10" i="12" s="1"/>
  <c r="Q10" i="12" s="1"/>
  <c r="AJ18" i="12"/>
  <c r="O77" i="12"/>
  <c r="Q77" i="12" s="1"/>
  <c r="G18" i="12"/>
  <c r="P17" i="12"/>
  <c r="F17" i="12"/>
  <c r="AJ16" i="12"/>
  <c r="O43" i="12" s="1"/>
  <c r="Q43" i="12" s="1"/>
  <c r="O16" i="12"/>
  <c r="F15" i="12"/>
  <c r="O14" i="12"/>
  <c r="G14" i="12"/>
  <c r="G15" i="12"/>
  <c r="P13" i="12"/>
  <c r="P14" i="12"/>
  <c r="G13" i="12"/>
  <c r="P12" i="12"/>
  <c r="G12" i="12"/>
  <c r="P11" i="12"/>
  <c r="G11" i="12"/>
  <c r="P10" i="12"/>
  <c r="G10" i="12"/>
  <c r="P9" i="12"/>
  <c r="G9" i="12"/>
  <c r="AQ6" i="12"/>
  <c r="AI6" i="12"/>
  <c r="AQ5" i="12"/>
  <c r="AI5" i="12"/>
  <c r="Q5" i="12"/>
  <c r="H5" i="12"/>
  <c r="AQ4" i="12"/>
  <c r="AQ8" i="12"/>
  <c r="AQ9" i="12"/>
  <c r="AI4" i="12"/>
  <c r="AI8" i="12"/>
  <c r="AI9" i="12"/>
  <c r="S22" i="15"/>
  <c r="V7" i="15"/>
  <c r="U7" i="15"/>
  <c r="X7" i="15" s="1"/>
  <c r="Y7" i="15" s="1"/>
  <c r="V6" i="15"/>
  <c r="V8" i="15"/>
  <c r="U6" i="15"/>
  <c r="W6" i="15" s="1"/>
  <c r="U5" i="15"/>
  <c r="X5" i="15" s="1"/>
  <c r="Y5" i="15" s="1"/>
  <c r="D6" i="4"/>
  <c r="D7" i="4"/>
  <c r="F10" i="12"/>
  <c r="H10" i="12" s="1"/>
  <c r="R198" i="20"/>
  <c r="Y46" i="20"/>
  <c r="M39" i="33"/>
  <c r="N39" i="33"/>
  <c r="O39" i="33"/>
  <c r="F221" i="20"/>
  <c r="F222" i="20"/>
  <c r="F224" i="20"/>
  <c r="L217" i="20"/>
  <c r="L220" i="20"/>
  <c r="R217" i="20"/>
  <c r="C38" i="11"/>
  <c r="C40" i="11"/>
  <c r="B45" i="11"/>
  <c r="C46" i="11"/>
  <c r="T38" i="17"/>
  <c r="N10" i="10"/>
  <c r="O6" i="10"/>
  <c r="O10" i="10"/>
  <c r="E59" i="8"/>
  <c r="W5" i="15"/>
  <c r="W7" i="15"/>
  <c r="F7" i="16"/>
  <c r="F8" i="16"/>
  <c r="E31" i="17"/>
  <c r="E55" i="17"/>
  <c r="E10" i="11"/>
  <c r="E12" i="11"/>
  <c r="E32" i="17"/>
  <c r="E36" i="17" s="1"/>
  <c r="E13" i="11"/>
  <c r="N82" i="12"/>
  <c r="P82" i="12"/>
  <c r="E48" i="12"/>
  <c r="G48" i="12"/>
  <c r="N49" i="12"/>
  <c r="P49" i="12"/>
  <c r="E17" i="12"/>
  <c r="N16" i="12"/>
  <c r="E16" i="12"/>
  <c r="G16" i="12"/>
  <c r="N15" i="12"/>
  <c r="P15" i="12"/>
  <c r="P18" i="12"/>
  <c r="P16" i="12"/>
  <c r="G17" i="12"/>
  <c r="H15" i="12"/>
  <c r="G51" i="12"/>
  <c r="G19" i="12"/>
  <c r="Q14" i="12"/>
  <c r="Q16" i="12"/>
  <c r="H17" i="12"/>
  <c r="P52" i="12"/>
  <c r="P85" i="12"/>
  <c r="O76" i="12"/>
  <c r="Q76" i="12" s="1"/>
  <c r="O44" i="12"/>
  <c r="Q44" i="12" s="1"/>
  <c r="F226" i="20"/>
  <c r="Y47" i="20"/>
  <c r="X47" i="20"/>
  <c r="R220" i="20"/>
  <c r="L221" i="20"/>
  <c r="L222" i="20"/>
  <c r="L224" i="20"/>
  <c r="Y38" i="17"/>
  <c r="O14" i="10"/>
  <c r="Q64" i="8"/>
  <c r="E61" i="8"/>
  <c r="E63" i="8"/>
  <c r="E64" i="8"/>
  <c r="F10" i="16"/>
  <c r="E20" i="11"/>
  <c r="L226" i="20"/>
  <c r="Y48" i="20"/>
  <c r="X48" i="20"/>
  <c r="R221" i="20"/>
  <c r="R222" i="20"/>
  <c r="R224" i="20"/>
  <c r="E22" i="11"/>
  <c r="E24" i="11"/>
  <c r="B44" i="11"/>
  <c r="B48" i="11"/>
  <c r="O17" i="10"/>
  <c r="F11" i="16"/>
  <c r="F12" i="16"/>
  <c r="F18" i="16"/>
  <c r="R226" i="20"/>
  <c r="Y49" i="20"/>
  <c r="X49" i="20"/>
  <c r="B47" i="11"/>
  <c r="B50" i="11"/>
  <c r="F8" i="11"/>
  <c r="G8" i="11"/>
  <c r="O19" i="10"/>
  <c r="O20" i="10"/>
  <c r="F9" i="11"/>
  <c r="G9" i="11"/>
  <c r="F7" i="11"/>
  <c r="G7" i="11"/>
  <c r="G10" i="11"/>
  <c r="F19" i="16"/>
  <c r="G12" i="11"/>
  <c r="G13" i="11"/>
  <c r="F11" i="17"/>
  <c r="F10" i="17"/>
  <c r="F12" i="17"/>
  <c r="G20" i="11"/>
  <c r="G22" i="11"/>
  <c r="G24" i="11"/>
  <c r="G25" i="11"/>
  <c r="G26" i="11"/>
  <c r="G33" i="11"/>
  <c r="G27" i="7"/>
  <c r="G7" i="7"/>
  <c r="I7" i="7"/>
  <c r="I52" i="7"/>
  <c r="I51" i="7"/>
  <c r="I27" i="7"/>
  <c r="I29" i="7"/>
  <c r="I30" i="7"/>
  <c r="I31" i="7"/>
  <c r="I32" i="7"/>
  <c r="G27" i="11"/>
  <c r="X24" i="11"/>
  <c r="X23" i="11"/>
  <c r="I9" i="7"/>
  <c r="I10" i="7"/>
  <c r="I54" i="7"/>
  <c r="I14" i="7"/>
  <c r="I34" i="7"/>
  <c r="I56" i="7"/>
  <c r="I16" i="7"/>
  <c r="I36" i="7"/>
  <c r="C48" i="6"/>
  <c r="C19" i="6"/>
  <c r="K38" i="6"/>
  <c r="K35" i="6"/>
  <c r="K34" i="6"/>
  <c r="D34" i="6"/>
  <c r="K33" i="6"/>
  <c r="E33" i="6"/>
  <c r="K32" i="6"/>
  <c r="E32" i="6"/>
  <c r="E34" i="6"/>
  <c r="K31" i="6"/>
  <c r="K30" i="6"/>
  <c r="K29" i="6"/>
  <c r="C18" i="6"/>
  <c r="C15" i="6"/>
  <c r="C13" i="6"/>
  <c r="C10" i="6"/>
  <c r="D6" i="6"/>
  <c r="C6" i="6"/>
  <c r="B6" i="6"/>
  <c r="D5" i="6"/>
  <c r="C5" i="6"/>
  <c r="B5" i="6"/>
  <c r="E6" i="6"/>
  <c r="K36" i="6"/>
  <c r="K37" i="6"/>
  <c r="K39" i="6"/>
  <c r="E29" i="6"/>
  <c r="E5" i="6"/>
  <c r="D8" i="6"/>
  <c r="E35" i="6"/>
  <c r="E37" i="6"/>
  <c r="E8" i="6"/>
  <c r="E38" i="6"/>
  <c r="E40" i="6"/>
  <c r="E41" i="6"/>
  <c r="E10" i="6"/>
  <c r="E11" i="6"/>
  <c r="E14" i="6"/>
  <c r="E15" i="6"/>
  <c r="E17" i="6"/>
  <c r="E18" i="6"/>
  <c r="E19" i="6"/>
  <c r="E20" i="6"/>
  <c r="E21" i="6"/>
  <c r="G52" i="1"/>
  <c r="E13" i="6"/>
  <c r="E43" i="6"/>
  <c r="E44" i="6"/>
  <c r="E46" i="6"/>
  <c r="E47" i="6"/>
  <c r="E45" i="6"/>
  <c r="E48" i="6"/>
  <c r="E49" i="6"/>
  <c r="E50" i="6"/>
  <c r="N51" i="7"/>
  <c r="N50" i="7"/>
  <c r="N49" i="7"/>
  <c r="N48" i="7"/>
  <c r="B48" i="7"/>
  <c r="N47" i="7"/>
  <c r="N46" i="7"/>
  <c r="N31" i="7"/>
  <c r="N30" i="7"/>
  <c r="L29" i="7"/>
  <c r="L28" i="7"/>
  <c r="N28" i="7" s="1"/>
  <c r="M27" i="7"/>
  <c r="L27" i="7"/>
  <c r="M26" i="7"/>
  <c r="L26" i="7"/>
  <c r="N11" i="7"/>
  <c r="N10" i="7"/>
  <c r="M9" i="7"/>
  <c r="M29" i="7" s="1"/>
  <c r="N29" i="7" s="1"/>
  <c r="N8" i="7"/>
  <c r="M7" i="7"/>
  <c r="L7" i="7"/>
  <c r="M6" i="7"/>
  <c r="L6" i="7"/>
  <c r="N52" i="7"/>
  <c r="N53" i="7"/>
  <c r="N55" i="7"/>
  <c r="N9" i="7"/>
  <c r="I45" i="7"/>
  <c r="G6" i="9"/>
  <c r="J6" i="9"/>
  <c r="G19" i="9"/>
  <c r="G14" i="9"/>
  <c r="I10" i="9"/>
  <c r="J10" i="9"/>
  <c r="I9" i="9"/>
  <c r="J9" i="9"/>
  <c r="I8" i="9"/>
  <c r="J8" i="9"/>
  <c r="G10" i="9"/>
  <c r="G9" i="9"/>
  <c r="G8" i="9"/>
  <c r="D15" i="9"/>
  <c r="J11" i="9"/>
  <c r="J14" i="9"/>
  <c r="J15" i="9"/>
  <c r="I11" i="9"/>
  <c r="J18" i="9"/>
  <c r="C47" i="8"/>
  <c r="E47" i="8"/>
  <c r="E51" i="8"/>
  <c r="E54" i="8"/>
  <c r="O26" i="8"/>
  <c r="Q26" i="8"/>
  <c r="Q30" i="8"/>
  <c r="O47" i="8"/>
  <c r="Q47" i="8"/>
  <c r="Q51" i="8"/>
  <c r="I47" i="8"/>
  <c r="K47" i="8"/>
  <c r="K51" i="8"/>
  <c r="I26" i="8"/>
  <c r="K26" i="8"/>
  <c r="K30" i="8"/>
  <c r="C26" i="8"/>
  <c r="E26" i="8"/>
  <c r="E30" i="8"/>
  <c r="E5" i="8"/>
  <c r="E9" i="8"/>
  <c r="I5" i="8"/>
  <c r="K5" i="8"/>
  <c r="K9" i="8"/>
  <c r="J20" i="9"/>
  <c r="J19" i="9"/>
  <c r="K12" i="8"/>
  <c r="K13" i="8"/>
  <c r="E33" i="8"/>
  <c r="E34" i="8"/>
  <c r="Q54" i="8"/>
  <c r="Q55" i="8"/>
  <c r="E12" i="8"/>
  <c r="E13" i="8"/>
  <c r="K33" i="8"/>
  <c r="K34" i="8"/>
  <c r="K54" i="8"/>
  <c r="K55" i="8"/>
  <c r="Q33" i="8"/>
  <c r="Q34" i="8"/>
  <c r="Q36" i="8"/>
  <c r="Q37" i="8"/>
  <c r="J21" i="9"/>
  <c r="J23" i="9"/>
  <c r="J24" i="9"/>
  <c r="G67" i="1"/>
  <c r="Q38" i="8"/>
  <c r="Q40" i="8"/>
  <c r="Q42" i="8"/>
  <c r="Q43" i="8"/>
  <c r="K36" i="8"/>
  <c r="K37" i="8"/>
  <c r="K15" i="8"/>
  <c r="K16" i="8"/>
  <c r="E15" i="8"/>
  <c r="E16" i="8"/>
  <c r="E36" i="8"/>
  <c r="E37" i="8"/>
  <c r="K57" i="8"/>
  <c r="K58" i="8"/>
  <c r="K25" i="9"/>
  <c r="E17" i="8"/>
  <c r="E19" i="8"/>
  <c r="E21" i="8"/>
  <c r="E22" i="8"/>
  <c r="K38" i="8"/>
  <c r="K40" i="8"/>
  <c r="K42" i="8"/>
  <c r="K43" i="8"/>
  <c r="E38" i="8"/>
  <c r="E40" i="8"/>
  <c r="E42" i="8"/>
  <c r="E43" i="8"/>
  <c r="K17" i="8"/>
  <c r="K19" i="8" s="1"/>
  <c r="K21" i="8" s="1"/>
  <c r="K22" i="8" s="1"/>
  <c r="K59" i="8"/>
  <c r="K61" i="8"/>
  <c r="K63" i="8"/>
  <c r="K64" i="8"/>
  <c r="R27" i="17"/>
  <c r="T27" i="17"/>
  <c r="T28" i="17"/>
  <c r="T39" i="17"/>
  <c r="O27" i="17"/>
  <c r="O28" i="17"/>
  <c r="O39" i="17"/>
  <c r="W27" i="17"/>
  <c r="Y27" i="17"/>
  <c r="Y28" i="17"/>
  <c r="Y39" i="17"/>
  <c r="Y29" i="17"/>
  <c r="Y30" i="17"/>
  <c r="Y37" i="17"/>
  <c r="Y40" i="17" s="1"/>
  <c r="Y41" i="17" s="1"/>
  <c r="Y42" i="17" s="1"/>
  <c r="Y43" i="17" s="1"/>
  <c r="T29" i="17"/>
  <c r="T30" i="17"/>
  <c r="T37" i="17"/>
  <c r="O29" i="17"/>
  <c r="O30" i="17"/>
  <c r="O37" i="17"/>
  <c r="O38" i="17"/>
  <c r="O40" i="17" s="1"/>
  <c r="O41" i="17" s="1"/>
  <c r="H14" i="21"/>
  <c r="G14" i="21"/>
  <c r="H19" i="21"/>
  <c r="H20" i="21"/>
  <c r="H22" i="21"/>
  <c r="F4" i="27"/>
  <c r="H4" i="27"/>
  <c r="E49" i="27"/>
  <c r="G49" i="27"/>
  <c r="I49" i="27"/>
  <c r="F53" i="27"/>
  <c r="H53" i="27"/>
  <c r="E54" i="27"/>
  <c r="G54" i="27"/>
  <c r="I54" i="27"/>
  <c r="F55" i="27"/>
  <c r="H55" i="27"/>
  <c r="E5" i="27"/>
  <c r="G5" i="27"/>
  <c r="I5" i="27"/>
  <c r="F6" i="27"/>
  <c r="H6" i="27"/>
  <c r="E7" i="27"/>
  <c r="G7" i="27"/>
  <c r="I7" i="27"/>
  <c r="F12" i="27"/>
  <c r="H12" i="27"/>
  <c r="E13" i="27"/>
  <c r="G13" i="27"/>
  <c r="I13" i="27"/>
  <c r="F14" i="27"/>
  <c r="H14" i="27"/>
  <c r="E15" i="27"/>
  <c r="G15" i="27"/>
  <c r="I15" i="27"/>
  <c r="F16" i="27"/>
  <c r="H16" i="27"/>
  <c r="E17" i="27"/>
  <c r="G17" i="27"/>
  <c r="I17" i="27"/>
  <c r="F18" i="27"/>
  <c r="H18" i="27"/>
  <c r="E19" i="27"/>
  <c r="G19" i="27"/>
  <c r="I19" i="27"/>
  <c r="F20" i="27"/>
  <c r="H20" i="27"/>
  <c r="E21" i="27"/>
  <c r="G21" i="27"/>
  <c r="I21" i="27"/>
  <c r="F35" i="27"/>
  <c r="H35" i="27"/>
  <c r="E36" i="27"/>
  <c r="G36" i="27"/>
  <c r="I36" i="27"/>
  <c r="F8" i="27"/>
  <c r="H8" i="27"/>
  <c r="E41" i="27"/>
  <c r="G41" i="27"/>
  <c r="I41" i="27"/>
  <c r="F42" i="27"/>
  <c r="H42" i="27"/>
  <c r="E43" i="27"/>
  <c r="G43" i="27"/>
  <c r="I43" i="27"/>
  <c r="F25" i="27"/>
  <c r="H25" i="27"/>
  <c r="E26" i="27"/>
  <c r="G26" i="27"/>
  <c r="I26" i="27"/>
  <c r="F27" i="27"/>
  <c r="H27" i="27"/>
  <c r="E28" i="27"/>
  <c r="G28" i="27"/>
  <c r="I28" i="27"/>
  <c r="F29" i="27"/>
  <c r="H29" i="27"/>
  <c r="E37" i="27"/>
  <c r="G37" i="27"/>
  <c r="I37" i="27"/>
  <c r="F30" i="27"/>
  <c r="H30" i="27"/>
  <c r="E44" i="27"/>
  <c r="G44" i="27"/>
  <c r="I44" i="27"/>
  <c r="F31" i="27"/>
  <c r="AD9" i="23"/>
  <c r="AF9" i="23"/>
  <c r="AF11" i="23"/>
  <c r="AF26" i="23"/>
  <c r="H31" i="27"/>
  <c r="E45" i="27"/>
  <c r="G45" i="27"/>
  <c r="I45" i="27"/>
  <c r="F46" i="27"/>
  <c r="H46" i="27"/>
  <c r="E47" i="27"/>
  <c r="G47" i="27"/>
  <c r="I47" i="27"/>
  <c r="F48" i="27"/>
  <c r="H48" i="27"/>
  <c r="E4" i="27"/>
  <c r="G4" i="27"/>
  <c r="I4" i="27"/>
  <c r="F49" i="27"/>
  <c r="H49" i="27"/>
  <c r="E53" i="27"/>
  <c r="G53" i="27"/>
  <c r="I53" i="27"/>
  <c r="F54" i="27"/>
  <c r="H54" i="27"/>
  <c r="E55" i="27"/>
  <c r="G55" i="27"/>
  <c r="I55" i="27"/>
  <c r="F5" i="27"/>
  <c r="H5" i="27"/>
  <c r="E6" i="27"/>
  <c r="G6" i="27"/>
  <c r="I6" i="27"/>
  <c r="F7" i="27"/>
  <c r="H7" i="27"/>
  <c r="E12" i="27"/>
  <c r="G12" i="27"/>
  <c r="I12" i="27"/>
  <c r="F13" i="27"/>
  <c r="H13" i="27"/>
  <c r="E14" i="27"/>
  <c r="G14" i="27"/>
  <c r="I14" i="27"/>
  <c r="F15" i="27"/>
  <c r="H15" i="27"/>
  <c r="E16" i="27"/>
  <c r="G16" i="27"/>
  <c r="I16" i="27"/>
  <c r="F17" i="27"/>
  <c r="H17" i="27"/>
  <c r="E18" i="27"/>
  <c r="G18" i="27"/>
  <c r="I18" i="27"/>
  <c r="F19" i="27"/>
  <c r="H19" i="27"/>
  <c r="E20" i="27"/>
  <c r="G20" i="27"/>
  <c r="I20" i="27"/>
  <c r="F21" i="27"/>
  <c r="H21" i="27"/>
  <c r="E35" i="27"/>
  <c r="G35" i="27"/>
  <c r="I35" i="27"/>
  <c r="F36" i="27"/>
  <c r="H36" i="27"/>
  <c r="E8" i="27"/>
  <c r="G8" i="27"/>
  <c r="I8" i="27"/>
  <c r="F41" i="27"/>
  <c r="H41" i="27"/>
  <c r="E42" i="27"/>
  <c r="G42" i="27"/>
  <c r="I42" i="27"/>
  <c r="F43" i="27"/>
  <c r="H43" i="27"/>
  <c r="E25" i="27"/>
  <c r="G25" i="27"/>
  <c r="I25" i="27"/>
  <c r="F26" i="27"/>
  <c r="H26" i="27"/>
  <c r="E27" i="27"/>
  <c r="G27" i="27"/>
  <c r="I27" i="27"/>
  <c r="F28" i="27"/>
  <c r="H28" i="27"/>
  <c r="E29" i="27"/>
  <c r="G29" i="27"/>
  <c r="I29" i="27"/>
  <c r="F37" i="27"/>
  <c r="H37" i="27"/>
  <c r="E30" i="27"/>
  <c r="G30" i="27"/>
  <c r="I30" i="27"/>
  <c r="F44" i="27"/>
  <c r="H44" i="27"/>
  <c r="E31" i="27"/>
  <c r="G31" i="27"/>
  <c r="I31" i="27"/>
  <c r="F45" i="27"/>
  <c r="H45" i="27"/>
  <c r="E46" i="27"/>
  <c r="G46" i="27"/>
  <c r="I46" i="27"/>
  <c r="F47" i="27"/>
  <c r="H47" i="27"/>
  <c r="E48" i="27"/>
  <c r="G48" i="27"/>
  <c r="I48" i="27"/>
  <c r="AF13" i="23"/>
  <c r="AF15" i="23"/>
  <c r="AF23" i="23"/>
  <c r="G28" i="21"/>
  <c r="G27" i="21"/>
  <c r="H25" i="21"/>
  <c r="H26" i="21" s="1"/>
  <c r="AF24" i="23"/>
  <c r="AF25" i="23"/>
  <c r="AF27" i="23"/>
  <c r="AF28" i="23"/>
  <c r="AF29" i="23"/>
  <c r="W31" i="23"/>
  <c r="W32" i="23"/>
  <c r="W33" i="23"/>
  <c r="W34" i="23"/>
  <c r="W35" i="23"/>
  <c r="Z31" i="23"/>
  <c r="Z35" i="23"/>
  <c r="W36" i="23"/>
  <c r="X35" i="23"/>
  <c r="X31" i="23"/>
  <c r="Z32" i="23"/>
  <c r="X33" i="23"/>
  <c r="X36" i="23"/>
  <c r="Z33" i="23"/>
  <c r="X32" i="23"/>
  <c r="X34" i="23"/>
  <c r="Z34" i="23"/>
  <c r="F28" i="20"/>
  <c r="X26" i="20"/>
  <c r="W37" i="23"/>
  <c r="Z36" i="23"/>
  <c r="F30" i="20"/>
  <c r="Y26" i="20"/>
  <c r="M40" i="33"/>
  <c r="N40" i="33"/>
  <c r="Z37" i="23"/>
  <c r="W38" i="23"/>
  <c r="X37" i="23"/>
  <c r="N54" i="33"/>
  <c r="O40" i="33"/>
  <c r="W39" i="23"/>
  <c r="Z38" i="23"/>
  <c r="X38" i="23"/>
  <c r="N55" i="33"/>
  <c r="O54" i="33"/>
  <c r="W40" i="23"/>
  <c r="Z39" i="23"/>
  <c r="X39" i="23"/>
  <c r="W41" i="23"/>
  <c r="Z40" i="23"/>
  <c r="X40" i="23"/>
  <c r="W42" i="23"/>
  <c r="Z41" i="23"/>
  <c r="X41" i="23"/>
  <c r="W43" i="23"/>
  <c r="Z42" i="23"/>
  <c r="X42" i="23"/>
  <c r="Z43" i="23"/>
  <c r="W44" i="23"/>
  <c r="X43" i="23"/>
  <c r="W45" i="23"/>
  <c r="Z44" i="23"/>
  <c r="X44" i="23"/>
  <c r="W46" i="23"/>
  <c r="Z45" i="23"/>
  <c r="X45" i="23"/>
  <c r="W47" i="23"/>
  <c r="Z46" i="23"/>
  <c r="X46" i="23"/>
  <c r="W48" i="23"/>
  <c r="Z47" i="23"/>
  <c r="X47" i="23"/>
  <c r="W49" i="23"/>
  <c r="Z48" i="23"/>
  <c r="X48" i="23"/>
  <c r="W50" i="23"/>
  <c r="Z49" i="23"/>
  <c r="X49" i="23"/>
  <c r="W51" i="23"/>
  <c r="Z50" i="23"/>
  <c r="X50" i="23"/>
  <c r="W52" i="23"/>
  <c r="Z51" i="23"/>
  <c r="X51" i="23"/>
  <c r="W53" i="23"/>
  <c r="Z52" i="23"/>
  <c r="X52" i="23"/>
  <c r="W54" i="23"/>
  <c r="Z53" i="23"/>
  <c r="X53" i="23"/>
  <c r="Z54" i="23"/>
  <c r="X54" i="23"/>
  <c r="F9" i="37" l="1"/>
  <c r="R19" i="37"/>
  <c r="L23" i="37"/>
  <c r="L9" i="37"/>
  <c r="F43" i="12"/>
  <c r="H43" i="12" s="1"/>
  <c r="P25" i="12"/>
  <c r="Q25" i="12" s="1"/>
  <c r="G7" i="30"/>
  <c r="H7" i="30" s="1"/>
  <c r="L20" i="18"/>
  <c r="L11" i="18"/>
  <c r="L12" i="18" s="1"/>
  <c r="L18" i="18" s="1"/>
  <c r="R11" i="18"/>
  <c r="R12" i="18" s="1"/>
  <c r="R18" i="18" s="1"/>
  <c r="R19" i="18" s="1"/>
  <c r="P23" i="18"/>
  <c r="G76" i="35"/>
  <c r="H76" i="35" s="1"/>
  <c r="I76" i="35" s="1"/>
  <c r="J76" i="35" s="1"/>
  <c r="H28" i="21"/>
  <c r="H27" i="21"/>
  <c r="Q28" i="21"/>
  <c r="Q27" i="21"/>
  <c r="T40" i="17"/>
  <c r="T41" i="17" s="1"/>
  <c r="T42" i="17" s="1"/>
  <c r="T43" i="17" s="1"/>
  <c r="G19" i="35"/>
  <c r="H19" i="35" s="1"/>
  <c r="I19" i="35" s="1"/>
  <c r="J19" i="35" s="1"/>
  <c r="I85" i="31"/>
  <c r="J85" i="31" s="1"/>
  <c r="L19" i="14"/>
  <c r="T21" i="28"/>
  <c r="I96" i="31"/>
  <c r="J96" i="31" s="1"/>
  <c r="T23" i="28"/>
  <c r="T22" i="28"/>
  <c r="I86" i="31"/>
  <c r="J86" i="31" s="1"/>
  <c r="J22" i="13"/>
  <c r="J23" i="13"/>
  <c r="S23" i="30"/>
  <c r="I81" i="31"/>
  <c r="J81" i="31" s="1"/>
  <c r="S22" i="30"/>
  <c r="I39" i="31"/>
  <c r="J39" i="31" s="1"/>
  <c r="G9" i="35"/>
  <c r="H9" i="35" s="1"/>
  <c r="I9" i="35" s="1"/>
  <c r="J9" i="35" s="1"/>
  <c r="I5" i="31"/>
  <c r="J5" i="31" s="1"/>
  <c r="K39" i="24"/>
  <c r="L37" i="24"/>
  <c r="K38" i="24"/>
  <c r="I95" i="31"/>
  <c r="J95" i="31" s="1"/>
  <c r="I94" i="31"/>
  <c r="J94" i="31" s="1"/>
  <c r="O42" i="17"/>
  <c r="O43" i="17" s="1"/>
  <c r="P59" i="12"/>
  <c r="Q59" i="12" s="1"/>
  <c r="G58" i="12"/>
  <c r="O11" i="12"/>
  <c r="Q11" i="12" s="1"/>
  <c r="G29" i="35"/>
  <c r="G38" i="35" s="1"/>
  <c r="F110" i="35"/>
  <c r="N6" i="7"/>
  <c r="G13" i="35"/>
  <c r="J13" i="35"/>
  <c r="G20" i="35"/>
  <c r="J20" i="35"/>
  <c r="G10" i="35"/>
  <c r="J10" i="35"/>
  <c r="G12" i="35"/>
  <c r="J12" i="35"/>
  <c r="I27" i="35"/>
  <c r="N7" i="7"/>
  <c r="N12" i="7" s="1"/>
  <c r="N13" i="7" s="1"/>
  <c r="N15" i="7" s="1"/>
  <c r="I5" i="7" s="1"/>
  <c r="I20" i="7" s="1"/>
  <c r="I21" i="7" s="1"/>
  <c r="I37" i="31" s="1"/>
  <c r="J37" i="31" s="1"/>
  <c r="E42" i="17"/>
  <c r="A44" i="17" s="1"/>
  <c r="B45" i="17" s="1"/>
  <c r="F45" i="17" s="1"/>
  <c r="P60" i="12"/>
  <c r="O13" i="12"/>
  <c r="Q13" i="12" s="1"/>
  <c r="X6" i="15"/>
  <c r="Y6" i="15" s="1"/>
  <c r="AI30" i="12"/>
  <c r="E38" i="17"/>
  <c r="F36" i="17"/>
  <c r="P93" i="12"/>
  <c r="N26" i="7"/>
  <c r="N32" i="7" s="1"/>
  <c r="N33" i="7" s="1"/>
  <c r="N35" i="7" s="1"/>
  <c r="I25" i="7" s="1"/>
  <c r="I40" i="7" s="1"/>
  <c r="I41" i="7" s="1"/>
  <c r="N27" i="7"/>
  <c r="F42" i="17"/>
  <c r="O15" i="12"/>
  <c r="Q15" i="12" s="1"/>
  <c r="O12" i="12"/>
  <c r="Q12" i="12" s="1"/>
  <c r="O9" i="12"/>
  <c r="Q9" i="12" s="1"/>
  <c r="F9" i="12"/>
  <c r="H9" i="12" s="1"/>
  <c r="G26" i="12"/>
  <c r="H26" i="12" s="1"/>
  <c r="AI63" i="12"/>
  <c r="E7" i="28"/>
  <c r="E8" i="28" s="1"/>
  <c r="F31" i="17"/>
  <c r="F30" i="17"/>
  <c r="L30" i="14"/>
  <c r="L31" i="14"/>
  <c r="E51" i="17"/>
  <c r="E52" i="17" s="1"/>
  <c r="F38" i="17"/>
  <c r="Y8" i="15"/>
  <c r="O79" i="12"/>
  <c r="Q79" i="12" s="1"/>
  <c r="F16" i="12"/>
  <c r="H16" i="12" s="1"/>
  <c r="F44" i="12"/>
  <c r="H44" i="12" s="1"/>
  <c r="F45" i="12"/>
  <c r="H45" i="12" s="1"/>
  <c r="F46" i="12"/>
  <c r="H46" i="12" s="1"/>
  <c r="O47" i="12"/>
  <c r="Q47" i="12" s="1"/>
  <c r="F48" i="12"/>
  <c r="H48" i="12" s="1"/>
  <c r="O78" i="12"/>
  <c r="Q78" i="12" s="1"/>
  <c r="O80" i="12"/>
  <c r="Q80" i="12" s="1"/>
  <c r="O82" i="12"/>
  <c r="Q82" i="12" s="1"/>
  <c r="O45" i="12"/>
  <c r="Q45" i="12" s="1"/>
  <c r="O46" i="12"/>
  <c r="Q46" i="12" s="1"/>
  <c r="O49" i="12"/>
  <c r="Q49" i="12" s="1"/>
  <c r="E10" i="28"/>
  <c r="E11" i="28" s="1"/>
  <c r="F28" i="17"/>
  <c r="F32" i="17"/>
  <c r="F35" i="17"/>
  <c r="F29" i="17"/>
  <c r="E8" i="17"/>
  <c r="E9" i="17" s="1"/>
  <c r="F9" i="17" s="1"/>
  <c r="W8" i="15"/>
  <c r="F14" i="12"/>
  <c r="H14" i="12" s="1"/>
  <c r="F13" i="12"/>
  <c r="H13" i="12" s="1"/>
  <c r="F12" i="12"/>
  <c r="H12" i="12" s="1"/>
  <c r="F11" i="12"/>
  <c r="H11" i="12" s="1"/>
  <c r="O84" i="12"/>
  <c r="Q84" i="12" s="1"/>
  <c r="O17" i="12"/>
  <c r="Q17" i="12" s="1"/>
  <c r="Q18" i="12" s="1"/>
  <c r="Q21" i="12" s="1"/>
  <c r="Q22" i="12" s="1"/>
  <c r="F18" i="12"/>
  <c r="H18" i="12" s="1"/>
  <c r="F50" i="12"/>
  <c r="H50" i="12" s="1"/>
  <c r="H51" i="12" s="1"/>
  <c r="H54" i="12" s="1"/>
  <c r="H55" i="12" s="1"/>
  <c r="O51" i="12"/>
  <c r="Q51" i="12" s="1"/>
  <c r="P24" i="12"/>
  <c r="G25" i="12"/>
  <c r="E10" i="30"/>
  <c r="E11" i="30" s="1"/>
  <c r="R16" i="37"/>
  <c r="R15" i="37"/>
  <c r="R14" i="37"/>
  <c r="R7" i="37"/>
  <c r="R9" i="37" s="1"/>
  <c r="R18" i="37"/>
  <c r="R17" i="37"/>
  <c r="I106" i="37"/>
  <c r="O106" i="37"/>
  <c r="C106" i="37"/>
  <c r="I189" i="37"/>
  <c r="F23" i="37"/>
  <c r="O189" i="37"/>
  <c r="C189" i="37"/>
  <c r="AI61" i="37"/>
  <c r="AI62" i="37" s="1"/>
  <c r="E35" i="37"/>
  <c r="U31" i="37"/>
  <c r="L12" i="37" l="1"/>
  <c r="L13" i="37" s="1"/>
  <c r="L20" i="37" s="1"/>
  <c r="L21" i="37" s="1"/>
  <c r="L24" i="37" s="1"/>
  <c r="L25" i="37" s="1"/>
  <c r="L26" i="37" s="1"/>
  <c r="L28" i="37" s="1"/>
  <c r="I14" i="31" s="1"/>
  <c r="J14" i="31" s="1"/>
  <c r="L22" i="37"/>
  <c r="F12" i="37"/>
  <c r="F13" i="37" s="1"/>
  <c r="F20" i="37" s="1"/>
  <c r="F24" i="37" s="1"/>
  <c r="F22" i="37"/>
  <c r="L19" i="18"/>
  <c r="L21" i="18" s="1"/>
  <c r="L23" i="18" s="1"/>
  <c r="L24" i="18" s="1"/>
  <c r="R21" i="18"/>
  <c r="R23" i="18" s="1"/>
  <c r="I33" i="35"/>
  <c r="J33" i="35" s="1"/>
  <c r="I101" i="31"/>
  <c r="J101" i="31" s="1"/>
  <c r="G14" i="35"/>
  <c r="H14" i="35" s="1"/>
  <c r="I14" i="35" s="1"/>
  <c r="J14" i="35" s="1"/>
  <c r="I100" i="31"/>
  <c r="J100" i="31" s="1"/>
  <c r="I42" i="31"/>
  <c r="J42" i="31" s="1"/>
  <c r="G21" i="35"/>
  <c r="H21" i="35" s="1"/>
  <c r="I21" i="35" s="1"/>
  <c r="J21" i="35" s="1"/>
  <c r="I98" i="31"/>
  <c r="J98" i="31" s="1"/>
  <c r="G77" i="35"/>
  <c r="H77" i="35" s="1"/>
  <c r="G5" i="35"/>
  <c r="H5" i="35" s="1"/>
  <c r="I5" i="35" s="1"/>
  <c r="J5" i="35" s="1"/>
  <c r="I99" i="31"/>
  <c r="J99" i="31" s="1"/>
  <c r="I97" i="31"/>
  <c r="J97" i="31" s="1"/>
  <c r="I87" i="31"/>
  <c r="J87" i="31" s="1"/>
  <c r="I88" i="31"/>
  <c r="J88" i="31" s="1"/>
  <c r="G11" i="35"/>
  <c r="I83" i="31"/>
  <c r="J83" i="31" s="1"/>
  <c r="I82" i="31"/>
  <c r="J82" i="31" s="1"/>
  <c r="G8" i="35"/>
  <c r="H8" i="35" s="1"/>
  <c r="I8" i="35" s="1"/>
  <c r="J8" i="35" s="1"/>
  <c r="G22" i="35"/>
  <c r="H22" i="35" s="1"/>
  <c r="I22" i="35" s="1"/>
  <c r="J22" i="35" s="1"/>
  <c r="G4" i="35"/>
  <c r="H4" i="35" s="1"/>
  <c r="I4" i="35" s="1"/>
  <c r="J4" i="35" s="1"/>
  <c r="L38" i="24"/>
  <c r="I6" i="31"/>
  <c r="J6" i="31" s="1"/>
  <c r="I7" i="31"/>
  <c r="J7" i="31" s="1"/>
  <c r="L39" i="24"/>
  <c r="G7" i="35" s="1"/>
  <c r="H7" i="35" s="1"/>
  <c r="I7" i="35" s="1"/>
  <c r="J7" i="35" s="1"/>
  <c r="G6" i="35"/>
  <c r="H6" i="35" s="1"/>
  <c r="I6" i="35" s="1"/>
  <c r="J6" i="35" s="1"/>
  <c r="I93" i="31"/>
  <c r="J93" i="31" s="1"/>
  <c r="H58" i="12"/>
  <c r="H60" i="12" s="1"/>
  <c r="G59" i="12"/>
  <c r="J27" i="35"/>
  <c r="E56" i="17"/>
  <c r="G55" i="12"/>
  <c r="P22" i="12"/>
  <c r="G27" i="12"/>
  <c r="H25" i="12"/>
  <c r="H19" i="12"/>
  <c r="H22" i="12" s="1"/>
  <c r="H23" i="12" s="1"/>
  <c r="W11" i="15"/>
  <c r="W12" i="15" s="1"/>
  <c r="W15" i="15" s="1"/>
  <c r="Q85" i="12"/>
  <c r="Q88" i="12" s="1"/>
  <c r="Q89" i="12" s="1"/>
  <c r="Y11" i="15"/>
  <c r="Y12" i="15" s="1"/>
  <c r="Y15" i="15" s="1"/>
  <c r="E17" i="17"/>
  <c r="I38" i="31"/>
  <c r="J38" i="31" s="1"/>
  <c r="E13" i="30"/>
  <c r="E14" i="30" s="1"/>
  <c r="E16" i="30" s="1"/>
  <c r="G19" i="30" s="1"/>
  <c r="Q24" i="12"/>
  <c r="Q27" i="12" s="1"/>
  <c r="P26" i="12"/>
  <c r="E13" i="28"/>
  <c r="E14" i="28" s="1"/>
  <c r="E16" i="28" s="1"/>
  <c r="Q52" i="12"/>
  <c r="Q55" i="12" s="1"/>
  <c r="Q56" i="12" s="1"/>
  <c r="E58" i="17"/>
  <c r="F45" i="37"/>
  <c r="E37" i="37"/>
  <c r="F43" i="37"/>
  <c r="F35" i="37"/>
  <c r="F37" i="37" s="1"/>
  <c r="F42" i="37"/>
  <c r="F44" i="37"/>
  <c r="F46" i="37"/>
  <c r="F47" i="37"/>
  <c r="F21" i="37"/>
  <c r="C217" i="37"/>
  <c r="O217" i="37"/>
  <c r="C134" i="37"/>
  <c r="O134" i="37"/>
  <c r="I134" i="37"/>
  <c r="R23" i="37"/>
  <c r="K35" i="37"/>
  <c r="W32" i="37"/>
  <c r="U32" i="37"/>
  <c r="I217" i="37"/>
  <c r="R12" i="37"/>
  <c r="R13" i="37" s="1"/>
  <c r="R20" i="37" s="1"/>
  <c r="R22" i="37"/>
  <c r="L25" i="18" l="1"/>
  <c r="I10" i="31" s="1"/>
  <c r="J10" i="31" s="1"/>
  <c r="R24" i="18"/>
  <c r="R25" i="18" s="1"/>
  <c r="I9" i="31" s="1"/>
  <c r="J9" i="31" s="1"/>
  <c r="I77" i="35"/>
  <c r="H78" i="35"/>
  <c r="Y14" i="15"/>
  <c r="Y16" i="15"/>
  <c r="Y18" i="15" s="1"/>
  <c r="Y22" i="15" s="1"/>
  <c r="Y23" i="15" s="1"/>
  <c r="Y24" i="15" s="1"/>
  <c r="G18" i="35" s="1"/>
  <c r="H18" i="35" s="1"/>
  <c r="Q28" i="12"/>
  <c r="Q29" i="12"/>
  <c r="E59" i="17"/>
  <c r="E20" i="17"/>
  <c r="F17" i="17"/>
  <c r="H28" i="12"/>
  <c r="G23" i="12"/>
  <c r="Q61" i="12"/>
  <c r="P56" i="12"/>
  <c r="P89" i="12"/>
  <c r="Q94" i="12"/>
  <c r="W16" i="15"/>
  <c r="W18" i="15" s="1"/>
  <c r="W21" i="15" s="1"/>
  <c r="W22" i="15" s="1"/>
  <c r="W14" i="15"/>
  <c r="H61" i="12"/>
  <c r="H62" i="12" s="1"/>
  <c r="R21" i="37"/>
  <c r="R24" i="37" s="1"/>
  <c r="I162" i="37"/>
  <c r="O162" i="37"/>
  <c r="F25" i="37"/>
  <c r="F26" i="37" s="1"/>
  <c r="F28" i="37" s="1"/>
  <c r="I13" i="31" s="1"/>
  <c r="J13" i="31" s="1"/>
  <c r="F51" i="37"/>
  <c r="Z28" i="37"/>
  <c r="Y28" i="37"/>
  <c r="Q35" i="37"/>
  <c r="U33" i="37"/>
  <c r="W33" i="37" s="1"/>
  <c r="L47" i="37"/>
  <c r="L45" i="37"/>
  <c r="L43" i="37"/>
  <c r="L46" i="37"/>
  <c r="L35" i="37"/>
  <c r="L37" i="37" s="1"/>
  <c r="K37" i="37"/>
  <c r="L44" i="37"/>
  <c r="L42" i="37"/>
  <c r="F40" i="37"/>
  <c r="F41" i="37" s="1"/>
  <c r="F48" i="37" s="1"/>
  <c r="F50" i="37"/>
  <c r="C162" i="37"/>
  <c r="J77" i="35" l="1"/>
  <c r="I34" i="35"/>
  <c r="I78" i="35"/>
  <c r="I79" i="35" s="1"/>
  <c r="I18" i="35"/>
  <c r="J18" i="35" s="1"/>
  <c r="H68" i="12"/>
  <c r="I68" i="12" s="1"/>
  <c r="H67" i="12"/>
  <c r="I67" i="12" s="1"/>
  <c r="H65" i="12"/>
  <c r="Q62" i="12"/>
  <c r="Q63" i="12" s="1"/>
  <c r="H29" i="12"/>
  <c r="H30" i="12" s="1"/>
  <c r="F20" i="17"/>
  <c r="E21" i="17"/>
  <c r="F21" i="17" s="1"/>
  <c r="E61" i="17"/>
  <c r="F59" i="17" s="1"/>
  <c r="Q95" i="12"/>
  <c r="Q96" i="12" s="1"/>
  <c r="Q35" i="12"/>
  <c r="R35" i="12" s="1"/>
  <c r="Q34" i="12"/>
  <c r="R34" i="12" s="1"/>
  <c r="Q32" i="12"/>
  <c r="Y27" i="37"/>
  <c r="Z27" i="37"/>
  <c r="R25" i="37"/>
  <c r="R26" i="37" s="1"/>
  <c r="R28" i="37" s="1"/>
  <c r="I15" i="31" s="1"/>
  <c r="J15" i="31" s="1"/>
  <c r="L40" i="37"/>
  <c r="L41" i="37" s="1"/>
  <c r="L48" i="37" s="1"/>
  <c r="L50" i="37"/>
  <c r="R45" i="37"/>
  <c r="R43" i="37"/>
  <c r="Q37" i="37"/>
  <c r="R46" i="37"/>
  <c r="R35" i="37"/>
  <c r="R37" i="37" s="1"/>
  <c r="R44" i="37"/>
  <c r="R42" i="37"/>
  <c r="R47" i="37"/>
  <c r="C190" i="37"/>
  <c r="L51" i="37"/>
  <c r="E63" i="37"/>
  <c r="U34" i="37"/>
  <c r="W34" i="37" s="1"/>
  <c r="O190" i="37"/>
  <c r="I190" i="37"/>
  <c r="F49" i="37"/>
  <c r="F52" i="37" s="1"/>
  <c r="R51" i="37" l="1"/>
  <c r="J34" i="35"/>
  <c r="J38" i="35" s="1"/>
  <c r="I35" i="35"/>
  <c r="J35" i="35" s="1"/>
  <c r="Q101" i="12"/>
  <c r="R101" i="12" s="1"/>
  <c r="Q100" i="12"/>
  <c r="R100" i="12" s="1"/>
  <c r="Q98" i="12"/>
  <c r="F57" i="17"/>
  <c r="F53" i="17"/>
  <c r="F54" i="17"/>
  <c r="F61" i="17"/>
  <c r="A63" i="17"/>
  <c r="B64" i="17" s="1"/>
  <c r="F64" i="17" s="1"/>
  <c r="F55" i="17"/>
  <c r="F52" i="17"/>
  <c r="F56" i="17"/>
  <c r="F58" i="17"/>
  <c r="H35" i="12"/>
  <c r="I35" i="12" s="1"/>
  <c r="H34" i="12"/>
  <c r="I34" i="12" s="1"/>
  <c r="H32" i="12"/>
  <c r="Q68" i="12"/>
  <c r="R68" i="12" s="1"/>
  <c r="Q67" i="12"/>
  <c r="R67" i="12" s="1"/>
  <c r="Q65" i="12"/>
  <c r="Z29" i="37"/>
  <c r="Y29" i="37"/>
  <c r="F53" i="37"/>
  <c r="F54" i="37" s="1"/>
  <c r="F56" i="37" s="1"/>
  <c r="I16" i="31" s="1"/>
  <c r="J16" i="31" s="1"/>
  <c r="I218" i="37"/>
  <c r="O218" i="37"/>
  <c r="F74" i="37"/>
  <c r="F73" i="37"/>
  <c r="F72" i="37"/>
  <c r="F71" i="37"/>
  <c r="F70" i="37"/>
  <c r="E65" i="37"/>
  <c r="F75" i="37"/>
  <c r="F63" i="37"/>
  <c r="F65" i="37" s="1"/>
  <c r="R40" i="37"/>
  <c r="R41" i="37" s="1"/>
  <c r="R48" i="37" s="1"/>
  <c r="R50" i="37"/>
  <c r="L49" i="37"/>
  <c r="L52" i="37" s="1"/>
  <c r="K63" i="37"/>
  <c r="U35" i="37"/>
  <c r="C218" i="37"/>
  <c r="W35" i="37"/>
  <c r="F79" i="37" l="1"/>
  <c r="U36" i="37"/>
  <c r="Q63" i="37"/>
  <c r="F68" i="37"/>
  <c r="F69" i="37" s="1"/>
  <c r="F76" i="37" s="1"/>
  <c r="F78" i="37"/>
  <c r="W36" i="37"/>
  <c r="L75" i="37"/>
  <c r="L74" i="37"/>
  <c r="L73" i="37"/>
  <c r="L72" i="37"/>
  <c r="L71" i="37"/>
  <c r="L70" i="37"/>
  <c r="K65" i="37"/>
  <c r="L63" i="37"/>
  <c r="L65" i="37" s="1"/>
  <c r="L53" i="37"/>
  <c r="L54" i="37" s="1"/>
  <c r="L56" i="37" s="1"/>
  <c r="I17" i="31" s="1"/>
  <c r="J17" i="31" s="1"/>
  <c r="R49" i="37"/>
  <c r="R52" i="37" s="1"/>
  <c r="Z30" i="37"/>
  <c r="Y30" i="37"/>
  <c r="R53" i="37" l="1"/>
  <c r="R54" i="37" s="1"/>
  <c r="R56" i="37" s="1"/>
  <c r="I18" i="31" s="1"/>
  <c r="J18" i="31" s="1"/>
  <c r="L68" i="37"/>
  <c r="L69" i="37" s="1"/>
  <c r="L76" i="37" s="1"/>
  <c r="L78" i="37"/>
  <c r="L79" i="37"/>
  <c r="R74" i="37"/>
  <c r="R73" i="37"/>
  <c r="R72" i="37"/>
  <c r="R71" i="37"/>
  <c r="R70" i="37"/>
  <c r="R63" i="37"/>
  <c r="R65" i="37" s="1"/>
  <c r="Q65" i="37"/>
  <c r="R75" i="37"/>
  <c r="Z31" i="37"/>
  <c r="Y31" i="37"/>
  <c r="F77" i="37"/>
  <c r="F80" i="37" s="1"/>
  <c r="E91" i="37"/>
  <c r="U37" i="37"/>
  <c r="F81" i="37" l="1"/>
  <c r="F82" i="37" s="1"/>
  <c r="F84" i="37" s="1"/>
  <c r="I19" i="31" s="1"/>
  <c r="J19" i="31" s="1"/>
  <c r="R68" i="37"/>
  <c r="R69" i="37" s="1"/>
  <c r="R76" i="37" s="1"/>
  <c r="R78" i="37"/>
  <c r="K91" i="37"/>
  <c r="U38" i="37"/>
  <c r="W37" i="37"/>
  <c r="R79" i="37"/>
  <c r="F103" i="37"/>
  <c r="E93" i="37"/>
  <c r="F99" i="37"/>
  <c r="F100" i="37"/>
  <c r="F91" i="37"/>
  <c r="F93" i="37" s="1"/>
  <c r="F101" i="37"/>
  <c r="F98" i="37"/>
  <c r="F102" i="37"/>
  <c r="L77" i="37"/>
  <c r="L80" i="37" s="1"/>
  <c r="Z32" i="37"/>
  <c r="Y32" i="37"/>
  <c r="F107" i="37" l="1"/>
  <c r="W38" i="37"/>
  <c r="L81" i="37"/>
  <c r="L82" i="37" s="1"/>
  <c r="L84" i="37" s="1"/>
  <c r="I20" i="31" s="1"/>
  <c r="J20" i="31" s="1"/>
  <c r="F96" i="37"/>
  <c r="F97" i="37" s="1"/>
  <c r="F104" i="37" s="1"/>
  <c r="F106" i="37"/>
  <c r="Q91" i="37"/>
  <c r="U39" i="37"/>
  <c r="W39" i="37" s="1"/>
  <c r="L100" i="37"/>
  <c r="L91" i="37"/>
  <c r="L93" i="37" s="1"/>
  <c r="L101" i="37"/>
  <c r="L98" i="37"/>
  <c r="L102" i="37"/>
  <c r="K93" i="37"/>
  <c r="L99" i="37"/>
  <c r="L103" i="37"/>
  <c r="R77" i="37"/>
  <c r="R80" i="37" s="1"/>
  <c r="Z33" i="37"/>
  <c r="Y33" i="37"/>
  <c r="L107" i="37" l="1"/>
  <c r="R81" i="37"/>
  <c r="R82" i="37" s="1"/>
  <c r="R84" i="37" s="1"/>
  <c r="I21" i="31" s="1"/>
  <c r="J21" i="31" s="1"/>
  <c r="E119" i="37"/>
  <c r="U40" i="37"/>
  <c r="L96" i="37"/>
  <c r="L97" i="37" s="1"/>
  <c r="L104" i="37" s="1"/>
  <c r="L106" i="37"/>
  <c r="R103" i="37"/>
  <c r="Q93" i="37"/>
  <c r="R91" i="37"/>
  <c r="R93" i="37" s="1"/>
  <c r="R101" i="37"/>
  <c r="R98" i="37"/>
  <c r="R102" i="37"/>
  <c r="R99" i="37"/>
  <c r="R100" i="37"/>
  <c r="F105" i="37"/>
  <c r="F108" i="37" s="1"/>
  <c r="Z34" i="37"/>
  <c r="Y34" i="37"/>
  <c r="F109" i="37" l="1"/>
  <c r="F110" i="37" s="1"/>
  <c r="F112" i="37" s="1"/>
  <c r="I22" i="31" s="1"/>
  <c r="J22" i="31" s="1"/>
  <c r="R107" i="37"/>
  <c r="R96" i="37"/>
  <c r="R97" i="37" s="1"/>
  <c r="R104" i="37" s="1"/>
  <c r="R106" i="37"/>
  <c r="L108" i="37"/>
  <c r="L105" i="37"/>
  <c r="F131" i="37"/>
  <c r="F119" i="37"/>
  <c r="F121" i="37" s="1"/>
  <c r="F128" i="37"/>
  <c r="F127" i="37"/>
  <c r="E121" i="37"/>
  <c r="F126" i="37"/>
  <c r="F130" i="37"/>
  <c r="F129" i="37"/>
  <c r="K119" i="37"/>
  <c r="U41" i="37"/>
  <c r="W40" i="37"/>
  <c r="W41" i="37" s="1"/>
  <c r="Z35" i="37"/>
  <c r="Y35" i="37"/>
  <c r="Z36" i="37" l="1"/>
  <c r="Y36" i="37"/>
  <c r="K121" i="37"/>
  <c r="L119" i="37"/>
  <c r="L121" i="37" s="1"/>
  <c r="L129" i="37"/>
  <c r="L128" i="37"/>
  <c r="L131" i="37"/>
  <c r="L127" i="37"/>
  <c r="L126" i="37"/>
  <c r="L130" i="37"/>
  <c r="L109" i="37"/>
  <c r="L110" i="37" s="1"/>
  <c r="L112" i="37" s="1"/>
  <c r="I23" i="31" s="1"/>
  <c r="J23" i="31" s="1"/>
  <c r="R105" i="37"/>
  <c r="R108" i="37" s="1"/>
  <c r="Q119" i="37"/>
  <c r="U42" i="37"/>
  <c r="F135" i="37"/>
  <c r="F124" i="37"/>
  <c r="F125" i="37" s="1"/>
  <c r="F132" i="37" s="1"/>
  <c r="F134" i="37"/>
  <c r="Z37" i="37" l="1"/>
  <c r="Y37" i="37"/>
  <c r="R109" i="37"/>
  <c r="R110" i="37" s="1"/>
  <c r="R112" i="37" s="1"/>
  <c r="I24" i="31" s="1"/>
  <c r="J24" i="31" s="1"/>
  <c r="F133" i="37"/>
  <c r="F136" i="37" s="1"/>
  <c r="E147" i="37"/>
  <c r="U43" i="37"/>
  <c r="L124" i="37"/>
  <c r="L125" i="37" s="1"/>
  <c r="L132" i="37" s="1"/>
  <c r="L134" i="37"/>
  <c r="W42" i="37"/>
  <c r="W43" i="37" s="1"/>
  <c r="R119" i="37"/>
  <c r="R121" i="37" s="1"/>
  <c r="R131" i="37"/>
  <c r="R126" i="37"/>
  <c r="R130" i="37"/>
  <c r="Q121" i="37"/>
  <c r="R129" i="37"/>
  <c r="R128" i="37"/>
  <c r="R127" i="37"/>
  <c r="L135" i="37"/>
  <c r="R135" i="37" l="1"/>
  <c r="R124" i="37"/>
  <c r="R125" i="37" s="1"/>
  <c r="R132" i="37" s="1"/>
  <c r="R134" i="37"/>
  <c r="L133" i="37"/>
  <c r="L136" i="37" s="1"/>
  <c r="F159" i="37"/>
  <c r="F154" i="37"/>
  <c r="F158" i="37"/>
  <c r="F155" i="37"/>
  <c r="F147" i="37"/>
  <c r="F149" i="37" s="1"/>
  <c r="F156" i="37"/>
  <c r="E149" i="37"/>
  <c r="F157" i="37"/>
  <c r="F137" i="37"/>
  <c r="F138" i="37" s="1"/>
  <c r="F140" i="37" s="1"/>
  <c r="I25" i="31" s="1"/>
  <c r="J25" i="31" s="1"/>
  <c r="Z38" i="37"/>
  <c r="Y38" i="37"/>
  <c r="K147" i="37"/>
  <c r="U44" i="37"/>
  <c r="L137" i="37" l="1"/>
  <c r="L138" i="37" s="1"/>
  <c r="L140" i="37" s="1"/>
  <c r="I26" i="31" s="1"/>
  <c r="J26" i="31" s="1"/>
  <c r="Z39" i="37"/>
  <c r="Y39" i="37"/>
  <c r="L155" i="37"/>
  <c r="L159" i="37"/>
  <c r="K149" i="37"/>
  <c r="L147" i="37"/>
  <c r="L149" i="37" s="1"/>
  <c r="L156" i="37"/>
  <c r="L157" i="37"/>
  <c r="L154" i="37"/>
  <c r="L158" i="37"/>
  <c r="F163" i="37"/>
  <c r="K277" i="37"/>
  <c r="L277" i="37" s="1"/>
  <c r="L278" i="37" s="1"/>
  <c r="L281" i="37" s="1"/>
  <c r="L282" i="37" s="1"/>
  <c r="L289" i="37" s="1"/>
  <c r="L290" i="37" s="1"/>
  <c r="L293" i="37" s="1"/>
  <c r="Q147" i="37"/>
  <c r="U45" i="37"/>
  <c r="W44" i="37"/>
  <c r="F152" i="37"/>
  <c r="F153" i="37" s="1"/>
  <c r="F160" i="37" s="1"/>
  <c r="F162" i="37"/>
  <c r="R133" i="37"/>
  <c r="R136" i="37" s="1"/>
  <c r="W45" i="37" l="1"/>
  <c r="L163" i="37"/>
  <c r="R137" i="37"/>
  <c r="R138" i="37" s="1"/>
  <c r="R140" i="37" s="1"/>
  <c r="I27" i="31" s="1"/>
  <c r="J27" i="31" s="1"/>
  <c r="F161" i="37"/>
  <c r="F164" i="37" s="1"/>
  <c r="E175" i="37"/>
  <c r="U46" i="37"/>
  <c r="W46" i="37" s="1"/>
  <c r="L152" i="37"/>
  <c r="L153" i="37" s="1"/>
  <c r="L160" i="37" s="1"/>
  <c r="L162" i="37"/>
  <c r="R159" i="37"/>
  <c r="R147" i="37"/>
  <c r="R149" i="37" s="1"/>
  <c r="R156" i="37"/>
  <c r="R157" i="37"/>
  <c r="R154" i="37"/>
  <c r="R158" i="37"/>
  <c r="Q149" i="37"/>
  <c r="R155" i="37"/>
  <c r="Z40" i="37"/>
  <c r="Y40" i="37"/>
  <c r="R152" i="37" l="1"/>
  <c r="R153" i="37" s="1"/>
  <c r="R160" i="37" s="1"/>
  <c r="R162" i="37"/>
  <c r="R163" i="37"/>
  <c r="K175" i="37"/>
  <c r="U47" i="37"/>
  <c r="W47" i="37" s="1"/>
  <c r="L161" i="37"/>
  <c r="L164" i="37" s="1"/>
  <c r="F187" i="37"/>
  <c r="F183" i="37"/>
  <c r="F184" i="37"/>
  <c r="E177" i="37"/>
  <c r="F175" i="37"/>
  <c r="F177" i="37" s="1"/>
  <c r="F185" i="37"/>
  <c r="F182" i="37"/>
  <c r="F186" i="37"/>
  <c r="F165" i="37"/>
  <c r="F166" i="37" s="1"/>
  <c r="F168" i="37" s="1"/>
  <c r="I28" i="31" s="1"/>
  <c r="J28" i="31" s="1"/>
  <c r="Z41" i="37"/>
  <c r="Y41" i="37"/>
  <c r="L165" i="37" l="1"/>
  <c r="L166" i="37" s="1"/>
  <c r="L168" i="37" s="1"/>
  <c r="I29" i="31" s="1"/>
  <c r="J29" i="31" s="1"/>
  <c r="Z42" i="37"/>
  <c r="Y42" i="37"/>
  <c r="R161" i="37"/>
  <c r="R164" i="37" s="1"/>
  <c r="F191" i="37"/>
  <c r="F180" i="37"/>
  <c r="F181" i="37" s="1"/>
  <c r="F188" i="37" s="1"/>
  <c r="F190" i="37"/>
  <c r="Q175" i="37"/>
  <c r="U48" i="37"/>
  <c r="W48" i="37" s="1"/>
  <c r="K177" i="37"/>
  <c r="L175" i="37"/>
  <c r="L177" i="37" s="1"/>
  <c r="L184" i="37"/>
  <c r="L187" i="37"/>
  <c r="L185" i="37"/>
  <c r="L182" i="37"/>
  <c r="L186" i="37"/>
  <c r="L183" i="37"/>
  <c r="L191" i="37" l="1"/>
  <c r="L180" i="37"/>
  <c r="L181" i="37" s="1"/>
  <c r="L188" i="37" s="1"/>
  <c r="L190" i="37"/>
  <c r="R187" i="37"/>
  <c r="R175" i="37"/>
  <c r="R177" i="37" s="1"/>
  <c r="R185" i="37"/>
  <c r="R182" i="37"/>
  <c r="R186" i="37"/>
  <c r="Q177" i="37"/>
  <c r="R183" i="37"/>
  <c r="R184" i="37"/>
  <c r="F189" i="37"/>
  <c r="F192" i="37" s="1"/>
  <c r="E203" i="37"/>
  <c r="U49" i="37"/>
  <c r="W49" i="37" s="1"/>
  <c r="R165" i="37"/>
  <c r="R166" i="37" s="1"/>
  <c r="R168" i="37" s="1"/>
  <c r="I30" i="31" s="1"/>
  <c r="J30" i="31" s="1"/>
  <c r="Z43" i="37"/>
  <c r="Y43" i="37"/>
  <c r="Z44" i="37" l="1"/>
  <c r="Y44" i="37"/>
  <c r="F215" i="37"/>
  <c r="F213" i="37"/>
  <c r="F203" i="37"/>
  <c r="F205" i="37" s="1"/>
  <c r="F210" i="37"/>
  <c r="F214" i="37"/>
  <c r="F211" i="37"/>
  <c r="E205" i="37"/>
  <c r="F212" i="37"/>
  <c r="F193" i="37"/>
  <c r="F194" i="37" s="1"/>
  <c r="F196" i="37" s="1"/>
  <c r="I31" i="31" s="1"/>
  <c r="J31" i="31" s="1"/>
  <c r="K203" i="37"/>
  <c r="U50" i="37"/>
  <c r="Q203" i="37" s="1"/>
  <c r="R191" i="37"/>
  <c r="R181" i="37"/>
  <c r="R188" i="37" s="1"/>
  <c r="R180" i="37"/>
  <c r="R190" i="37"/>
  <c r="L189" i="37"/>
  <c r="L192" i="37" s="1"/>
  <c r="L193" i="37" l="1"/>
  <c r="L194" i="37" s="1"/>
  <c r="L196" i="37" s="1"/>
  <c r="I32" i="31" s="1"/>
  <c r="J32" i="31" s="1"/>
  <c r="R189" i="37"/>
  <c r="R192" i="37" s="1"/>
  <c r="R215" i="37"/>
  <c r="Q205" i="37"/>
  <c r="R203" i="37"/>
  <c r="R205" i="37" s="1"/>
  <c r="W50" i="37"/>
  <c r="R212" i="37" s="1"/>
  <c r="Z45" i="37"/>
  <c r="Y45" i="37"/>
  <c r="F208" i="37"/>
  <c r="F209" i="37" s="1"/>
  <c r="F216" i="37" s="1"/>
  <c r="F218" i="37"/>
  <c r="L210" i="37"/>
  <c r="L214" i="37"/>
  <c r="K205" i="37"/>
  <c r="L211" i="37"/>
  <c r="L215" i="37"/>
  <c r="L203" i="37"/>
  <c r="L205" i="37" s="1"/>
  <c r="L212" i="37"/>
  <c r="L213" i="37"/>
  <c r="F219" i="37"/>
  <c r="L208" i="37" l="1"/>
  <c r="L209" i="37" s="1"/>
  <c r="L216" i="37" s="1"/>
  <c r="L218" i="37"/>
  <c r="R210" i="37"/>
  <c r="R213" i="37"/>
  <c r="R211" i="37"/>
  <c r="R193" i="37"/>
  <c r="R194" i="37" s="1"/>
  <c r="R196" i="37" s="1"/>
  <c r="I33" i="31" s="1"/>
  <c r="J33" i="31" s="1"/>
  <c r="Z46" i="37"/>
  <c r="Y46" i="37"/>
  <c r="L219" i="37"/>
  <c r="F217" i="37"/>
  <c r="F220" i="37" s="1"/>
  <c r="R214" i="37"/>
  <c r="R208" i="37"/>
  <c r="R209" i="37" s="1"/>
  <c r="R218" i="37"/>
  <c r="Z47" i="37" l="1"/>
  <c r="Y47" i="37"/>
  <c r="R216" i="37"/>
  <c r="F221" i="37"/>
  <c r="F222" i="37" s="1"/>
  <c r="F224" i="37" s="1"/>
  <c r="I34" i="31" s="1"/>
  <c r="J34" i="31" s="1"/>
  <c r="R219" i="37"/>
  <c r="L217" i="37"/>
  <c r="L220" i="37" s="1"/>
  <c r="Z48" i="37" l="1"/>
  <c r="Y48" i="37"/>
  <c r="L221" i="37"/>
  <c r="L222" i="37" s="1"/>
  <c r="L224" i="37" s="1"/>
  <c r="I35" i="31" s="1"/>
  <c r="J35" i="31" s="1"/>
  <c r="R217" i="37"/>
  <c r="R220" i="37" s="1"/>
  <c r="R221" i="37" l="1"/>
  <c r="R222" i="37" s="1"/>
  <c r="R224" i="37" s="1"/>
  <c r="I36" i="31" s="1"/>
  <c r="J36" i="31" s="1"/>
  <c r="Z49" i="37"/>
  <c r="Y49" i="37"/>
  <c r="Z50" i="37" l="1"/>
  <c r="Y50" i="37"/>
  <c r="H11" i="35" l="1"/>
  <c r="H23" i="35" s="1"/>
  <c r="I23" i="35" l="1"/>
  <c r="I110" i="35" s="1"/>
  <c r="H110" i="35"/>
  <c r="I11" i="35"/>
  <c r="J11" i="35" s="1"/>
  <c r="J23" i="35" s="1"/>
  <c r="I24" i="35" l="1"/>
  <c r="H28" i="35" s="1"/>
  <c r="I28" i="35" s="1"/>
  <c r="J28" i="35" s="1"/>
  <c r="J29" i="35" l="1"/>
  <c r="J39" i="35"/>
  <c r="J40" i="35" s="1"/>
  <c r="I29" i="35"/>
  <c r="I38" i="35" s="1"/>
  <c r="I39" i="35" s="1"/>
  <c r="H40" i="35" s="1"/>
</calcChain>
</file>

<file path=xl/comments1.xml><?xml version="1.0" encoding="utf-8"?>
<comments xmlns="http://schemas.openxmlformats.org/spreadsheetml/2006/main">
  <authors>
    <author>EHS</author>
  </authors>
  <commentList>
    <comment ref="G41" authorId="0">
      <text>
        <r>
          <rPr>
            <b/>
            <sz val="9"/>
            <color indexed="81"/>
            <rFont val="Tahoma"/>
            <family val="2"/>
          </rPr>
          <t>EHS: these numbers work out to be the DAILY rates divided by 16.08 and not 16. Divided by 16, the rates should ACTUALLY be $23.59 and $30.35. The rates will be corrected in the regulation (rounded up to $23.60 and $30.36 to be divisible by 4).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2-5-16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kara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# of checks for FY19 based on MCB (3 contracts) is 507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equals 2.5 hours per week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2 Hours per week
</t>
        </r>
      </text>
    </comment>
  </commentList>
</comments>
</file>

<file path=xl/comments3.xml><?xml version="1.0" encoding="utf-8"?>
<comments xmlns="http://schemas.openxmlformats.org/spreadsheetml/2006/main">
  <authors>
    <author>EHS</author>
  </authors>
  <commentList>
    <comment ref="L26" authorId="0">
      <text>
        <r>
          <rPr>
            <sz val="8"/>
            <color indexed="81"/>
            <rFont val="Tahoma"/>
            <family val="2"/>
          </rPr>
          <t>$58,047 FY18 UFR Wt Salary</t>
        </r>
      </text>
    </comment>
    <comment ref="L27" authorId="0">
      <text>
        <r>
          <rPr>
            <sz val="8"/>
            <color indexed="81"/>
            <rFont val="Tahoma"/>
            <family val="2"/>
          </rPr>
          <t xml:space="preserve">$29,431 FY18 UFR Wt Avg
</t>
        </r>
      </text>
    </comment>
  </commentList>
</comments>
</file>

<file path=xl/comments4.xml><?xml version="1.0" encoding="utf-8"?>
<comments xmlns="http://schemas.openxmlformats.org/spreadsheetml/2006/main">
  <authors>
    <author>kara</author>
    <author>EHS</author>
  </authors>
  <commentList>
    <comment ref="F21" authorId="0">
      <text>
        <r>
          <rPr>
            <b/>
            <sz val="9"/>
            <color indexed="81"/>
            <rFont val="Tahoma"/>
            <charset val="1"/>
          </rPr>
          <t>kara:</t>
        </r>
        <r>
          <rPr>
            <sz val="9"/>
            <color indexed="81"/>
            <rFont val="Tahoma"/>
            <charset val="1"/>
          </rPr>
          <t xml:space="preserve">
per Dylan - approx 220K will t/r to autism BTL costs for adminstration fees</t>
        </r>
      </text>
    </comment>
    <comment ref="F75" authorId="1">
      <text>
        <r>
          <rPr>
            <sz val="8"/>
            <color indexed="81"/>
            <rFont val="Tahoma"/>
            <family val="2"/>
          </rPr>
          <t>Per Jen OC</t>
        </r>
      </text>
    </comment>
    <comment ref="F77" authorId="1">
      <text>
        <r>
          <rPr>
            <sz val="8"/>
            <color indexed="81"/>
            <rFont val="Tahoma"/>
            <family val="2"/>
          </rPr>
          <t xml:space="preserve">Per Jen OC
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From Eric 3/28/17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From Eric 3/28/17</t>
        </r>
      </text>
    </comment>
  </commentList>
</comments>
</file>

<file path=xl/comments5.xml><?xml version="1.0" encoding="utf-8"?>
<comments xmlns="http://schemas.openxmlformats.org/spreadsheetml/2006/main">
  <authors>
    <author>EHS</author>
  </authors>
  <commentList>
    <comment ref="J4" authorId="0">
      <text>
        <r>
          <rPr>
            <sz val="8"/>
            <color indexed="81"/>
            <rFont val="Tahoma"/>
            <family val="2"/>
          </rPr>
          <t>CAF Only</t>
        </r>
      </text>
    </comment>
    <comment ref="J11" authorId="0">
      <text>
        <r>
          <rPr>
            <sz val="8"/>
            <color indexed="81"/>
            <rFont val="Tahoma"/>
            <family val="2"/>
          </rPr>
          <t>CAF Only</t>
        </r>
      </text>
    </comment>
    <comment ref="J12" authorId="0">
      <text>
        <r>
          <rPr>
            <sz val="8"/>
            <color indexed="81"/>
            <rFont val="Tahoma"/>
            <family val="2"/>
          </rPr>
          <t>CAF Only</t>
        </r>
      </text>
    </comment>
    <comment ref="J40" authorId="0">
      <text>
        <r>
          <rPr>
            <sz val="8"/>
            <color indexed="81"/>
            <rFont val="Tahoma"/>
            <family val="2"/>
          </rPr>
          <t>CAF Only</t>
        </r>
      </text>
    </comment>
  </commentList>
</comments>
</file>

<file path=xl/sharedStrings.xml><?xml version="1.0" encoding="utf-8"?>
<sst xmlns="http://schemas.openxmlformats.org/spreadsheetml/2006/main" count="5279" uniqueCount="1198">
  <si>
    <t>Agency</t>
  </si>
  <si>
    <t>Activity Code</t>
  </si>
  <si>
    <t>Service</t>
  </si>
  <si>
    <t>Center Size</t>
  </si>
  <si>
    <t>Unit</t>
  </si>
  <si>
    <t>Current Rate</t>
  </si>
  <si>
    <t>Proposed Rate</t>
  </si>
  <si>
    <t>DDS</t>
  </si>
  <si>
    <t>Adult Companion Services Group of 2</t>
  </si>
  <si>
    <t>Hour</t>
  </si>
  <si>
    <t>Adult Companion Services group of 3</t>
  </si>
  <si>
    <t>Behavioral Support Services Bachelor's</t>
  </si>
  <si>
    <t>Behavioral Support Services Master’s</t>
  </si>
  <si>
    <t>Behavioral Support Services PhD</t>
  </si>
  <si>
    <t>Client Financial Assistance/Flex Funding Admin</t>
  </si>
  <si>
    <t>Transaction</t>
  </si>
  <si>
    <t>Family Navigation</t>
  </si>
  <si>
    <t>3772 / 3770</t>
  </si>
  <si>
    <t>Autism Support Center / Family Support Center</t>
  </si>
  <si>
    <t>Month</t>
  </si>
  <si>
    <t>N/A</t>
  </si>
  <si>
    <t xml:space="preserve">Family Training </t>
  </si>
  <si>
    <t>Family Training Group of 2</t>
  </si>
  <si>
    <t>Family Training Group of 5</t>
  </si>
  <si>
    <t>Intensive Flexible Family Support Services</t>
  </si>
  <si>
    <t>Enrolled day</t>
  </si>
  <si>
    <t>Medically Complex Programs</t>
  </si>
  <si>
    <t>Planned Site Based Respite for Children</t>
  </si>
  <si>
    <t>Day</t>
  </si>
  <si>
    <t>Planned Site Based Respite for Children High-Intensity Support Needs</t>
  </si>
  <si>
    <t>Respite in Caregiver’s Home Level 1</t>
  </si>
  <si>
    <t>Respite in Caregiver’s Home Level 2</t>
  </si>
  <si>
    <t>Respite in Caregiver’s Home Level 3</t>
  </si>
  <si>
    <t>Respite in Recipient’s Home. 1:1</t>
  </si>
  <si>
    <t>Respite in Recipient’s Home. 1:2</t>
  </si>
  <si>
    <t>Respite in Recipient’s Home. 1:3</t>
  </si>
  <si>
    <t>Respite in Recipient’s Home</t>
  </si>
  <si>
    <t>Site-Based Respite</t>
  </si>
  <si>
    <t>Site-Based Respite With Nursing</t>
  </si>
  <si>
    <t>Agency with Choice Admin Fee</t>
  </si>
  <si>
    <t>I.C</t>
  </si>
  <si>
    <t>Community/Residential Peer Support</t>
  </si>
  <si>
    <t>Community/Residential Peer Support - Group of 2</t>
  </si>
  <si>
    <t>Community/Residential Peer Support - Group of 5</t>
  </si>
  <si>
    <t>Family Leadership Program</t>
  </si>
  <si>
    <t>MCB</t>
  </si>
  <si>
    <t>2124</t>
  </si>
  <si>
    <t>Respite Care - Respite in Recipient's Home 1:1</t>
  </si>
  <si>
    <t>2403</t>
  </si>
  <si>
    <t>Flexible Family Supports - Client Financial Assitance</t>
  </si>
  <si>
    <t>Flexible Family Supports - Client Fin. Asst. Admin Fee</t>
  </si>
  <si>
    <t>DMH</t>
  </si>
  <si>
    <t>Family Systems Intervention</t>
  </si>
  <si>
    <t>Individual Youth Supports</t>
  </si>
  <si>
    <t>Youth Support Groups</t>
  </si>
  <si>
    <t>Session</t>
  </si>
  <si>
    <t>Case Consultation Services</t>
  </si>
  <si>
    <t>30 Minutes</t>
  </si>
  <si>
    <t>Flex Fund Transaction Fee</t>
  </si>
  <si>
    <t>Direct Youth Intervention</t>
  </si>
  <si>
    <t>DCF</t>
  </si>
  <si>
    <t>Adolescent Support Network</t>
  </si>
  <si>
    <t>After School Respite</t>
  </si>
  <si>
    <t xml:space="preserve">half day  </t>
  </si>
  <si>
    <t xml:space="preserve">full day  </t>
  </si>
  <si>
    <t>Combined Hourly Services</t>
  </si>
  <si>
    <t>Nonclinical</t>
  </si>
  <si>
    <t xml:space="preserve">Hour </t>
  </si>
  <si>
    <t>Clinical</t>
  </si>
  <si>
    <t>Comprehensive Services</t>
  </si>
  <si>
    <t>Model A-1 Direct Care–Nonclinical Less Intensive</t>
  </si>
  <si>
    <t xml:space="preserve">Enrolled day </t>
  </si>
  <si>
    <t>Model A-2 Direct Care–Nonclinical More Intensive</t>
  </si>
  <si>
    <t>Model B Direct Care and Clinical Less Intensive</t>
  </si>
  <si>
    <t>Model C Direct Care and Clinical More Intensive</t>
  </si>
  <si>
    <t>Model D Clinical</t>
  </si>
  <si>
    <t>Model E Direct Care and Clinical High Intensive</t>
  </si>
  <si>
    <t>Model F Direct Care and Clinical Highest Intensive</t>
  </si>
  <si>
    <t>Model G Direct Care and Clinical Higher Intensive</t>
  </si>
  <si>
    <t>Educational Coordination</t>
  </si>
  <si>
    <t>Family Training Groups</t>
  </si>
  <si>
    <t>Specialty Family Skills Development Program Model</t>
  </si>
  <si>
    <t>Add-on Spec Family</t>
  </si>
  <si>
    <t xml:space="preserve">     Occupancy purchase of space</t>
  </si>
  <si>
    <t>Family Skills Development Program Model</t>
  </si>
  <si>
    <t>Add-on Family Skills</t>
  </si>
  <si>
    <t xml:space="preserve">     Facilitator/coordinators</t>
  </si>
  <si>
    <t xml:space="preserve">     Meals</t>
  </si>
  <si>
    <t xml:space="preserve">     Child Care</t>
  </si>
  <si>
    <t xml:space="preserve">     Transportation</t>
  </si>
  <si>
    <t xml:space="preserve">Parent Skill Development Program Model </t>
  </si>
  <si>
    <t>Add on Parent Skills</t>
  </si>
  <si>
    <t xml:space="preserve">     Facilitator/coordinators </t>
  </si>
  <si>
    <t>Unbundled Intensive Foster Care Special Support</t>
  </si>
  <si>
    <t xml:space="preserve"> Child day</t>
  </si>
  <si>
    <t>Massachusetts Economic Indicators</t>
  </si>
  <si>
    <t>Prepared by Michael Lynch, 781-301-9129</t>
  </si>
  <si>
    <t>FY15</t>
  </si>
  <si>
    <t>FY16</t>
  </si>
  <si>
    <t>FY17</t>
  </si>
  <si>
    <t>FY18</t>
  </si>
  <si>
    <t>FY19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</si>
  <si>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</si>
  <si>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</si>
  <si>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</si>
  <si>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</si>
  <si>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</si>
  <si>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</si>
  <si>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</si>
  <si>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</si>
  <si>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</si>
  <si>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</si>
  <si>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</si>
  <si>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</si>
  <si>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</si>
  <si>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</si>
  <si>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</si>
  <si>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</si>
  <si>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</si>
  <si>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</si>
  <si>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</si>
  <si>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</si>
  <si>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</si>
  <si>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</si>
  <si>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</si>
  <si>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</si>
  <si>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</si>
  <si>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</si>
  <si>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</si>
  <si>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</si>
  <si>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</si>
  <si>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</si>
  <si>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</si>
  <si>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</si>
  <si>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</si>
  <si>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</si>
  <si>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</si>
  <si>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</si>
  <si>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</si>
  <si>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</si>
  <si>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</si>
  <si>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</si>
  <si>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</si>
  <si>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</si>
  <si>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</si>
  <si>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</si>
  <si>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</si>
  <si>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</si>
  <si>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</si>
  <si>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</si>
  <si>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</si>
  <si>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</si>
  <si>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</si>
  <si>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</si>
  <si>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</si>
  <si>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</si>
  <si>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</si>
  <si>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</si>
  <si>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</si>
  <si>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</si>
  <si>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</si>
  <si>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</si>
  <si>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</si>
  <si>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</si>
  <si>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</si>
  <si>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</si>
  <si>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</si>
  <si>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</si>
  <si>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</si>
  <si>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</si>
  <si>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</si>
  <si>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</si>
  <si>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</si>
  <si>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</si>
  <si>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</si>
  <si>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</si>
  <si>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</si>
  <si>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</si>
  <si>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</si>
  <si>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</si>
  <si>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</si>
  <si>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</si>
  <si>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CAF:</t>
  </si>
  <si>
    <t>Rate Review Analysis</t>
  </si>
  <si>
    <t xml:space="preserve">Applied 4.19% CAF </t>
  </si>
  <si>
    <t xml:space="preserve">Applied 2.86% CAF </t>
  </si>
  <si>
    <t>See Activity code 3781 (benchmark)</t>
  </si>
  <si>
    <t xml:space="preserve">Applied 2.98% CAF </t>
  </si>
  <si>
    <t>Applied 4.19% CAF to Fam. Sup. Cntr Rate and then Benchmarked Autism Sup. Cntr</t>
  </si>
  <si>
    <t>Ratio</t>
  </si>
  <si>
    <t>FTE</t>
  </si>
  <si>
    <t>Program Director</t>
  </si>
  <si>
    <t>Direct Care Staffing</t>
  </si>
  <si>
    <t>Program Support-Clerical</t>
  </si>
  <si>
    <t>Total Dir Care Staff</t>
  </si>
  <si>
    <t>Expenses</t>
  </si>
  <si>
    <t>Taxes &amp; Fringe</t>
  </si>
  <si>
    <t>of Staff cost</t>
  </si>
  <si>
    <t>Total Compensation</t>
  </si>
  <si>
    <t>Non Staff Direct Exp.</t>
  </si>
  <si>
    <t>Total Direct Expenses</t>
  </si>
  <si>
    <t>Admin M&amp;G</t>
  </si>
  <si>
    <t>of direct costs</t>
  </si>
  <si>
    <t>TOTAL</t>
  </si>
  <si>
    <t>Rate Per Enrolled Day</t>
  </si>
  <si>
    <t>CAF</t>
  </si>
  <si>
    <t>DMH Direct Youth Intervention Model</t>
  </si>
  <si>
    <t>Capacity</t>
  </si>
  <si>
    <t>Annual Units</t>
  </si>
  <si>
    <t>Salary</t>
  </si>
  <si>
    <t>Expense</t>
  </si>
  <si>
    <t>% of cost</t>
  </si>
  <si>
    <t>Family Stabilization              Comprehensive Models (A:G)</t>
  </si>
  <si>
    <t>Position:</t>
  </si>
  <si>
    <t xml:space="preserve">   {Ratio}</t>
  </si>
  <si>
    <t>Direct Care Staff</t>
  </si>
  <si>
    <t>Program Support</t>
  </si>
  <si>
    <t>Total Staff</t>
  </si>
  <si>
    <t>Non Staff Direct Expenses</t>
  </si>
  <si>
    <t>M&amp;G (DC Staff only)</t>
  </si>
  <si>
    <t>Tax and Fringe</t>
  </si>
  <si>
    <t>Non Clinical Less Intensive A-1</t>
  </si>
  <si>
    <t>FTEs</t>
  </si>
  <si>
    <t>Master Data Look-Up Table</t>
  </si>
  <si>
    <t>Family Stabilization - Behavioral Support - Bachelor Level</t>
  </si>
  <si>
    <t>Productivity Standard - Per FTE</t>
  </si>
  <si>
    <t>Total Yearly Hours</t>
  </si>
  <si>
    <t>Benchmark Salary</t>
  </si>
  <si>
    <t>Source</t>
  </si>
  <si>
    <t>Available Client Hours Per Site</t>
  </si>
  <si>
    <t>Total Availble Hours</t>
  </si>
  <si>
    <t>Hours</t>
  </si>
  <si>
    <t>Weeks</t>
  </si>
  <si>
    <t>Behavioral Support - Bachelor's</t>
  </si>
  <si>
    <t>Postion</t>
  </si>
  <si>
    <t xml:space="preserve"> FTEs</t>
  </si>
  <si>
    <t>Vacation</t>
  </si>
  <si>
    <t>Sick &amp; Personal</t>
  </si>
  <si>
    <t>Purchaser Recommendation</t>
  </si>
  <si>
    <t>Training</t>
  </si>
  <si>
    <t>Benchmark Expenses</t>
  </si>
  <si>
    <t>Holidays</t>
  </si>
  <si>
    <t>Master's Level Model Budget</t>
  </si>
  <si>
    <t>TOTAL COMPENSATION</t>
  </si>
  <si>
    <t>Travel</t>
  </si>
  <si>
    <t>Other Direct Cost (% of salary)</t>
  </si>
  <si>
    <t>Admin/Supervision</t>
  </si>
  <si>
    <t>Admin. Allocation</t>
  </si>
  <si>
    <t>Subtotal Unproductive Hours</t>
  </si>
  <si>
    <t>TOTAL REIMB EXP W/O M&amp;G</t>
  </si>
  <si>
    <t xml:space="preserve">Total Yearly Available Hours </t>
  </si>
  <si>
    <t xml:space="preserve">Average FTEs </t>
  </si>
  <si>
    <t>Total Productive Hours per FTE</t>
  </si>
  <si>
    <t>Unit Rate Per Available Client Hour</t>
  </si>
  <si>
    <t>Proposed Rate per 15 Minutes</t>
  </si>
  <si>
    <t>Behavioral Support - Master's</t>
  </si>
  <si>
    <t>CAF Rate</t>
  </si>
  <si>
    <t>Rate per 15 Minutes</t>
  </si>
  <si>
    <t>Family Stabilization - Behavioral Support -  Doctorate Level</t>
  </si>
  <si>
    <t xml:space="preserve">Total Yearly </t>
  </si>
  <si>
    <t>Behavioral Support - Doctorate</t>
  </si>
  <si>
    <t>Family Stabilization - Agency With Choice Administration</t>
  </si>
  <si>
    <t>Unit - Per Client Per Month</t>
  </si>
  <si>
    <t>Total Hours Per Client Per Month</t>
  </si>
  <si>
    <t>Position</t>
  </si>
  <si>
    <t>Total Program Staff</t>
  </si>
  <si>
    <t>NOTES:</t>
  </si>
  <si>
    <t>Other Direct Cost (% Salary)</t>
  </si>
  <si>
    <t xml:space="preserve">           based on the hourly rate established in the Family Navigation Model</t>
  </si>
  <si>
    <t>Total Reimb excl M&amp;G</t>
  </si>
  <si>
    <t>Proposed CAF</t>
  </si>
  <si>
    <t>Proposed Hourly Rate with CAF</t>
  </si>
  <si>
    <t>TOTAL UNIT RATE - PER CLIENT PER MONTH</t>
  </si>
  <si>
    <t>MODEL BUDGET FAMILY NAVIGATION - Adopted May 2011</t>
  </si>
  <si>
    <t>Productivity Standard</t>
  </si>
  <si>
    <t>Total</t>
  </si>
  <si>
    <t>Service Unit - Client Hour</t>
  </si>
  <si>
    <t>Total Productive Hours</t>
  </si>
  <si>
    <t>Max # of Billable  Hours</t>
  </si>
  <si>
    <t>Direct Costs:</t>
  </si>
  <si>
    <t>Non-direct service hours</t>
  </si>
  <si>
    <t>vacation</t>
  </si>
  <si>
    <t xml:space="preserve">   Staff Salary</t>
  </si>
  <si>
    <t xml:space="preserve">sick and personal </t>
  </si>
  <si>
    <t>holidays (10 days)</t>
  </si>
  <si>
    <t>training (3 days)</t>
  </si>
  <si>
    <t xml:space="preserve">   Subtotal salary</t>
  </si>
  <si>
    <t>travel (4 hrs/week)</t>
  </si>
  <si>
    <t xml:space="preserve">   Taxes &amp; Benefits</t>
  </si>
  <si>
    <t>% of salary</t>
  </si>
  <si>
    <t>Admin/Supervision (4 hours per week)</t>
  </si>
  <si>
    <t>Subtotal non-direct hours</t>
  </si>
  <si>
    <t xml:space="preserve">   Other direct costs</t>
  </si>
  <si>
    <t>% of salary:</t>
  </si>
  <si>
    <t>Productive hours per FTE</t>
  </si>
  <si>
    <t xml:space="preserve">   Subtotal direct costs</t>
  </si>
  <si>
    <t>Total DC FTEs</t>
  </si>
  <si>
    <t>Indirect Costs</t>
  </si>
  <si>
    <t>Overhead (% of total direct cost)</t>
  </si>
  <si>
    <t xml:space="preserve">     Subtotal indirect costs</t>
  </si>
  <si>
    <t>Total program costs</t>
  </si>
  <si>
    <t>Hourly Rate</t>
  </si>
  <si>
    <t>Hourly Rate w/CAF</t>
  </si>
  <si>
    <t xml:space="preserve">Rate per 15 min </t>
  </si>
  <si>
    <t>Rate per Hour w/Proposed CAF</t>
  </si>
  <si>
    <t>Rate per 15 Minutes w/Proposed CAF</t>
  </si>
  <si>
    <t xml:space="preserve">  -  Rate calculation in the Agency With Choice Administration Model is</t>
  </si>
  <si>
    <t xml:space="preserve">  -  The average number of hours allowed per client per month is 5</t>
  </si>
  <si>
    <t>New Rate</t>
  </si>
  <si>
    <t>Calculated as Daily rates for 3775 divided by 16 as requested by purchaser</t>
  </si>
  <si>
    <t>New rate</t>
  </si>
  <si>
    <t>Percent of Total Cost</t>
  </si>
  <si>
    <t>Direct Mgmt Staffing</t>
  </si>
  <si>
    <t>Occupancy</t>
  </si>
  <si>
    <t>Other</t>
  </si>
  <si>
    <t xml:space="preserve">Admin. Alloc. </t>
  </si>
  <si>
    <t>of direct expense</t>
  </si>
  <si>
    <t>Subtotal non-staff</t>
  </si>
  <si>
    <t>RATE:</t>
  </si>
  <si>
    <t>8.5 Direct Care FTE Model</t>
  </si>
  <si>
    <t>9 Direct Care FTE Model</t>
  </si>
  <si>
    <t>9.5 Direct Care FTE Model</t>
  </si>
  <si>
    <t>10 Direct Care FTE Model</t>
  </si>
  <si>
    <t>10.5 Direct Care FTE Model</t>
  </si>
  <si>
    <t>11 Direct Care FTE Model</t>
  </si>
  <si>
    <t>11.5 Direct Care FTE Model</t>
  </si>
  <si>
    <t>12 Direct Care FTE Model</t>
  </si>
  <si>
    <t>Rate Review CAF 1-1-16</t>
  </si>
  <si>
    <t>15 Minute</t>
  </si>
  <si>
    <t>FNSS &amp; FNSO</t>
  </si>
  <si>
    <t>Productivity Factor Adjustment and applied 4.19% CAF</t>
  </si>
  <si>
    <t>Master Look-Up Table</t>
  </si>
  <si>
    <t xml:space="preserve">Capacity </t>
  </si>
  <si>
    <t>of Staff Wages</t>
  </si>
  <si>
    <t xml:space="preserve">Total </t>
  </si>
  <si>
    <t>MODEL BUDGET Adult Companion Group</t>
  </si>
  <si>
    <t>Adopted May 2011</t>
  </si>
  <si>
    <t>Individual Adult Companion Base Rate per 15 min</t>
  </si>
  <si>
    <t>Additional Activity Cost per 15 min for a group</t>
  </si>
  <si>
    <t>Total Group Cost per 15 min</t>
  </si>
  <si>
    <t>Group Size</t>
  </si>
  <si>
    <t>Percent of Direct Cost</t>
  </si>
  <si>
    <t>Sal</t>
  </si>
  <si>
    <t>Exp</t>
  </si>
  <si>
    <t>Dir. Admin</t>
  </si>
  <si>
    <t>Total Direct</t>
  </si>
  <si>
    <t xml:space="preserve"> CAF</t>
  </si>
  <si>
    <t>Rate with CAF</t>
  </si>
  <si>
    <t>Total with CAF</t>
  </si>
  <si>
    <t>Large Autism Center 3  Direct Care FTE Model</t>
  </si>
  <si>
    <t>Large Autism Center 3.5 Direct Care FTE Model</t>
  </si>
  <si>
    <t>Large Autism Center 4 Direct Care FTE Model</t>
  </si>
  <si>
    <t>Large Autism Center 4.5 Direct Care FTE Model</t>
  </si>
  <si>
    <t>Large Autism Center 5 Direct Care FTE Model</t>
  </si>
  <si>
    <t>Notes:</t>
  </si>
  <si>
    <t>.5 Direct Care FTE Model (Culturally Linguistic)</t>
  </si>
  <si>
    <t>1 Direct Care FTE Model</t>
  </si>
  <si>
    <t>Cost with CAF</t>
  </si>
  <si>
    <t>1.5 Direct Care FTE Model</t>
  </si>
  <si>
    <t xml:space="preserve"> 2 Direct Care FTE Model (Base Program)</t>
  </si>
  <si>
    <t>2.5 Direct Care FTE Model</t>
  </si>
  <si>
    <t>3 Direct Care FTE Model</t>
  </si>
  <si>
    <t>3.5 Direct Care FTE Model</t>
  </si>
  <si>
    <t xml:space="preserve"> </t>
  </si>
  <si>
    <t>4 Direct Care FTE Model</t>
  </si>
  <si>
    <t>8 Direct Care FTE Model</t>
  </si>
  <si>
    <t>Intensive Family Flexible Supports</t>
  </si>
  <si>
    <t>DDS IFFS model</t>
  </si>
  <si>
    <t>Ratio (Clients per staff memebr)</t>
  </si>
  <si>
    <t>Assumes staffing represents 75% of Total Direct</t>
  </si>
  <si>
    <t>Program Director Salary Median Salary for all HHS programs in FY09 UFR data</t>
  </si>
  <si>
    <t>Clinical Salary median for all HHS programs for UFR title Licensed Councilor</t>
  </si>
  <si>
    <t xml:space="preserve">Direct care salary Median Non Specialized Direct Care Salary FY09 </t>
  </si>
  <si>
    <t>Tax and fringe was set 22%  of Staff salary cost and Adim Allocation M&amp;G was set at 11% of Direct Expense this is similar to what has been observed in other POS services</t>
  </si>
  <si>
    <t>The Cost Adjustment Factor (CAF) of 3.27% brings the Data from FY 09 through Calendar 2012</t>
  </si>
  <si>
    <t>Facility Based Respite</t>
  </si>
  <si>
    <t xml:space="preserve">Adult Programs with Nursing Staff </t>
  </si>
  <si>
    <t>Adult Without Nursing Staff</t>
  </si>
  <si>
    <t>Relief Assumptions:</t>
  </si>
  <si>
    <t>Days</t>
  </si>
  <si>
    <t>Beds</t>
  </si>
  <si>
    <t>Days:</t>
  </si>
  <si>
    <t>sick/ personal</t>
  </si>
  <si>
    <t>holidays</t>
  </si>
  <si>
    <t>Beds per FTE</t>
  </si>
  <si>
    <t>Days Staffed per Week</t>
  </si>
  <si>
    <t>%</t>
  </si>
  <si>
    <t>Total Hours per FTE:</t>
  </si>
  <si>
    <t xml:space="preserve">DC Management </t>
  </si>
  <si>
    <t>% of FTE</t>
  </si>
  <si>
    <t>Med- Nurse</t>
  </si>
  <si>
    <t>Direct Care Shift 1</t>
  </si>
  <si>
    <t>Direct Care Weekday Shift 2</t>
  </si>
  <si>
    <t>Benchmark Ave Salary</t>
  </si>
  <si>
    <t>Direct Care Weekend Shift 2</t>
  </si>
  <si>
    <t>Direct Care Overnight Awake (1 FTE per shift)</t>
  </si>
  <si>
    <t>Direct Care Overnight Asleep</t>
  </si>
  <si>
    <t>Direct Care Relief (% of Dir Care)</t>
  </si>
  <si>
    <t>Overnight Asleep Relief (% of Dir Care)</t>
  </si>
  <si>
    <t>DC Support</t>
  </si>
  <si>
    <t>Non-Spec DC</t>
  </si>
  <si>
    <t>Unit Cost</t>
  </si>
  <si>
    <t>Non-Spec DC Overnight</t>
  </si>
  <si>
    <t>FTE Ratio</t>
  </si>
  <si>
    <t>Capacity:</t>
  </si>
  <si>
    <t>All</t>
  </si>
  <si>
    <t>Nurse</t>
  </si>
  <si>
    <t xml:space="preserve">Other Exp. </t>
  </si>
  <si>
    <t>Total reimb excl M&amp;G</t>
  </si>
  <si>
    <t>Utilization RATE:</t>
  </si>
  <si>
    <t>Children's Program - weekends only without Nurse</t>
  </si>
  <si>
    <t>Children's Program - weekends only w Nurse</t>
  </si>
  <si>
    <t>Direct Care- Shift 1</t>
  </si>
  <si>
    <t>Direct Care- Shift 2</t>
  </si>
  <si>
    <t>Direct Care- Overnight Awake</t>
  </si>
  <si>
    <t>Children's Program - higher intensity weekends only w Nurse</t>
  </si>
  <si>
    <t>Staffing Ratios Determined in Consultation with DDS program staff</t>
  </si>
  <si>
    <t>Unit cost and salary data taken from DMH Facility based Respite Programs FY09 UFR data</t>
  </si>
  <si>
    <t>Financial Assistance Admin Fee</t>
  </si>
  <si>
    <t>PROGRAM COSTS</t>
  </si>
  <si>
    <t>Salary/Rate</t>
  </si>
  <si>
    <t># FTEs</t>
  </si>
  <si>
    <t>Cost</t>
  </si>
  <si>
    <t>Bookkeeper</t>
  </si>
  <si>
    <t xml:space="preserve">    Staff training</t>
  </si>
  <si>
    <t xml:space="preserve">    Transportation</t>
  </si>
  <si>
    <t xml:space="preserve">   Occupancy/Utilities</t>
  </si>
  <si>
    <t xml:space="preserve">    Office expenses</t>
  </si>
  <si>
    <t xml:space="preserve">    Equipment/supplies</t>
  </si>
  <si>
    <t>BILLABLE UNITS</t>
  </si>
  <si>
    <t xml:space="preserve"> RATE</t>
  </si>
  <si>
    <t>Max # of compensable hours</t>
  </si>
  <si>
    <t>Total program cost</t>
  </si>
  <si>
    <t>Maximum productivity hours per FTE</t>
  </si>
  <si>
    <t>vacation (3 weeks)</t>
  </si>
  <si>
    <t>administrative paperwork            (3 hrs/week)</t>
  </si>
  <si>
    <t xml:space="preserve">    Subtotal non-direct hours</t>
  </si>
  <si>
    <t>Max # productivity hours/FTE</t>
  </si>
  <si>
    <t>Medically Complex</t>
  </si>
  <si>
    <t>Spec. DC</t>
  </si>
  <si>
    <t>No. of Clients per Program</t>
  </si>
  <si>
    <t>Rate Per Enrolled Month</t>
  </si>
  <si>
    <t>Family Training- Peer Support- Respite</t>
  </si>
  <si>
    <t>Source for figures</t>
  </si>
  <si>
    <t>Direct Care I FY09 UFR all HHS Staff</t>
  </si>
  <si>
    <t>Total CM FTE</t>
  </si>
  <si>
    <t>Leave/Comp.(3 weeks)</t>
  </si>
  <si>
    <t>Rate per hour</t>
  </si>
  <si>
    <t>CAF 3.27</t>
  </si>
  <si>
    <t>MODEL BUDGET FOR CBHI THERAPEUTIC MENTORING SERVICE (10/19/2009)</t>
  </si>
  <si>
    <t>Program Manager</t>
  </si>
  <si>
    <t>CMHC UFR 2007</t>
  </si>
  <si>
    <t>Therapeutic mentor</t>
  </si>
  <si>
    <t>Bureau of Labor Statistics, MA 2006 (social &amp; human service assistants)</t>
  </si>
  <si>
    <t>Supervisor  (licensed clinician)</t>
  </si>
  <si>
    <t>MBHP PMPM budget salary for care manager</t>
  </si>
  <si>
    <t>CMHCs UFR 2007</t>
  </si>
  <si>
    <t>sick and personal (2 weeks)</t>
  </si>
  <si>
    <t>travel (8 hrs/week)</t>
  </si>
  <si>
    <t>supervision (1.3 hrs/week)</t>
  </si>
  <si>
    <t>RATE</t>
  </si>
  <si>
    <t>Max billable hours per FTE</t>
  </si>
  <si>
    <t>Total FP FTE</t>
  </si>
  <si>
    <t xml:space="preserve">Family Systems Intervention </t>
  </si>
  <si>
    <t>Respite in Caregivers Home</t>
  </si>
  <si>
    <t>A</t>
  </si>
  <si>
    <t>Case Manager</t>
  </si>
  <si>
    <t>Total Staff Cost</t>
  </si>
  <si>
    <t>Direct program costs</t>
  </si>
  <si>
    <t>Stipend</t>
  </si>
  <si>
    <t>65*365</t>
  </si>
  <si>
    <t>Subtotal Caregiver costs</t>
  </si>
  <si>
    <t>Per day</t>
  </si>
  <si>
    <t>CAF 3.27%</t>
  </si>
  <si>
    <t>B</t>
  </si>
  <si>
    <t xml:space="preserve">  Direct program costs</t>
  </si>
  <si>
    <t>75*365</t>
  </si>
  <si>
    <t>C</t>
  </si>
  <si>
    <t>95*365</t>
  </si>
  <si>
    <t>Subtotal direct costs</t>
  </si>
  <si>
    <t>Model A-1 Direct Care Non Clinical Less Intensive</t>
  </si>
  <si>
    <t>Model A-2 Direct Care Non Clinical More Intensive</t>
  </si>
  <si>
    <t>4.5 Direct Care FTE Model</t>
  </si>
  <si>
    <t>5 Direct Care FTE Model</t>
  </si>
  <si>
    <t>5.5 Direct Care FTE Model</t>
  </si>
  <si>
    <t>6 Direct Care FTE Model</t>
  </si>
  <si>
    <t>6.5 Direct Care FTE Model</t>
  </si>
  <si>
    <t>7 Direct Care FTE Model</t>
  </si>
  <si>
    <t>7.5 Direct Care FTE Model</t>
  </si>
  <si>
    <t>Small Autism Center 1 Direct Care FTE Model</t>
  </si>
  <si>
    <t>Small Autism Center 1.5 Direct Care FTE Model</t>
  </si>
  <si>
    <t>("Medium" ?) Autism Center 2  Direct Care FTE Model</t>
  </si>
  <si>
    <t>("Medium" ?) Autism Center 2.5  Direct Care FTE Model</t>
  </si>
  <si>
    <t>Large Autism Center 5.5 Direct Care FTE Model</t>
  </si>
  <si>
    <t>Large Autism Center 6 Direct Care FTE Model</t>
  </si>
  <si>
    <t>Large Autism Center 6.5 Direct Care FTE Model</t>
  </si>
  <si>
    <t>Large Autism Center 7 Direct Care FTE Model</t>
  </si>
  <si>
    <t>Large Autism Center 7.5 Direct Care FTE Model</t>
  </si>
  <si>
    <t>Large Autism Center 8 Direct Care FTE Model</t>
  </si>
  <si>
    <t>FY16 Rate Review CAF</t>
  </si>
  <si>
    <t>FY16 CAF</t>
  </si>
  <si>
    <t>FY20</t>
  </si>
  <si>
    <t>FY21</t>
  </si>
  <si>
    <t>Rate-to-rate CAF</t>
  </si>
  <si>
    <t>Assumption for Rate Reviews that are to be promulgated January 1, 2018</t>
  </si>
  <si>
    <t xml:space="preserve">Base period: </t>
  </si>
  <si>
    <t>FY18Q2</t>
  </si>
  <si>
    <t>Average</t>
  </si>
  <si>
    <t xml:space="preserve">Prospective rate period: </t>
  </si>
  <si>
    <t>1/1/18 - 12/31/19</t>
  </si>
  <si>
    <t>CAF using base year of data</t>
  </si>
  <si>
    <t>TEMPLATE ONLY -- CHANGE ME WITH YOUR RATE-SPECIFIC DATA!</t>
  </si>
  <si>
    <t>FY18 CAF</t>
  </si>
  <si>
    <t>Group Cost per Person per 15 Minutes</t>
  </si>
  <si>
    <t>Rate per Transaction</t>
  </si>
  <si>
    <t>Monthly Cost</t>
  </si>
  <si>
    <t>FT / PS Group of 2</t>
  </si>
  <si>
    <t>FT / PS Group of 5</t>
  </si>
  <si>
    <t>Respite 1:1 (recipients home)</t>
  </si>
  <si>
    <t>Respite 1:2 (recipients home)</t>
  </si>
  <si>
    <t>Respite 1:3 (recipients home)</t>
  </si>
  <si>
    <t>Respite Day (recipients home)</t>
  </si>
  <si>
    <t>FT / PS Rate per Hour</t>
  </si>
  <si>
    <t>FY18Q2 - Prospective Period 1/1/18-12/31/19</t>
  </si>
  <si>
    <t>101 CMR 414 Family Stabilization benchmark</t>
  </si>
  <si>
    <t>TOTAL DIRECT COSTS</t>
  </si>
  <si>
    <t>Admin allocation</t>
  </si>
  <si>
    <t>Total Program Costs</t>
  </si>
  <si>
    <t>Daily Rate</t>
  </si>
  <si>
    <t>Respite In Caregiver's Home - Level 1</t>
  </si>
  <si>
    <t>Respite In Caregiver's Home - Level 2</t>
  </si>
  <si>
    <t>Respite In Caregiver's Home - Level 3</t>
  </si>
  <si>
    <t>Stipend - Level 1</t>
  </si>
  <si>
    <t xml:space="preserve">Stipend - Level 1 </t>
  </si>
  <si>
    <t>Stipend - Level 2</t>
  </si>
  <si>
    <t>Stipend - Level 3</t>
  </si>
  <si>
    <t>Ratio (Client to Staff)</t>
  </si>
  <si>
    <t>FY18 Rate Review CAF</t>
  </si>
  <si>
    <t>Rebased with Compounded CAFs</t>
  </si>
  <si>
    <t>Base FY187 Q2 - Prospective 1/1/18-12/31/19</t>
  </si>
  <si>
    <t>Rebased with FY16 Rate Review CAF</t>
  </si>
  <si>
    <t>BENCHMARK SALARIES</t>
  </si>
  <si>
    <t>SOURCE</t>
  </si>
  <si>
    <t>BENCHMARK FTES</t>
  </si>
  <si>
    <t>BENCHMARK EXPENSES</t>
  </si>
  <si>
    <t>Tax &amp; Fringe</t>
  </si>
  <si>
    <t>101 CMR 414.00: Rates for Family Stabilization Services</t>
  </si>
  <si>
    <t>Admin Allocation</t>
  </si>
  <si>
    <t>Base period 2017Q2 - Prospective period 1/1/18-12/31/19</t>
  </si>
  <si>
    <t>Non-Billable Hours</t>
  </si>
  <si>
    <t>Total Hours</t>
  </si>
  <si>
    <t>Subtotal non-billable hours</t>
  </si>
  <si>
    <t>Family Navigation Productivity Standard</t>
  </si>
  <si>
    <t>Unit - Per Client Hour</t>
  </si>
  <si>
    <t>Rate for 15 minutes</t>
  </si>
  <si>
    <t>FY16 Rate</t>
  </si>
  <si>
    <t>REBASED WITH FY16 CAF</t>
  </si>
  <si>
    <t>FY18 CAF - Base FY18 Q2 - Prospective 1/1/18-12/31/19</t>
  </si>
  <si>
    <t>% of Direct Program Exp.</t>
  </si>
  <si>
    <t>Rebased with 3.27% CAF</t>
  </si>
  <si>
    <t>Family Stabilization - Behavioral Support - Master's Level</t>
  </si>
  <si>
    <t xml:space="preserve">Hourly Rate </t>
  </si>
  <si>
    <t>MASTER DATA LOOKUP TABLE</t>
  </si>
  <si>
    <t>A-1</t>
  </si>
  <si>
    <t>A-2</t>
  </si>
  <si>
    <t>D</t>
  </si>
  <si>
    <t>E</t>
  </si>
  <si>
    <t>F</t>
  </si>
  <si>
    <t>G</t>
  </si>
  <si>
    <t>Benchmark FTEs</t>
  </si>
  <si>
    <t>Non Staff Direct Expense (% of total Comp)</t>
  </si>
  <si>
    <t>MASTER DATA LOOK-UP TABLE</t>
  </si>
  <si>
    <t>Base FY18 Q3 - Prospective 1/1/18 - 12/31/19</t>
  </si>
  <si>
    <t>Benchmark Salaries - Prior salaries rebased with Compounded CAFs</t>
  </si>
  <si>
    <t>Unit of Service</t>
  </si>
  <si>
    <t>Agency Rate</t>
  </si>
  <si>
    <t>Adult Companion Group Services Group of 2</t>
  </si>
  <si>
    <t>15 minutes</t>
  </si>
  <si>
    <t>Adult Companion Group Services Group of 3</t>
  </si>
  <si>
    <t>After-school Respite</t>
  </si>
  <si>
    <t>Autism Support Center/Family Support Center</t>
  </si>
  <si>
    <t>Agency with Choice</t>
  </si>
  <si>
    <t>I.C.</t>
  </si>
  <si>
    <t>30 minutes</t>
  </si>
  <si>
    <t>Community-based After-school Social and Recreation Programs</t>
  </si>
  <si>
    <t>Group Hour</t>
  </si>
  <si>
    <t>Client Financial Assistance/Flex Funding</t>
  </si>
  <si>
    <t>Client Financial Assistance/Flex Funding Administration</t>
  </si>
  <si>
    <t>Combined Hourly Services:</t>
  </si>
  <si>
    <t>     Nonclinical</t>
  </si>
  <si>
    <t>     Clinical</t>
  </si>
  <si>
    <t>Comprehensive Services:</t>
  </si>
  <si>
    <t>     Model A-1 Direct Care–Nonclinical Less Intensive</t>
  </si>
  <si>
    <t>     Model A-2 Direct Care–Nonclinical More Intensive</t>
  </si>
  <si>
    <t>     Model B Direct Care and Clinical Less Intensive</t>
  </si>
  <si>
    <t>     Model C Direct Care and Clinical More Intensive</t>
  </si>
  <si>
    <t>     Model D Clinical</t>
  </si>
  <si>
    <t>     Model E Direct Care and Clinical High Intensive</t>
  </si>
  <si>
    <t>     Model F Direct Care and Clinical Highest Intensive</t>
  </si>
  <si>
    <t>     Model G Direct Care and Clinical Higher Intensive</t>
  </si>
  <si>
    <t>Family Resource Center</t>
  </si>
  <si>
    <t xml:space="preserve">Micro Family Resource Center </t>
  </si>
  <si>
    <t>Micro Family Resource Center Add-on</t>
  </si>
  <si>
    <t>Per Diem</t>
  </si>
  <si>
    <t>Family Training Groups:</t>
  </si>
  <si>
    <t>     Specialty Family Skills Development Program Model</t>
  </si>
  <si>
    <t>     Family Skills Development Program Model</t>
  </si>
  <si>
    <t>                     Meals</t>
  </si>
  <si>
    <t>                     Child Care</t>
  </si>
  <si>
    <t>                     Transportation</t>
  </si>
  <si>
    <t xml:space="preserve">     Parent Skill Development Program Model </t>
  </si>
  <si>
    <t>             Add-ons for a Parent Skill Development Program Model:</t>
  </si>
  <si>
    <t>Family Training</t>
  </si>
  <si>
    <t>Peer Support</t>
  </si>
  <si>
    <t>Peer Support Group of 2</t>
  </si>
  <si>
    <t>Peer Support Group of 5</t>
  </si>
  <si>
    <t>Planned Site-based Respite for Children</t>
  </si>
  <si>
    <t>Site-based Respite</t>
  </si>
  <si>
    <t>Site-based Respite with Nursing</t>
  </si>
  <si>
    <t>Child day</t>
  </si>
  <si>
    <t>RATE - PER CLIENT PER MONTH</t>
  </si>
  <si>
    <t>MASTER DATA LOOK-UP TABLE - COMPOUNDED CAFs</t>
  </si>
  <si>
    <t>Title</t>
  </si>
  <si>
    <t>Rebased</t>
  </si>
  <si>
    <t>Direct Care Add-On</t>
  </si>
  <si>
    <t>STAFFING - FTES</t>
  </si>
  <si>
    <t>Monthly Rate</t>
  </si>
  <si>
    <t>SITE BASED RESPITE WITH NURSING</t>
  </si>
  <si>
    <t>SITE BASED RESPITE</t>
  </si>
  <si>
    <t>PLANNED SITE BASED RESPITE FOR CHILDREN WITH HIGH INTESITY SUPPORT NEEDS</t>
  </si>
  <si>
    <t>PLANNED SITE BASED RESPITE FOR CHILDREN</t>
  </si>
  <si>
    <t>Rate per 30 minutes</t>
  </si>
  <si>
    <t>Benchmark Salaries</t>
  </si>
  <si>
    <t>ADULT MODELS</t>
  </si>
  <si>
    <t>CHILDREN MODELS</t>
  </si>
  <si>
    <t>IHS Economics Spring 2017 Forecast</t>
  </si>
  <si>
    <t>07/01/2017 - 06/30/2019</t>
  </si>
  <si>
    <t xml:space="preserve">  1.0 DC FTE rate</t>
  </si>
  <si>
    <t>Annually</t>
  </si>
  <si>
    <t>1.0 Direct Care FTE</t>
  </si>
  <si>
    <t>Management</t>
  </si>
  <si>
    <t>Direct Care</t>
  </si>
  <si>
    <t>Sub-Total Staff</t>
  </si>
  <si>
    <t>Taxes and Fringe</t>
  </si>
  <si>
    <t xml:space="preserve">Total Staffing Costs </t>
  </si>
  <si>
    <t>Total Reimbursable Exp. Excl. Admin.</t>
  </si>
  <si>
    <t>Admin. Alloc. (M&amp;G)</t>
  </si>
  <si>
    <t xml:space="preserve">Total  </t>
  </si>
  <si>
    <t>PFMLA Trust Contribution</t>
  </si>
  <si>
    <t>Monthly Amount per DC FTE</t>
  </si>
  <si>
    <t>4 hrs wk</t>
  </si>
  <si>
    <t>FY20 Rate Review CAF</t>
  </si>
  <si>
    <t>Base 2020 Q1 -Prospective 1/1/2020 - 12/31/2021</t>
  </si>
  <si>
    <t>PFMLA</t>
  </si>
  <si>
    <t>Effective 9/1/19</t>
  </si>
  <si>
    <t>% Increase</t>
  </si>
  <si>
    <t>Adult Companion</t>
  </si>
  <si>
    <t>Adult Companion Group of 2</t>
  </si>
  <si>
    <t>Adult Companion Group of 3</t>
  </si>
  <si>
    <t>CURRENT RATE</t>
  </si>
  <si>
    <t>Total Occupancy</t>
  </si>
  <si>
    <t>17E</t>
  </si>
  <si>
    <t>20E</t>
  </si>
  <si>
    <t>Stipends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</si>
  <si>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</si>
  <si>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</si>
  <si>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</si>
  <si>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</si>
  <si>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</si>
  <si>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</si>
  <si>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</si>
  <si>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</si>
  <si>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</si>
  <si>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Staff Training 204</t>
  </si>
  <si>
    <t>Staff Mileage / Travel 205</t>
  </si>
  <si>
    <t>Meals 207</t>
  </si>
  <si>
    <t>Client Transportation 208</t>
  </si>
  <si>
    <t>Vehicle Expenses 208</t>
  </si>
  <si>
    <t>Vehicle Depreciation 208</t>
  </si>
  <si>
    <t>Client Personal Allowances 211</t>
  </si>
  <si>
    <t>31E</t>
  </si>
  <si>
    <t>32E</t>
  </si>
  <si>
    <t>33E</t>
  </si>
  <si>
    <t>35E</t>
  </si>
  <si>
    <t>36E</t>
  </si>
  <si>
    <t>Program Supplies &amp; Materials 215</t>
  </si>
  <si>
    <t>Other Expense</t>
  </si>
  <si>
    <t>Total Other Program Expense per FTE</t>
  </si>
  <si>
    <t>Incidental Medical /Medicine/Pharmacy 209</t>
  </si>
  <si>
    <t>Provision Material Goods/Svs./Benefits 212</t>
  </si>
  <si>
    <t>Direct Client Wages 214</t>
  </si>
  <si>
    <t>Other Commercial Prod. &amp; Svs. 214</t>
  </si>
  <si>
    <t>IHS Markit, Spring 2019 Forecast</t>
  </si>
  <si>
    <t>FY22</t>
  </si>
  <si>
    <t>FY23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</si>
  <si>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</si>
  <si>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</si>
  <si>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</si>
  <si>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</si>
  <si>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</si>
  <si>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</si>
  <si>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</si>
  <si>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</si>
  <si>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FSTAB Rate Reviews that are to be promulgated 1/1/2020</t>
  </si>
  <si>
    <t>FY20Q2</t>
  </si>
  <si>
    <t>Prospective rate period: 1/1/20 - 12/31/2021</t>
  </si>
  <si>
    <t>Change</t>
  </si>
  <si>
    <t>Proposed Monthly</t>
  </si>
  <si>
    <t>MGMT</t>
  </si>
  <si>
    <t>FY20 CAF</t>
  </si>
  <si>
    <t>Rebased with FY18 Rate Review CAF</t>
  </si>
  <si>
    <t xml:space="preserve">Prior CAF Rate </t>
  </si>
  <si>
    <t>Current</t>
  </si>
  <si>
    <t>Prior Rate with Compunded CAF</t>
  </si>
  <si>
    <t>RESPITE CAREGIVER'S HOME</t>
  </si>
  <si>
    <t>CAF - FY18 Review</t>
  </si>
  <si>
    <t>CAF - FY20 review</t>
  </si>
  <si>
    <t>Prior Salary with compunded CAF</t>
  </si>
  <si>
    <t>Prior Rate</t>
  </si>
  <si>
    <t>Prior Rate with compounded CAFs</t>
  </si>
  <si>
    <t>PFMLA - Effective 9/1/19</t>
  </si>
  <si>
    <t>CAF - FY18 review</t>
  </si>
  <si>
    <t>CAF - FY16</t>
  </si>
  <si>
    <t>Base 2020 Q1 -Prospective 1/1/20 - 12/31/21</t>
  </si>
  <si>
    <t>per 15 minutes</t>
  </si>
  <si>
    <t>Staff</t>
  </si>
  <si>
    <t>CAF - FY20</t>
  </si>
  <si>
    <t>ADULT COMPANION</t>
  </si>
  <si>
    <t>Aut -Fam Supports</t>
  </si>
  <si>
    <t>Agency With Choice</t>
  </si>
  <si>
    <t>BEHAVIORAL SUPPORT</t>
  </si>
  <si>
    <t>Direct Youth Intervention Model</t>
  </si>
  <si>
    <t>Indiv Youth Support</t>
  </si>
  <si>
    <t>Below the Line</t>
  </si>
  <si>
    <t>Support</t>
  </si>
  <si>
    <t>Aut Fam Supports</t>
  </si>
  <si>
    <t>AWC</t>
  </si>
  <si>
    <t>Behav. Support</t>
  </si>
  <si>
    <t>Fam Trn/ PS/ Respite</t>
  </si>
  <si>
    <t>Fin Asst Admin</t>
  </si>
  <si>
    <t>Med Complex</t>
  </si>
  <si>
    <t>Respit care Giver Home</t>
  </si>
  <si>
    <t>Site Based Respite</t>
  </si>
  <si>
    <t>Prior Salary with FY18 CAF compuonded</t>
  </si>
  <si>
    <t>FY18 UFR Weighted Avg</t>
  </si>
  <si>
    <t>-------------------------------------------------------- outliers removed --------------------------------------------------------</t>
  </si>
  <si>
    <t>Frequency</t>
  </si>
  <si>
    <t>Average 
UFR FTEs*</t>
  </si>
  <si>
    <t>Average salary</t>
  </si>
  <si>
    <t>Weighted 
average salary</t>
  </si>
  <si>
    <t>Median salary</t>
  </si>
  <si>
    <t>Max salary</t>
  </si>
  <si>
    <t>Min salary</t>
  </si>
  <si>
    <t>*Average is calculated from only those reporting employees under this title. No zero values are incorporated into the calculation</t>
  </si>
  <si>
    <t>1S</t>
  </si>
  <si>
    <t>Program Director (UFR Title 102)</t>
  </si>
  <si>
    <t>2S</t>
  </si>
  <si>
    <t>Program Function Manager (UFR Title 101)</t>
  </si>
  <si>
    <t>3S</t>
  </si>
  <si>
    <t>Asst. Program Director (UFR Title 103)</t>
  </si>
  <si>
    <t>4S</t>
  </si>
  <si>
    <t xml:space="preserve">Supervising Professional (UFR Title 104) </t>
  </si>
  <si>
    <t>17S</t>
  </si>
  <si>
    <t>Day Care Director (UFR Title 117)</t>
  </si>
  <si>
    <t>Medical</t>
  </si>
  <si>
    <t>5S</t>
  </si>
  <si>
    <t>Physician &amp; Psychiatrist  (UFR Title 105 &amp; 121)</t>
  </si>
  <si>
    <t>6S</t>
  </si>
  <si>
    <t>Physician Asst. (UFR Title 106)</t>
  </si>
  <si>
    <t>7S</t>
  </si>
  <si>
    <t>N. Midwife, N.P., Psych N.,N.A., R.N.- MA (Title 107)</t>
  </si>
  <si>
    <t>8S</t>
  </si>
  <si>
    <t>R.N. - Non Masters (UFR Title 108)</t>
  </si>
  <si>
    <t>9S</t>
  </si>
  <si>
    <t>L.P.N. (UFR Title 109)</t>
  </si>
  <si>
    <t>10S</t>
  </si>
  <si>
    <t>Pharmacist (UFR Title 110)</t>
  </si>
  <si>
    <t>11S</t>
  </si>
  <si>
    <t>Occupational Therapist (UFR Title 111)</t>
  </si>
  <si>
    <t>12S</t>
  </si>
  <si>
    <t>Physical Therapist (UFR Title 112)</t>
  </si>
  <si>
    <t>13S</t>
  </si>
  <si>
    <t>Speech / Lang. Path., Audiologist (UFR Title 113)</t>
  </si>
  <si>
    <t>14S</t>
  </si>
  <si>
    <t>Dietician / Nutritionist (UFR Title 114)</t>
  </si>
  <si>
    <t>21S</t>
  </si>
  <si>
    <t>Psychologist - Doctorate (UFR Title 122)</t>
  </si>
  <si>
    <t>22S</t>
  </si>
  <si>
    <t>Clinician-(formerly Psych.Masters)(UFR Title 123)</t>
  </si>
  <si>
    <t>23S</t>
  </si>
  <si>
    <t>Social Worker - L.I.C.S.W. (UFR Title 124)</t>
  </si>
  <si>
    <t>24S</t>
  </si>
  <si>
    <t>Social Worker - L.C.S.W., L.S.W (UFR Title 125 &amp; 126)</t>
  </si>
  <si>
    <t>25S</t>
  </si>
  <si>
    <t>Licensed Counselor (UFR Title 127)</t>
  </si>
  <si>
    <t>27S</t>
  </si>
  <si>
    <t>Cert. Alch. &amp;/or Drug Abuse Counselor (UFR Title 129)</t>
  </si>
  <si>
    <t>29S</t>
  </si>
  <si>
    <t>Case Worker / Manager - Masters (UFR Title 131)</t>
  </si>
  <si>
    <t>Specialized Direct Care</t>
  </si>
  <si>
    <t>15S</t>
  </si>
  <si>
    <t>Spec. Education Teacher (UFR Title 115)</t>
  </si>
  <si>
    <t>16S</t>
  </si>
  <si>
    <t>Teacher (UFR Title 116)</t>
  </si>
  <si>
    <t>26S</t>
  </si>
  <si>
    <t>Cert. Voc. Rehab. Counselor (UFR Title 128)</t>
  </si>
  <si>
    <t>Non-specialized Direct Care</t>
  </si>
  <si>
    <t>18S</t>
  </si>
  <si>
    <t>Day Care Lead Teacher  (UFR Title 118)</t>
  </si>
  <si>
    <t>19S</t>
  </si>
  <si>
    <t>Day Care Teacher (UFR Title 119)</t>
  </si>
  <si>
    <t>20S</t>
  </si>
  <si>
    <t>Day Care Asst. Teacher / Aide (UFR Title 120)</t>
  </si>
  <si>
    <t>28S</t>
  </si>
  <si>
    <t>Counselor (UFR Title 130)</t>
  </si>
  <si>
    <t>30S</t>
  </si>
  <si>
    <t>Case Worker / Manager (UFR Title 132)</t>
  </si>
  <si>
    <t>31S</t>
  </si>
  <si>
    <t>Direct Care / Prog. Staff Superv. (UFR Title 133)</t>
  </si>
  <si>
    <t>32S</t>
  </si>
  <si>
    <t>Direct Care / Prog. Staff III (UFR Title 134)</t>
  </si>
  <si>
    <t>33S</t>
  </si>
  <si>
    <t>Direct Care / Prog. Staff II (UFR Title 135)</t>
  </si>
  <si>
    <t>34S</t>
  </si>
  <si>
    <t>Direct Care / Prog. Staff I (UFR Title 136)</t>
  </si>
  <si>
    <t>35S</t>
  </si>
  <si>
    <t>Prog. Secretarial / Clerical Staff (UFR Title 137)</t>
  </si>
  <si>
    <t>36S</t>
  </si>
  <si>
    <t>Maintainence, House/Groundskeeping, Cook 138</t>
  </si>
  <si>
    <t>37S</t>
  </si>
  <si>
    <t>Direct Care / Driver Staff (UFR Title 138)</t>
  </si>
  <si>
    <t>DC I</t>
  </si>
  <si>
    <t>FY18 UFR Wt Avg</t>
  </si>
  <si>
    <t>Direct Care I</t>
  </si>
  <si>
    <t xml:space="preserve">Staff Mileage / Travel </t>
  </si>
  <si>
    <t>Direct Care FTEs</t>
  </si>
  <si>
    <t>Admin Costs</t>
  </si>
  <si>
    <t>Family Stabilization - Family Navigation 3700 - Hourly</t>
  </si>
  <si>
    <t>Family Stabilization - AWC Administration  - 6753 - Monthly</t>
  </si>
  <si>
    <t>Case Worker</t>
  </si>
  <si>
    <t xml:space="preserve">Transportation </t>
  </si>
  <si>
    <t>* Prior "non direct staff direct exp" &amp; respective amount of 1732 removed</t>
  </si>
  <si>
    <t>* Program and Supplies line item added with FY18 UFR Wt Avg amount of $800</t>
  </si>
  <si>
    <t>Respite</t>
  </si>
  <si>
    <t>Direct Costs</t>
  </si>
  <si>
    <t>Client Transportation</t>
  </si>
  <si>
    <t xml:space="preserve">Case Worker </t>
  </si>
  <si>
    <t>-</t>
  </si>
  <si>
    <t>Wt Avg salary</t>
  </si>
  <si>
    <t xml:space="preserve"> St Avg salary</t>
  </si>
  <si>
    <t>FY18 UFR data</t>
  </si>
  <si>
    <t>Updated Model July 2019</t>
  </si>
  <si>
    <t>Avg of all FSTB model with compounded CAFs</t>
  </si>
  <si>
    <t>AUT FAM SUPPORTS</t>
  </si>
  <si>
    <t>DDS Recommendation ($15 / hr)</t>
  </si>
  <si>
    <t>Flex Family Spending</t>
  </si>
  <si>
    <t>DDS / EHS Recommendation</t>
  </si>
  <si>
    <t>* Flex Spending amount allocated at 1.50%</t>
  </si>
  <si>
    <t>* Case Manager Position Added</t>
  </si>
  <si>
    <t>Clerical</t>
  </si>
  <si>
    <t>Effective FY20</t>
  </si>
  <si>
    <t>Average salary of Mgmt across all models (inclusive of CAFs)</t>
  </si>
  <si>
    <t>Benchmarked to $15/ hr</t>
  </si>
  <si>
    <t>Program Supplies &amp; Materials &amp; Training</t>
  </si>
  <si>
    <t xml:space="preserve"> Peer Support </t>
  </si>
  <si>
    <t>Peer Mentor</t>
  </si>
  <si>
    <t>Admin / Paperwork</t>
  </si>
  <si>
    <t>Case Worker (BA Level)</t>
  </si>
  <si>
    <t>FY18 UFR Wt Avg per FTE</t>
  </si>
  <si>
    <t>Specialty Consulations</t>
  </si>
  <si>
    <t>Purchaser Reccomentation</t>
  </si>
  <si>
    <t>Master Look Up</t>
  </si>
  <si>
    <t>FY18 UFR Wt Avg Salary</t>
  </si>
  <si>
    <t>Benchmark</t>
  </si>
  <si>
    <t>Program Supplies, Materials &amp; Other</t>
  </si>
  <si>
    <t>Adjusted to minimum wage; $15/ hr</t>
  </si>
  <si>
    <t>FY18 Wt Avg</t>
  </si>
  <si>
    <t>Supplies &amp; Materials</t>
  </si>
  <si>
    <t xml:space="preserve">Half day  </t>
  </si>
  <si>
    <t xml:space="preserve">Full day  </t>
  </si>
  <si>
    <t>             Add-ons for a Specialty Family Skills Development Program Model:</t>
  </si>
  <si>
    <t>                     Occupancy Purchase of Space</t>
  </si>
  <si>
    <t>             Add-ons for a Family Skills Development Program Model:</t>
  </si>
  <si>
    <t>                     Facilitator/Coordinator</t>
  </si>
  <si>
    <t>                     Occupancy Purchase of Space</t>
  </si>
  <si>
    <t xml:space="preserve">                     Facilitator/Coordinator </t>
  </si>
  <si>
    <t>Planned Site-based Respite for Children High-intensity Support Needs</t>
  </si>
  <si>
    <t>Respite in Recipient’s Home, 1:1</t>
  </si>
  <si>
    <t>Respite in Recipient’s Home, 1:2</t>
  </si>
  <si>
    <t>Respite in Recipient’s Home, 1:3</t>
  </si>
  <si>
    <t>% Change</t>
  </si>
  <si>
    <t>Family Navigation - AWC</t>
  </si>
  <si>
    <t>Agency with Choice Admin Fee - AWC</t>
  </si>
  <si>
    <r>
      <t xml:space="preserve">Family Resource Center </t>
    </r>
    <r>
      <rPr>
        <i/>
        <sz val="10"/>
        <color rgb="FF000000"/>
        <rFont val="Calibri"/>
        <family val="2"/>
        <scheme val="minor"/>
      </rPr>
      <t>Per Diem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Add-on: Family Support Worker</t>
    </r>
  </si>
  <si>
    <r>
      <t xml:space="preserve">Family Resource Center </t>
    </r>
    <r>
      <rPr>
        <i/>
        <sz val="10"/>
        <color rgb="FF000000"/>
        <rFont val="Calibri"/>
        <family val="2"/>
        <scheme val="minor"/>
      </rPr>
      <t>Per Diem</t>
    </r>
    <r>
      <rPr>
        <sz val="10"/>
        <color rgb="FF000000"/>
        <rFont val="Calibri"/>
        <family val="2"/>
        <scheme val="minor"/>
      </rPr>
      <t xml:space="preserve"> Add-on: Clinician</t>
    </r>
  </si>
  <si>
    <r>
      <t xml:space="preserve">Family Resource Center </t>
    </r>
    <r>
      <rPr>
        <i/>
        <sz val="10"/>
        <color rgb="FF000000"/>
        <rFont val="Calibri"/>
        <family val="2"/>
        <scheme val="minor"/>
      </rPr>
      <t>Per Diem</t>
    </r>
    <r>
      <rPr>
        <sz val="10"/>
        <color rgb="FF000000"/>
        <rFont val="Calibri"/>
        <family val="2"/>
        <scheme val="minor"/>
      </rPr>
      <t xml:space="preserve"> Add-on: Family Partner</t>
    </r>
  </si>
  <si>
    <r>
      <t xml:space="preserve">Family Resource Center </t>
    </r>
    <r>
      <rPr>
        <i/>
        <sz val="10"/>
        <color rgb="FF000000"/>
        <rFont val="Calibri"/>
        <family val="2"/>
        <scheme val="minor"/>
      </rPr>
      <t>Per Diem</t>
    </r>
    <r>
      <rPr>
        <sz val="10"/>
        <color rgb="FF000000"/>
        <rFont val="Calibri"/>
        <family val="2"/>
        <scheme val="minor"/>
      </rPr>
      <t xml:space="preserve"> Add-on: School Liaison</t>
    </r>
  </si>
  <si>
    <t>Case Worker  FY18 UFR data</t>
  </si>
  <si>
    <t>* Management FTEs adjusted to increase at 0.075 rate (up from .05)</t>
  </si>
  <si>
    <t>MMARS</t>
  </si>
  <si>
    <t>Program</t>
  </si>
  <si>
    <t>Annual</t>
  </si>
  <si>
    <t>Monthly</t>
  </si>
  <si>
    <t>ADVOCATES INC</t>
  </si>
  <si>
    <t>116620622700DDS3772M</t>
  </si>
  <si>
    <t>115590590600DDS3770M</t>
  </si>
  <si>
    <t>BAY COVE HUMAN SERVICES INC</t>
  </si>
  <si>
    <t>116601600317DDS3770M</t>
  </si>
  <si>
    <t>BERKSHIRE COUNTY ARC INC</t>
  </si>
  <si>
    <t>111110110358DDS3770M</t>
  </si>
  <si>
    <t>BRIDGEWELL INC</t>
  </si>
  <si>
    <t>163350350417DDS3771M</t>
  </si>
  <si>
    <t>BROCKTON AREA ARC, INC.</t>
  </si>
  <si>
    <t>115520520310DDS3770M</t>
  </si>
  <si>
    <t>115570570381DDS3770M</t>
  </si>
  <si>
    <t>111190240305DDS3770M</t>
  </si>
  <si>
    <t>BROCKTON AREA MULTI-SERVS INC</t>
  </si>
  <si>
    <t>115501500306DDS3770M</t>
  </si>
  <si>
    <t>CAMBODIAN MUTUAL ASSISTANCE</t>
  </si>
  <si>
    <t>113310310301DDS3771M</t>
  </si>
  <si>
    <t>CAMBRIDGE FAMILY  &amp;  CHILDRENS SERVICE</t>
  </si>
  <si>
    <t>116610610392DDS3770M</t>
  </si>
  <si>
    <t>CENTRO LAS AMERICAS INC</t>
  </si>
  <si>
    <t>111170210306DDS3771M</t>
  </si>
  <si>
    <t>111190240370DDS3771M</t>
  </si>
  <si>
    <t>CHARLES RIVER ASSOCIATION FOR</t>
  </si>
  <si>
    <t>116660660322DDS3770M</t>
  </si>
  <si>
    <t>116670670360DDS3770M</t>
  </si>
  <si>
    <t>COMMUNITY AUTISM RESOURCES INC</t>
  </si>
  <si>
    <t>115501500301DDS3772M</t>
  </si>
  <si>
    <t>DIMOCK COMMUNITY SERVICES CORP</t>
  </si>
  <si>
    <t>116620620388DDS3771M</t>
  </si>
  <si>
    <t>EAST MIDDLESEX ARC, INC.</t>
  </si>
  <si>
    <t>113380380301DDS3770M</t>
  </si>
  <si>
    <t>FIDELITY HOUSE INC</t>
  </si>
  <si>
    <t>113320320347DDS3770M</t>
  </si>
  <si>
    <t>HAITIAN AMERICAN PUBLIC HEALTH</t>
  </si>
  <si>
    <t>116601600375DDS3770M</t>
  </si>
  <si>
    <t>HORACE MANN EDUCATIONAL</t>
  </si>
  <si>
    <t>111103200364DDS3772M</t>
  </si>
  <si>
    <t>KENNEDY-DONOVAN CENTER INC</t>
  </si>
  <si>
    <t>111180220361DDS3770M</t>
  </si>
  <si>
    <t>LIFELINKS INC</t>
  </si>
  <si>
    <t>113310310306DDS3770M</t>
  </si>
  <si>
    <t>MARTHAS VINEYARD COMMUNITY</t>
  </si>
  <si>
    <t xml:space="preserve">115570570321DDS3770M </t>
  </si>
  <si>
    <t>MULTICULTURAL COMMUNITY SERS</t>
  </si>
  <si>
    <t>111140140352DDS3770M</t>
  </si>
  <si>
    <t>NEMASKET GROUP</t>
  </si>
  <si>
    <t>115560560374DDS3770M</t>
  </si>
  <si>
    <t>111180220309DDS3770M</t>
  </si>
  <si>
    <t>NEW NORTH CITIZENS COUNCIL</t>
  </si>
  <si>
    <t>111103100302DDS3771M</t>
  </si>
  <si>
    <t>111140140901DDS3771M</t>
  </si>
  <si>
    <t>NORTHEAST ARC, INC.</t>
  </si>
  <si>
    <t>113350350305DDS3770M</t>
  </si>
  <si>
    <t>113301300327DDS3772M</t>
  </si>
  <si>
    <t>PATHLIGHT, INC</t>
  </si>
  <si>
    <t>111120120342DDS3770M</t>
  </si>
  <si>
    <t>111103100325DDS3772M</t>
  </si>
  <si>
    <t>PEOPLE INCORPORATED</t>
  </si>
  <si>
    <t>115550550374DDS3770M</t>
  </si>
  <si>
    <t>RIVERSIDE COMMUNITY CARE INC</t>
  </si>
  <si>
    <t>113340340365DDS3770M</t>
  </si>
  <si>
    <t>SEVEN HILLS FAMILY SRV INC</t>
  </si>
  <si>
    <t>111170210304DDS3770M</t>
  </si>
  <si>
    <t>SOUTH SHORE SUPPORT SERV INC</t>
  </si>
  <si>
    <t>115590590601DDS3770M</t>
  </si>
  <si>
    <t>THE ARC OF BRISTOL COUNTY</t>
  </si>
  <si>
    <t>115540540384DDS3770M</t>
  </si>
  <si>
    <t>THE ARC OF GREATER PLYMOUTH</t>
  </si>
  <si>
    <t>115580580351DDS3770M</t>
  </si>
  <si>
    <t>THE ARC OF SOUTH NORFOLK, INC</t>
  </si>
  <si>
    <t>116670670320DDS3772M</t>
  </si>
  <si>
    <t>116670670384DDS3770M</t>
  </si>
  <si>
    <t>THE UNITED ARC INC</t>
  </si>
  <si>
    <t>111120120322DDS3770M</t>
  </si>
  <si>
    <t>151120122322DDS3770M</t>
  </si>
  <si>
    <t>THRIVE SUPPORT &amp; ADVOCACY</t>
  </si>
  <si>
    <t>116660660366DDS3770M</t>
  </si>
  <si>
    <t>TOWARD INDEPENDENT LIVING &amp;</t>
  </si>
  <si>
    <t>116601600334DDS3772M</t>
  </si>
  <si>
    <t>UNITED CEREBRAL  PALSY</t>
  </si>
  <si>
    <t>111110110366DDS3770M</t>
  </si>
  <si>
    <t>VINFEN CORPORATION</t>
  </si>
  <si>
    <t>116601600390DDS3770M</t>
  </si>
  <si>
    <t>126620625700DDS3770M</t>
  </si>
  <si>
    <t>WORK INC</t>
  </si>
  <si>
    <t>116620620330DDS3770M</t>
  </si>
  <si>
    <t xml:space="preserve">111150150301DDS3770M </t>
  </si>
  <si>
    <t>* Case Manager dropped to Case Workerand salary from $45,956 to $40,107</t>
  </si>
  <si>
    <t xml:space="preserve">* 3,100 Add On applied per 0.5 Case Worker needed after </t>
  </si>
  <si>
    <t>LEVEL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</si>
  <si>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</si>
  <si>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</si>
  <si>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</si>
  <si>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</si>
  <si>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</si>
  <si>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</si>
  <si>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</si>
  <si>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</si>
  <si>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</si>
  <si>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</si>
  <si>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</si>
  <si>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</si>
  <si>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</si>
  <si>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</si>
  <si>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</si>
  <si>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</si>
  <si>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L</t>
  </si>
  <si>
    <t>CURRENT CONTRACTS</t>
  </si>
  <si>
    <t>Direct Care FTE ADD ON PROPOSAL</t>
  </si>
  <si>
    <t>$3,100 ADD ON PROPOSAL</t>
  </si>
  <si>
    <t>Proposed Ann.</t>
  </si>
  <si>
    <t>DC ADD ON</t>
  </si>
  <si>
    <t>Add On</t>
  </si>
  <si>
    <t>DC  FTE</t>
  </si>
  <si>
    <t xml:space="preserve">Total Hours/ Month </t>
  </si>
  <si>
    <t>Cost / Month</t>
  </si>
  <si>
    <t>Total / Hr (15.25 per 7 Hills)</t>
  </si>
  <si>
    <t>Total/ Check (40 per 7 Hills)</t>
  </si>
  <si>
    <t>Cost/ Check</t>
  </si>
  <si>
    <t>Cost / Hour</t>
  </si>
  <si>
    <t>Flex Spending</t>
  </si>
  <si>
    <t xml:space="preserve">DDS Recommendation </t>
  </si>
  <si>
    <t>Prog. Dir.</t>
  </si>
  <si>
    <t>UPDATED MODELS</t>
  </si>
  <si>
    <t>.5 Case Manager FTE Model (Culturally Linguistic)</t>
  </si>
  <si>
    <t>1 Case Manager  FTE Model</t>
  </si>
  <si>
    <t>1.5 Case Manager  FTE Model</t>
  </si>
  <si>
    <t xml:space="preserve"> 2 Case Manager  FTE Model (Base Program)</t>
  </si>
  <si>
    <t>2.5 Case Manager  FTE Model</t>
  </si>
  <si>
    <t>3 Case Manager  FTE Model</t>
  </si>
  <si>
    <t>3.5 Case Manager  FTE Model</t>
  </si>
  <si>
    <t>4 Case Manager  FTE Model</t>
  </si>
  <si>
    <t>4.5 Case Manager  FTE Model</t>
  </si>
  <si>
    <t>5 Case Manager  FTE Model</t>
  </si>
  <si>
    <t>5.5 Case Manager  FTE Model</t>
  </si>
  <si>
    <t>6 Case Manager  FTE Model</t>
  </si>
  <si>
    <t>6.5 Case Manager  FTE Model</t>
  </si>
  <si>
    <t>7 Case Manager  FTE Model</t>
  </si>
  <si>
    <t>7.5 Case Manager  FTE Model</t>
  </si>
  <si>
    <t>8 Case Manager  FTE Model</t>
  </si>
  <si>
    <t>8.5 Case Manager FTE Model</t>
  </si>
  <si>
    <t>9 Case Manager  FTE Model</t>
  </si>
  <si>
    <t>9.5 Case Manager  FTE Model</t>
  </si>
  <si>
    <t>10 Case Manager FTE Model</t>
  </si>
  <si>
    <t>10.5 Case Manager FTE Model</t>
  </si>
  <si>
    <t>11 Case Manager FTE Model</t>
  </si>
  <si>
    <t>11.5 Case Manager FTE Model</t>
  </si>
  <si>
    <t>12 Case Manager FTE Model</t>
  </si>
  <si>
    <t>Proposed</t>
  </si>
  <si>
    <t>*Levels 2.5 to 9.5: Program Director FTE starts at 1.05 and increses at .10 increments per level; Direct Care continues to increase at .25 increments</t>
  </si>
  <si>
    <t>* Levels 0.5 to 2: Program Director and Direct Care FTE start at and increase at .25 per level</t>
  </si>
  <si>
    <t>* Levels 10 to 12: Program Director continues to increse at .10 FTE increments' Direct Care increses stop at 5 FTE and remain at 5 for the remaining models</t>
  </si>
  <si>
    <t>Prior rate with compounding CAFs</t>
  </si>
  <si>
    <t>Projected Spend</t>
  </si>
  <si>
    <t>DEPT</t>
  </si>
  <si>
    <t>Code</t>
  </si>
  <si>
    <t>FY16 Spend</t>
  </si>
  <si>
    <t>FY17 Projected Spend</t>
  </si>
  <si>
    <t>w/New Rates</t>
  </si>
  <si>
    <t>Variance</t>
  </si>
  <si>
    <t>Family Support Navigation</t>
  </si>
  <si>
    <t>Respite In Recipient's Home-Day</t>
  </si>
  <si>
    <t>Respite In Care Giver's Home</t>
  </si>
  <si>
    <t>Community Family Training/Residential Family Training</t>
  </si>
  <si>
    <t>Behavioral Supports and Consultation/Family Training</t>
  </si>
  <si>
    <t>Stabilization In Caregiver's Home</t>
  </si>
  <si>
    <t>Community Peer Support/Residential Peer Support</t>
  </si>
  <si>
    <t>Respite in Recipient's Home-Hour</t>
  </si>
  <si>
    <t>Children's Respite in Care Giver's Home-Hour</t>
  </si>
  <si>
    <t>Adult Site Based Respite Facility</t>
  </si>
  <si>
    <t>Planned Facility-Based Respite Programs for Children</t>
  </si>
  <si>
    <t>Financial Assistance Administration</t>
  </si>
  <si>
    <t>Agency w/Choice Admin fee</t>
  </si>
  <si>
    <t>n/a</t>
  </si>
  <si>
    <r>
      <t xml:space="preserve">RESPITE CARE </t>
    </r>
    <r>
      <rPr>
        <sz val="10"/>
        <color rgb="FFFF0000"/>
        <rFont val="Calibri"/>
        <family val="2"/>
        <scheme val="minor"/>
      </rPr>
      <t>(Respite in Recipients Home 1:1)</t>
    </r>
  </si>
  <si>
    <t>FNSS</t>
  </si>
  <si>
    <t>Family Networks Support &amp; Stab</t>
  </si>
  <si>
    <t>FBSR</t>
  </si>
  <si>
    <r>
      <t xml:space="preserve">Recreation/Camp </t>
    </r>
    <r>
      <rPr>
        <sz val="10"/>
        <color rgb="FFFF0000"/>
        <rFont val="Times New Roman"/>
        <family val="1"/>
      </rPr>
      <t xml:space="preserve"> (I.C. in regulation)</t>
    </r>
  </si>
  <si>
    <r>
      <t xml:space="preserve">Flex Pool Dollars </t>
    </r>
    <r>
      <rPr>
        <sz val="11"/>
        <color rgb="FFFF0000"/>
        <rFont val="Times New Roman"/>
        <family val="1"/>
      </rPr>
      <t>(I.C. in regulation)</t>
    </r>
  </si>
  <si>
    <t>Projected Spend w/New Rates</t>
  </si>
  <si>
    <t>fiscal_year</t>
  </si>
  <si>
    <t>Row Labels</t>
  </si>
  <si>
    <t>Sum of SumOfposting_line_amount</t>
  </si>
  <si>
    <t>DMR</t>
  </si>
  <si>
    <t>3700</t>
  </si>
  <si>
    <t>3701</t>
  </si>
  <si>
    <t>3702</t>
  </si>
  <si>
    <t>3703</t>
  </si>
  <si>
    <t>3707</t>
  </si>
  <si>
    <t>3709</t>
  </si>
  <si>
    <t>3710</t>
  </si>
  <si>
    <t>3712</t>
  </si>
  <si>
    <t>3716</t>
  </si>
  <si>
    <t>3731</t>
  </si>
  <si>
    <t>3735</t>
  </si>
  <si>
    <t>3759</t>
  </si>
  <si>
    <t>3760</t>
  </si>
  <si>
    <t>3770</t>
  </si>
  <si>
    <t>3771</t>
  </si>
  <si>
    <t>3772</t>
  </si>
  <si>
    <t>3773</t>
  </si>
  <si>
    <t>3774</t>
  </si>
  <si>
    <t>3775</t>
  </si>
  <si>
    <t>3776</t>
  </si>
  <si>
    <t>3781</t>
  </si>
  <si>
    <t>6700</t>
  </si>
  <si>
    <t>6701</t>
  </si>
  <si>
    <t>6703</t>
  </si>
  <si>
    <t>6704</t>
  </si>
  <si>
    <t>6707</t>
  </si>
  <si>
    <t>6753</t>
  </si>
  <si>
    <t>6780</t>
  </si>
  <si>
    <t>Grand Total</t>
  </si>
  <si>
    <t>FY19 Spend</t>
  </si>
  <si>
    <t>Model Budget</t>
  </si>
  <si>
    <t>Annual Checks</t>
  </si>
  <si>
    <t xml:space="preserve">Benchmark Salaries </t>
  </si>
  <si>
    <t>A/P Staff Accountant</t>
  </si>
  <si>
    <t>Previous Benchmark (FY18 UFR Wt Avg 19.63%)</t>
  </si>
  <si>
    <t>Previous Benchmark (FY18 UFR Wt Avg 12.03%)</t>
  </si>
  <si>
    <t>Base 2020 Q1 -Prospective FY20 &amp; FY21</t>
  </si>
  <si>
    <t>PFLMA</t>
  </si>
  <si>
    <t>Unit Rate</t>
  </si>
  <si>
    <t>Benchmark FTE</t>
  </si>
  <si>
    <t>Admin Expenses &amp; Supplies &amp; Materials</t>
  </si>
  <si>
    <t>Includes check writing, supplies &amp; materials and direct admin</t>
  </si>
  <si>
    <t>Costs</t>
  </si>
  <si>
    <t>2.5 hours per week / Purchaser Recommendation</t>
  </si>
  <si>
    <t>2 hours per week / Purchaser Recommendation</t>
  </si>
  <si>
    <t>ALL ORIGINAL SALARIES PER PROGRAM  - WITH CAFs COMPOUNDED</t>
  </si>
  <si>
    <t>$15 / hr</t>
  </si>
  <si>
    <t>average</t>
  </si>
  <si>
    <t>weighted average</t>
  </si>
  <si>
    <t>T &amp; F FY18 Data</t>
  </si>
  <si>
    <t>Admin Alloc. FY18 Data</t>
  </si>
  <si>
    <t>MCB Family Navigation Administrative Service</t>
  </si>
  <si>
    <t>Family Navigator</t>
  </si>
  <si>
    <t>Benchmarked to Family Support and Autism Centers</t>
  </si>
  <si>
    <t>Respite In Recipent's Home-Day</t>
  </si>
  <si>
    <t>Individualized Home Supports</t>
  </si>
  <si>
    <t>Behavioral Supports and ConsultationFamily Training</t>
  </si>
  <si>
    <t>Respite in Recipent's Home-Hour</t>
  </si>
  <si>
    <t>Non-Waiver Services</t>
  </si>
  <si>
    <t>Family Support Centers</t>
  </si>
  <si>
    <t>Cultural Linguistic Family Support Centers</t>
  </si>
  <si>
    <t>Autism Support Centers</t>
  </si>
  <si>
    <t>Family Support Navigation AWC</t>
  </si>
  <si>
    <t>Respite In Recipient's Home AWC</t>
  </si>
  <si>
    <t>Individualized Home Supports AWC</t>
  </si>
  <si>
    <t>Individualized Day Supports AWC</t>
  </si>
  <si>
    <t>Adult Companion AWC</t>
  </si>
  <si>
    <t>Financial Assistance AWC</t>
  </si>
  <si>
    <t>RESPITE CARE</t>
  </si>
  <si>
    <t>Program Type</t>
  </si>
  <si>
    <t>Respite in Caregiver’s Home Level 1, 2&amp; 3</t>
  </si>
  <si>
    <t>In Home Supports; CMR 423</t>
  </si>
  <si>
    <t>Adult Companion; All groups</t>
  </si>
  <si>
    <t>Family Training; All groups</t>
  </si>
  <si>
    <t>Behavioral Support Services; All Levels</t>
  </si>
  <si>
    <t>Stabilization Care Giver's Home: All Levels</t>
  </si>
  <si>
    <t>Peer Support; All Levels</t>
  </si>
  <si>
    <t>Respite in Recipient’s Home; All Levels</t>
  </si>
  <si>
    <t>Site-based Respite &amp; w/ Nursing</t>
  </si>
  <si>
    <t>Autism Support</t>
  </si>
  <si>
    <t>Planned Site Based Respite for Children &amp; High Intensity</t>
  </si>
  <si>
    <t>Agency w/choice Admin Fee</t>
  </si>
  <si>
    <t xml:space="preserve">Cultural Linguistic Family Support Centers </t>
  </si>
  <si>
    <t>As of 8/9/19</t>
  </si>
  <si>
    <t>Rebased to incorporate FY18 CAF</t>
  </si>
  <si>
    <t>Flex Funding Administration</t>
  </si>
  <si>
    <t>Ctr Cat</t>
  </si>
  <si>
    <t>BTL Scale</t>
  </si>
  <si>
    <t>Small</t>
  </si>
  <si>
    <t>Base</t>
  </si>
  <si>
    <t>Medium</t>
  </si>
  <si>
    <t>Large</t>
  </si>
  <si>
    <r>
      <t xml:space="preserve">Family Navigation Administrative Service </t>
    </r>
    <r>
      <rPr>
        <sz val="10"/>
        <color rgb="FFFF0000"/>
        <rFont val="Calibri"/>
        <family val="2"/>
        <scheme val="minor"/>
      </rPr>
      <t>- New Rate</t>
    </r>
  </si>
  <si>
    <r>
      <t>FLEXIBLE FAMILY SUPPORTS -</t>
    </r>
    <r>
      <rPr>
        <sz val="10"/>
        <color rgb="FFFF0000"/>
        <rFont val="Calibri"/>
        <family val="2"/>
        <scheme val="minor"/>
      </rPr>
      <t xml:space="preserve"> Admin Fee </t>
    </r>
  </si>
  <si>
    <t xml:space="preserve">Proposed </t>
  </si>
  <si>
    <t>Hourly Rate with CAF</t>
  </si>
  <si>
    <t>Impact for January 2020</t>
  </si>
  <si>
    <t xml:space="preserve">Purchaser Recommendation </t>
  </si>
  <si>
    <t xml:space="preserve"> % Increase</t>
  </si>
  <si>
    <t>"3700","3701","3702","3707","3709","3710","3712","3716","3731","3735","3759","3770","3771","3772","3773","3774","3775","3781","6753"</t>
  </si>
  <si>
    <t>To be requested from C.257 Reserve</t>
  </si>
  <si>
    <t>To be funded from DDS FY20 Operating budget</t>
  </si>
  <si>
    <t>MCB Model Adjustments</t>
  </si>
  <si>
    <t>DCF Model Adjustments</t>
  </si>
  <si>
    <t>FY19 SPEND</t>
  </si>
  <si>
    <t xml:space="preserve">DDS - CAF &amp; PFLMA </t>
  </si>
  <si>
    <t>DDS - Specific</t>
  </si>
  <si>
    <t>To be funded from MCB FY20 Operating budget</t>
  </si>
  <si>
    <t>To be funded from department specific FY20 Operating budget</t>
  </si>
  <si>
    <r>
      <t xml:space="preserve">(b)  </t>
    </r>
    <r>
      <rPr>
        <u/>
        <sz val="11"/>
        <color theme="1"/>
        <rFont val="Times New Roman"/>
        <family val="1"/>
      </rPr>
      <t>Rates Effective January 20, 2020</t>
    </r>
    <r>
      <rPr>
        <sz val="11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</si>
</sst>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  <numFmt numFmtId="167" formatCode="\$#,##0"/>
    <numFmt numFmtId="168" formatCode="0.0%"/>
    <numFmt numFmtId="169" formatCode="\$#,##0.00"/>
    <numFmt numFmtId="170" formatCode="_(&quot;$&quot;* #,##0_);_(&quot;$&quot;* \(#,##0\);_(&quot;$&quot;* &quot;-&quot;??_);_(@_)"/>
    <numFmt numFmtId="171" formatCode="_(* #,##0_);_(* \(#,##0\);_(* &quot;-&quot;??_);_(@_)"/>
    <numFmt numFmtId="172" formatCode="_(* #,##0.0_);_(* \(#,##0.0\);_(* &quot;-&quot;??_);_(@_)"/>
    <numFmt numFmtId="173" formatCode="#,##0.0000"/>
    <numFmt numFmtId="174" formatCode="&quot;$&quot;#,##0"/>
    <numFmt numFmtId="175" formatCode="0.000%"/>
    <numFmt numFmtId="176" formatCode="0.0000%"/>
    <numFmt numFmtId="177" formatCode="0.0000"/>
    <numFmt numFmtId="178" formatCode="_(* #,##0.000_);_(* \(#,##0.000\);_(* &quot;-&quot;??_);_(@_)"/>
    <numFmt numFmtId="179" formatCode="#,##0.00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8000"/>
      <name val="Arial"/>
      <family val="2"/>
    </font>
    <font>
      <sz val="10"/>
      <color rgb="FF0066CC"/>
      <name val="Arial"/>
      <family val="2"/>
    </font>
    <font>
      <sz val="10"/>
      <color rgb="FF00000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  <scheme val="minor"/>
    </font>
    <font>
      <b/>
      <u/>
      <sz val="10"/>
      <name val="Arial"/>
      <family val="2"/>
    </font>
    <font>
      <b/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2"/>
      <name val="Times New Roman"/>
      <family val="1"/>
    </font>
    <font>
      <b/>
      <sz val="10"/>
      <name val="Symbol"/>
      <family val="1"/>
      <charset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4"/>
      <name val="Arial"/>
      <family val="2"/>
    </font>
    <font>
      <i/>
      <sz val="14"/>
      <name val="Arial"/>
      <family val="2"/>
    </font>
    <font>
      <sz val="14"/>
      <color indexed="12"/>
      <name val="Arial"/>
      <family val="2"/>
    </font>
    <font>
      <sz val="14"/>
      <name val="Times New Roman"/>
      <family val="1"/>
    </font>
    <font>
      <b/>
      <sz val="11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7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A7D00"/>
      <name val="Arial"/>
      <family val="2"/>
    </font>
    <font>
      <sz val="9"/>
      <name val="Microsoft Sans Serif"/>
      <family val="2"/>
    </font>
    <font>
      <sz val="9"/>
      <name val="Microsoft Sans Serif"/>
      <family val="2"/>
      <charset val="204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rgb="FF00B05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24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18"/>
      <name val="Calibri"/>
      <family val="2"/>
      <scheme val="minor"/>
    </font>
    <font>
      <sz val="8"/>
      <color indexed="81"/>
      <name val="Tahoma"/>
      <family val="2"/>
    </font>
    <font>
      <i/>
      <sz val="8"/>
      <color rgb="FFFF0000"/>
      <name val="Arial"/>
      <family val="2"/>
    </font>
    <font>
      <i/>
      <sz val="9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0066CC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i/>
      <sz val="8"/>
      <color rgb="FFFF0000"/>
      <name val="Calibri"/>
      <family val="2"/>
      <scheme val="minor"/>
    </font>
    <font>
      <b/>
      <sz val="10"/>
      <color indexed="30"/>
      <name val="Calibri"/>
      <family val="2"/>
      <scheme val="minor"/>
    </font>
    <font>
      <sz val="11"/>
      <color rgb="FF9C0006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4FC9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DB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medium">
        <color indexed="64"/>
      </right>
      <top style="thin">
        <color indexed="58"/>
      </top>
      <bottom style="thin">
        <color indexed="58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/>
      <right/>
      <top/>
      <bottom style="thin">
        <color indexed="58"/>
      </bottom>
      <diagonal/>
    </border>
    <border>
      <left style="medium">
        <color indexed="64"/>
      </left>
      <right/>
      <top style="thin">
        <color indexed="58"/>
      </top>
      <bottom style="double">
        <color indexed="58"/>
      </bottom>
      <diagonal/>
    </border>
    <border>
      <left/>
      <right/>
      <top style="thin">
        <color indexed="58"/>
      </top>
      <bottom style="double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8"/>
      </top>
      <bottom style="double">
        <color indexed="5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rgb="FFFF0000"/>
      </top>
      <bottom/>
      <diagonal/>
    </border>
  </borders>
  <cellStyleXfs count="1143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1" applyNumberFormat="0" applyAlignment="0" applyProtection="0"/>
    <xf numFmtId="0" fontId="10" fillId="22" borderId="2" applyNumberFormat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" applyNumberFormat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1" fillId="0" borderId="0"/>
    <xf numFmtId="0" fontId="2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24" borderId="7" applyNumberFormat="0" applyFont="0" applyAlignment="0" applyProtection="0"/>
    <xf numFmtId="0" fontId="24" fillId="21" borderId="8" applyNumberFormat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60" fillId="0" borderId="0"/>
    <xf numFmtId="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11" fillId="0" borderId="0"/>
    <xf numFmtId="42" fontId="11" fillId="0" borderId="0" applyFont="0" applyFill="0" applyBorder="0" applyAlignment="0" applyProtection="0"/>
    <xf numFmtId="0" fontId="85" fillId="0" borderId="0"/>
    <xf numFmtId="0" fontId="1" fillId="0" borderId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9" fillId="21" borderId="1" applyNumberFormat="0" applyAlignment="0" applyProtection="0"/>
    <xf numFmtId="0" fontId="9" fillId="21" borderId="1" applyNumberFormat="0" applyAlignment="0" applyProtection="0"/>
    <xf numFmtId="0" fontId="88" fillId="55" borderId="10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8" borderId="1" applyNumberFormat="0" applyAlignment="0" applyProtection="0"/>
    <xf numFmtId="0" fontId="19" fillId="8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4" borderId="7" applyNumberFormat="0" applyFont="0" applyAlignment="0" applyProtection="0"/>
    <xf numFmtId="0" fontId="22" fillId="24" borderId="7" applyNumberFormat="0" applyFont="0" applyAlignment="0" applyProtection="0"/>
    <xf numFmtId="0" fontId="11" fillId="24" borderId="7" applyNumberFormat="0" applyFont="0" applyAlignment="0" applyProtection="0"/>
    <xf numFmtId="0" fontId="24" fillId="21" borderId="8" applyNumberFormat="0" applyAlignment="0" applyProtection="0"/>
    <xf numFmtId="0" fontId="24" fillId="21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8" fontId="39" fillId="57" borderId="82" applyFont="0" applyFill="0" applyAlignment="0">
      <alignment horizontal="left" vertical="center" wrapText="1"/>
    </xf>
    <xf numFmtId="8" fontId="39" fillId="57" borderId="82" applyFont="0" applyFill="0" applyAlignment="0">
      <alignment horizontal="left" vertical="center" wrapText="1"/>
    </xf>
    <xf numFmtId="0" fontId="11" fillId="0" borderId="0"/>
    <xf numFmtId="43" fontId="12" fillId="0" borderId="0" applyFont="0" applyFill="0" applyBorder="0" applyAlignment="0" applyProtection="0"/>
    <xf numFmtId="0" fontId="136" fillId="61" borderId="0" applyNumberFormat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407">
    <xf numFmtId="0" fontId="0" fillId="0" borderId="0" xfId="0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0" xfId="63"/>
    <xf numFmtId="0" fontId="31" fillId="0" borderId="0" xfId="63" applyFont="1"/>
    <xf numFmtId="0" fontId="11" fillId="0" borderId="0" xfId="63" applyFill="1"/>
    <xf numFmtId="14" fontId="31" fillId="0" borderId="0" xfId="63" applyNumberFormat="1" applyFont="1"/>
    <xf numFmtId="165" fontId="11" fillId="0" borderId="0" xfId="63" applyNumberFormat="1"/>
    <xf numFmtId="2" fontId="11" fillId="0" borderId="0" xfId="63" applyNumberFormat="1"/>
    <xf numFmtId="166" fontId="11" fillId="0" borderId="0" xfId="63" applyNumberFormat="1"/>
    <xf numFmtId="0" fontId="0" fillId="0" borderId="0" xfId="0" applyBorder="1"/>
    <xf numFmtId="0" fontId="36" fillId="0" borderId="26" xfId="0" applyFont="1" applyBorder="1"/>
    <xf numFmtId="0" fontId="36" fillId="0" borderId="0" xfId="0" applyFont="1" applyBorder="1"/>
    <xf numFmtId="167" fontId="36" fillId="0" borderId="12" xfId="0" applyNumberFormat="1" applyFont="1" applyBorder="1"/>
    <xf numFmtId="167" fontId="0" fillId="0" borderId="26" xfId="0" applyNumberFormat="1" applyFont="1" applyBorder="1"/>
    <xf numFmtId="167" fontId="0" fillId="0" borderId="0" xfId="0" applyNumberFormat="1" applyFont="1" applyBorder="1"/>
    <xf numFmtId="167" fontId="0" fillId="0" borderId="12" xfId="0" applyNumberFormat="1" applyFont="1" applyBorder="1"/>
    <xf numFmtId="166" fontId="0" fillId="0" borderId="26" xfId="0" applyNumberFormat="1" applyFont="1" applyBorder="1"/>
    <xf numFmtId="0" fontId="30" fillId="0" borderId="26" xfId="0" applyFont="1" applyBorder="1"/>
    <xf numFmtId="0" fontId="30" fillId="0" borderId="0" xfId="0" applyFont="1" applyBorder="1"/>
    <xf numFmtId="167" fontId="31" fillId="0" borderId="12" xfId="0" applyNumberFormat="1" applyFont="1" applyBorder="1"/>
    <xf numFmtId="0" fontId="11" fillId="0" borderId="26" xfId="0" applyFont="1" applyFill="1" applyBorder="1"/>
    <xf numFmtId="10" fontId="37" fillId="0" borderId="0" xfId="0" applyNumberFormat="1" applyFont="1" applyBorder="1" applyAlignment="1"/>
    <xf numFmtId="167" fontId="11" fillId="0" borderId="12" xfId="0" applyNumberFormat="1" applyFont="1" applyBorder="1"/>
    <xf numFmtId="0" fontId="0" fillId="0" borderId="0" xfId="0" applyFill="1" applyBorder="1"/>
    <xf numFmtId="0" fontId="0" fillId="0" borderId="27" xfId="0" applyFont="1" applyBorder="1"/>
    <xf numFmtId="0" fontId="0" fillId="0" borderId="28" xfId="0" applyFont="1" applyBorder="1"/>
    <xf numFmtId="167" fontId="36" fillId="0" borderId="29" xfId="0" applyNumberFormat="1" applyFont="1" applyBorder="1"/>
    <xf numFmtId="0" fontId="0" fillId="0" borderId="26" xfId="0" applyFont="1" applyBorder="1"/>
    <xf numFmtId="0" fontId="0" fillId="0" borderId="0" xfId="0" applyFont="1" applyBorder="1"/>
    <xf numFmtId="0" fontId="0" fillId="0" borderId="26" xfId="0" applyBorder="1"/>
    <xf numFmtId="167" fontId="22" fillId="0" borderId="12" xfId="0" applyNumberFormat="1" applyFont="1" applyBorder="1"/>
    <xf numFmtId="0" fontId="36" fillId="0" borderId="30" xfId="0" applyFont="1" applyBorder="1"/>
    <xf numFmtId="167" fontId="11" fillId="0" borderId="31" xfId="0" applyNumberFormat="1" applyFont="1" applyBorder="1"/>
    <xf numFmtId="0" fontId="36" fillId="0" borderId="32" xfId="0" applyFont="1" applyBorder="1"/>
    <xf numFmtId="167" fontId="31" fillId="0" borderId="34" xfId="0" applyNumberFormat="1" applyFont="1" applyBorder="1"/>
    <xf numFmtId="0" fontId="0" fillId="0" borderId="26" xfId="0" applyFill="1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9" fontId="0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Border="1"/>
    <xf numFmtId="0" fontId="0" fillId="0" borderId="13" xfId="0" applyBorder="1"/>
    <xf numFmtId="167" fontId="0" fillId="0" borderId="31" xfId="0" applyNumberFormat="1" applyFont="1" applyBorder="1"/>
    <xf numFmtId="167" fontId="0" fillId="0" borderId="21" xfId="0" applyNumberFormat="1" applyFont="1" applyBorder="1"/>
    <xf numFmtId="2" fontId="11" fillId="0" borderId="0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4" fontId="38" fillId="0" borderId="0" xfId="0" applyNumberFormat="1" applyFont="1" applyFill="1" applyAlignment="1">
      <alignment horizontal="left"/>
    </xf>
    <xf numFmtId="2" fontId="2" fillId="0" borderId="0" xfId="0" applyNumberFormat="1" applyFont="1" applyFill="1"/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39" fillId="25" borderId="44" xfId="0" applyFont="1" applyFill="1" applyBorder="1" applyAlignment="1">
      <alignment horizontal="center" vertical="center"/>
    </xf>
    <xf numFmtId="0" fontId="39" fillId="25" borderId="24" xfId="0" applyFont="1" applyFill="1" applyBorder="1" applyAlignment="1">
      <alignment horizontal="center" vertical="center"/>
    </xf>
    <xf numFmtId="0" fontId="39" fillId="25" borderId="45" xfId="0" applyFont="1" applyFill="1" applyBorder="1" applyAlignment="1">
      <alignment horizontal="center" wrapText="1"/>
    </xf>
    <xf numFmtId="0" fontId="40" fillId="0" borderId="0" xfId="0" applyFont="1" applyFill="1"/>
    <xf numFmtId="0" fontId="41" fillId="0" borderId="46" xfId="0" applyFont="1" applyBorder="1" applyAlignment="1">
      <alignment vertical="center"/>
    </xf>
    <xf numFmtId="167" fontId="41" fillId="0" borderId="47" xfId="0" applyNumberFormat="1" applyFont="1" applyBorder="1" applyAlignment="1">
      <alignment horizontal="right" vertical="center"/>
    </xf>
    <xf numFmtId="0" fontId="39" fillId="31" borderId="48" xfId="0" applyFont="1" applyFill="1" applyBorder="1" applyAlignment="1">
      <alignment horizontal="center" vertical="center"/>
    </xf>
    <xf numFmtId="37" fontId="40" fillId="0" borderId="12" xfId="0" applyNumberFormat="1" applyFont="1" applyBorder="1"/>
    <xf numFmtId="3" fontId="40" fillId="0" borderId="44" xfId="0" applyNumberFormat="1" applyFont="1" applyBorder="1" applyAlignment="1">
      <alignment wrapText="1"/>
    </xf>
    <xf numFmtId="3" fontId="40" fillId="0" borderId="24" xfId="0" applyNumberFormat="1" applyFont="1" applyBorder="1" applyAlignment="1">
      <alignment horizontal="center" wrapText="1"/>
    </xf>
    <xf numFmtId="3" fontId="40" fillId="0" borderId="49" xfId="0" applyNumberFormat="1" applyFont="1" applyBorder="1" applyAlignment="1">
      <alignment horizontal="center" wrapText="1"/>
    </xf>
    <xf numFmtId="3" fontId="40" fillId="0" borderId="45" xfId="0" applyNumberFormat="1" applyFont="1" applyBorder="1"/>
    <xf numFmtId="167" fontId="4" fillId="0" borderId="26" xfId="0" applyNumberFormat="1" applyFont="1" applyBorder="1" applyAlignment="1">
      <alignment horizontal="left"/>
    </xf>
    <xf numFmtId="167" fontId="42" fillId="0" borderId="0" xfId="0" applyNumberFormat="1" applyFont="1" applyFill="1" applyBorder="1" applyAlignment="1">
      <alignment horizontal="right"/>
    </xf>
    <xf numFmtId="49" fontId="2" fillId="0" borderId="36" xfId="0" applyNumberFormat="1" applyFont="1" applyBorder="1" applyAlignment="1"/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right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10" fontId="2" fillId="0" borderId="0" xfId="105" applyNumberFormat="1" applyFont="1" applyBorder="1"/>
    <xf numFmtId="0" fontId="2" fillId="0" borderId="41" xfId="0" applyFont="1" applyBorder="1" applyAlignment="1">
      <alignment wrapText="1"/>
    </xf>
    <xf numFmtId="1" fontId="2" fillId="0" borderId="21" xfId="0" applyNumberFormat="1" applyFont="1" applyBorder="1" applyAlignment="1">
      <alignment horizontal="right" wrapText="1"/>
    </xf>
    <xf numFmtId="1" fontId="2" fillId="0" borderId="50" xfId="0" applyNumberFormat="1" applyFont="1" applyBorder="1" applyAlignment="1">
      <alignment horizontal="right" wrapText="1"/>
    </xf>
    <xf numFmtId="3" fontId="2" fillId="31" borderId="51" xfId="0" applyNumberFormat="1" applyFont="1" applyFill="1" applyBorder="1"/>
    <xf numFmtId="167" fontId="39" fillId="0" borderId="30" xfId="0" applyNumberFormat="1" applyFont="1" applyBorder="1" applyAlignment="1">
      <alignment horizontal="center"/>
    </xf>
    <xf numFmtId="49" fontId="39" fillId="0" borderId="21" xfId="0" quotePrefix="1" applyNumberFormat="1" applyFont="1" applyBorder="1" applyAlignment="1">
      <alignment horizontal="right"/>
    </xf>
    <xf numFmtId="49" fontId="2" fillId="0" borderId="43" xfId="0" applyNumberFormat="1" applyFont="1" applyBorder="1" applyAlignment="1"/>
    <xf numFmtId="167" fontId="2" fillId="0" borderId="26" xfId="0" applyNumberFormat="1" applyFont="1" applyBorder="1" applyAlignment="1">
      <alignment horizontal="left"/>
    </xf>
    <xf numFmtId="37" fontId="40" fillId="0" borderId="0" xfId="0" applyNumberFormat="1" applyFont="1" applyBorder="1"/>
    <xf numFmtId="39" fontId="40" fillId="0" borderId="0" xfId="0" applyNumberFormat="1" applyFont="1" applyBorder="1"/>
    <xf numFmtId="0" fontId="2" fillId="0" borderId="42" xfId="0" applyFont="1" applyBorder="1" applyAlignment="1">
      <alignment vertical="center" wrapText="1"/>
    </xf>
    <xf numFmtId="1" fontId="2" fillId="0" borderId="52" xfId="0" applyNumberFormat="1" applyFont="1" applyBorder="1" applyAlignment="1">
      <alignment horizontal="right" vertical="center" wrapText="1"/>
    </xf>
    <xf numFmtId="49" fontId="2" fillId="0" borderId="53" xfId="0" applyNumberFormat="1" applyFont="1" applyBorder="1" applyAlignment="1"/>
    <xf numFmtId="0" fontId="2" fillId="0" borderId="26" xfId="0" applyFont="1" applyBorder="1"/>
    <xf numFmtId="37" fontId="2" fillId="0" borderId="0" xfId="0" applyNumberFormat="1" applyFont="1" applyBorder="1"/>
    <xf numFmtId="37" fontId="2" fillId="0" borderId="12" xfId="0" applyNumberFormat="1" applyFont="1" applyBorder="1"/>
    <xf numFmtId="0" fontId="2" fillId="0" borderId="42" xfId="0" applyFont="1" applyBorder="1" applyAlignment="1">
      <alignment wrapText="1"/>
    </xf>
    <xf numFmtId="1" fontId="2" fillId="0" borderId="52" xfId="0" applyNumberFormat="1" applyFont="1" applyBorder="1" applyAlignment="1">
      <alignment horizontal="right" wrapText="1"/>
    </xf>
    <xf numFmtId="0" fontId="2" fillId="0" borderId="36" xfId="0" applyFont="1" applyBorder="1" applyAlignment="1">
      <alignment horizontal="left"/>
    </xf>
    <xf numFmtId="0" fontId="2" fillId="0" borderId="55" xfId="0" applyFont="1" applyBorder="1"/>
    <xf numFmtId="10" fontId="2" fillId="0" borderId="56" xfId="0" applyNumberFormat="1" applyFont="1" applyBorder="1"/>
    <xf numFmtId="37" fontId="2" fillId="0" borderId="56" xfId="0" applyNumberFormat="1" applyFont="1" applyBorder="1"/>
    <xf numFmtId="37" fontId="2" fillId="0" borderId="57" xfId="0" applyNumberFormat="1" applyFont="1" applyBorder="1"/>
    <xf numFmtId="0" fontId="4" fillId="0" borderId="26" xfId="0" applyFont="1" applyFill="1" applyBorder="1" applyAlignment="1">
      <alignment horizontal="left"/>
    </xf>
    <xf numFmtId="10" fontId="42" fillId="0" borderId="0" xfId="0" applyNumberFormat="1" applyFont="1" applyFill="1" applyBorder="1" applyAlignment="1">
      <alignment horizontal="right" vertical="center"/>
    </xf>
    <xf numFmtId="0" fontId="40" fillId="0" borderId="55" xfId="0" applyFont="1" applyBorder="1"/>
    <xf numFmtId="37" fontId="40" fillId="0" borderId="56" xfId="0" applyNumberFormat="1" applyFont="1" applyBorder="1"/>
    <xf numFmtId="37" fontId="40" fillId="0" borderId="57" xfId="0" applyNumberFormat="1" applyFont="1" applyBorder="1"/>
    <xf numFmtId="0" fontId="2" fillId="31" borderId="42" xfId="74" applyFont="1" applyFill="1" applyBorder="1"/>
    <xf numFmtId="1" fontId="2" fillId="0" borderId="21" xfId="0" applyNumberFormat="1" applyFont="1" applyBorder="1" applyAlignment="1">
      <alignment horizontal="right" vertical="top" wrapText="1"/>
    </xf>
    <xf numFmtId="1" fontId="2" fillId="31" borderId="52" xfId="74" applyNumberFormat="1" applyFont="1" applyFill="1" applyBorder="1" applyAlignment="1">
      <alignment horizontal="right"/>
    </xf>
    <xf numFmtId="0" fontId="2" fillId="31" borderId="58" xfId="74" applyFont="1" applyFill="1" applyBorder="1"/>
    <xf numFmtId="1" fontId="2" fillId="31" borderId="0" xfId="0" applyNumberFormat="1" applyFont="1" applyFill="1" applyBorder="1" applyAlignment="1">
      <alignment horizontal="right" wrapText="1"/>
    </xf>
    <xf numFmtId="1" fontId="2" fillId="31" borderId="59" xfId="74" applyNumberFormat="1" applyFont="1" applyFill="1" applyBorder="1" applyAlignment="1">
      <alignment horizontal="right"/>
    </xf>
    <xf numFmtId="3" fontId="2" fillId="31" borderId="51" xfId="0" applyNumberFormat="1" applyFont="1" applyFill="1" applyBorder="1" applyAlignment="1">
      <alignment horizontal="right"/>
    </xf>
    <xf numFmtId="0" fontId="40" fillId="0" borderId="44" xfId="0" applyFont="1" applyBorder="1" applyAlignment="1">
      <alignment wrapText="1"/>
    </xf>
    <xf numFmtId="0" fontId="40" fillId="0" borderId="24" xfId="0" applyFont="1" applyBorder="1" applyAlignment="1">
      <alignment horizontal="right" wrapText="1"/>
    </xf>
    <xf numFmtId="0" fontId="40" fillId="0" borderId="49" xfId="0" applyFont="1" applyBorder="1" applyAlignment="1">
      <alignment horizontal="right" wrapText="1"/>
    </xf>
    <xf numFmtId="0" fontId="40" fillId="0" borderId="27" xfId="0" applyFont="1" applyBorder="1"/>
    <xf numFmtId="37" fontId="40" fillId="0" borderId="28" xfId="0" applyNumberFormat="1" applyFont="1" applyBorder="1"/>
    <xf numFmtId="37" fontId="40" fillId="0" borderId="29" xfId="0" applyNumberFormat="1" applyFont="1" applyBorder="1"/>
    <xf numFmtId="0" fontId="40" fillId="0" borderId="41" xfId="0" applyFont="1" applyBorder="1" applyAlignment="1">
      <alignment wrapText="1"/>
    </xf>
    <xf numFmtId="0" fontId="40" fillId="0" borderId="21" xfId="0" applyFont="1" applyBorder="1" applyAlignment="1">
      <alignment horizontal="right" wrapText="1"/>
    </xf>
    <xf numFmtId="0" fontId="40" fillId="0" borderId="60" xfId="0" applyFont="1" applyBorder="1" applyAlignment="1">
      <alignment horizontal="right" wrapText="1"/>
    </xf>
    <xf numFmtId="3" fontId="40" fillId="0" borderId="51" xfId="0" applyNumberFormat="1" applyFont="1" applyBorder="1"/>
    <xf numFmtId="0" fontId="2" fillId="0" borderId="58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59" xfId="0" applyFont="1" applyFill="1" applyBorder="1" applyAlignment="1">
      <alignment horizontal="right" wrapText="1"/>
    </xf>
    <xf numFmtId="4" fontId="2" fillId="0" borderId="61" xfId="0" applyNumberFormat="1" applyFont="1" applyBorder="1"/>
    <xf numFmtId="0" fontId="2" fillId="0" borderId="0" xfId="0" applyFont="1" applyFill="1" applyBorder="1"/>
    <xf numFmtId="0" fontId="40" fillId="0" borderId="0" xfId="0" applyFont="1" applyBorder="1" applyAlignment="1">
      <alignment wrapText="1"/>
    </xf>
    <xf numFmtId="7" fontId="40" fillId="0" borderId="0" xfId="0" applyNumberFormat="1" applyFont="1" applyBorder="1" applyAlignment="1">
      <alignment horizontal="right" wrapText="1"/>
    </xf>
    <xf numFmtId="0" fontId="40" fillId="0" borderId="0" xfId="0" applyFont="1" applyBorder="1" applyAlignment="1">
      <alignment horizontal="center" wrapText="1"/>
    </xf>
    <xf numFmtId="10" fontId="40" fillId="0" borderId="0" xfId="105" applyNumberFormat="1" applyFont="1" applyBorder="1" applyAlignment="1">
      <alignment horizontal="right" wrapText="1"/>
    </xf>
    <xf numFmtId="0" fontId="40" fillId="0" borderId="0" xfId="0" applyFont="1" applyBorder="1" applyAlignment="1">
      <alignment horizontal="right" wrapText="1"/>
    </xf>
    <xf numFmtId="3" fontId="40" fillId="0" borderId="0" xfId="0" applyNumberFormat="1" applyFont="1" applyBorder="1"/>
    <xf numFmtId="7" fontId="40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/>
    <xf numFmtId="0" fontId="2" fillId="0" borderId="12" xfId="0" applyFont="1" applyBorder="1"/>
    <xf numFmtId="0" fontId="44" fillId="0" borderId="0" xfId="0" applyFont="1" applyBorder="1" applyAlignment="1">
      <alignment vertical="top"/>
    </xf>
    <xf numFmtId="171" fontId="2" fillId="0" borderId="0" xfId="103" applyNumberFormat="1" applyFont="1" applyFill="1"/>
    <xf numFmtId="0" fontId="40" fillId="0" borderId="26" xfId="0" applyFont="1" applyBorder="1"/>
    <xf numFmtId="10" fontId="40" fillId="0" borderId="0" xfId="105" applyNumberFormat="1" applyFont="1" applyBorder="1"/>
    <xf numFmtId="0" fontId="40" fillId="0" borderId="0" xfId="0" applyFont="1" applyBorder="1"/>
    <xf numFmtId="0" fontId="40" fillId="0" borderId="12" xfId="0" applyFont="1" applyBorder="1" applyAlignment="1">
      <alignment horizontal="right"/>
    </xf>
    <xf numFmtId="0" fontId="40" fillId="0" borderId="62" xfId="0" applyFont="1" applyBorder="1"/>
    <xf numFmtId="0" fontId="40" fillId="0" borderId="63" xfId="0" applyFont="1" applyBorder="1"/>
    <xf numFmtId="39" fontId="40" fillId="0" borderId="63" xfId="0" applyNumberFormat="1" applyFont="1" applyBorder="1"/>
    <xf numFmtId="0" fontId="2" fillId="0" borderId="0" xfId="0" applyFont="1" applyBorder="1" applyAlignment="1"/>
    <xf numFmtId="0" fontId="44" fillId="0" borderId="0" xfId="0" applyFont="1" applyBorder="1" applyAlignment="1">
      <alignment horizontal="right" wrapText="1"/>
    </xf>
    <xf numFmtId="171" fontId="2" fillId="0" borderId="0" xfId="103" applyNumberFormat="1" applyFont="1" applyBorder="1" applyAlignment="1">
      <alignment horizontal="right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/>
    <xf numFmtId="0" fontId="44" fillId="0" borderId="0" xfId="0" applyFont="1" applyBorder="1" applyAlignment="1">
      <alignment horizontal="right"/>
    </xf>
    <xf numFmtId="3" fontId="44" fillId="0" borderId="0" xfId="0" applyNumberFormat="1" applyFont="1" applyBorder="1" applyAlignment="1"/>
    <xf numFmtId="0" fontId="40" fillId="0" borderId="35" xfId="0" applyFont="1" applyBorder="1"/>
    <xf numFmtId="0" fontId="40" fillId="0" borderId="13" xfId="0" applyFont="1" applyBorder="1"/>
    <xf numFmtId="39" fontId="40" fillId="0" borderId="13" xfId="0" applyNumberFormat="1" applyFont="1" applyBorder="1"/>
    <xf numFmtId="0" fontId="40" fillId="0" borderId="23" xfId="0" applyFont="1" applyBorder="1"/>
    <xf numFmtId="0" fontId="40" fillId="0" borderId="24" xfId="0" applyFont="1" applyBorder="1"/>
    <xf numFmtId="39" fontId="40" fillId="0" borderId="24" xfId="0" applyNumberFormat="1" applyFont="1" applyBorder="1"/>
    <xf numFmtId="7" fontId="40" fillId="0" borderId="25" xfId="0" applyNumberFormat="1" applyFont="1" applyBorder="1"/>
    <xf numFmtId="0" fontId="2" fillId="0" borderId="0" xfId="0" applyFont="1" applyFill="1" applyAlignment="1">
      <alignment horizontal="left"/>
    </xf>
    <xf numFmtId="0" fontId="40" fillId="0" borderId="0" xfId="0" applyFont="1" applyBorder="1" applyAlignment="1"/>
    <xf numFmtId="0" fontId="40" fillId="0" borderId="0" xfId="0" applyFont="1" applyBorder="1" applyAlignment="1">
      <alignment horizontal="right"/>
    </xf>
    <xf numFmtId="3" fontId="40" fillId="0" borderId="0" xfId="0" applyNumberFormat="1" applyFont="1" applyBorder="1" applyAlignment="1"/>
    <xf numFmtId="0" fontId="39" fillId="29" borderId="44" xfId="0" applyFont="1" applyFill="1" applyBorder="1" applyAlignment="1">
      <alignment horizontal="center" vertical="center"/>
    </xf>
    <xf numFmtId="0" fontId="39" fillId="29" borderId="24" xfId="0" applyFont="1" applyFill="1" applyBorder="1" applyAlignment="1">
      <alignment horizontal="center" vertical="center"/>
    </xf>
    <xf numFmtId="0" fontId="39" fillId="29" borderId="45" xfId="0" applyFont="1" applyFill="1" applyBorder="1" applyAlignment="1">
      <alignment horizontal="center" wrapText="1"/>
    </xf>
    <xf numFmtId="0" fontId="2" fillId="0" borderId="30" xfId="0" applyFont="1" applyBorder="1"/>
    <xf numFmtId="10" fontId="42" fillId="0" borderId="31" xfId="0" applyNumberFormat="1" applyFont="1" applyFill="1" applyBorder="1" applyAlignment="1">
      <alignment horizontal="right" vertical="center"/>
    </xf>
    <xf numFmtId="7" fontId="40" fillId="0" borderId="0" xfId="0" applyNumberFormat="1" applyFont="1" applyBorder="1" applyAlignment="1">
      <alignment wrapText="1"/>
    </xf>
    <xf numFmtId="0" fontId="39" fillId="34" borderId="44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45" xfId="0" applyFont="1" applyFill="1" applyBorder="1" applyAlignment="1">
      <alignment horizontal="center"/>
    </xf>
    <xf numFmtId="0" fontId="11" fillId="0" borderId="0" xfId="65" applyFont="1" applyFill="1" applyBorder="1" applyAlignment="1"/>
    <xf numFmtId="14" fontId="45" fillId="0" borderId="0" xfId="65" applyNumberFormat="1" applyFont="1" applyFill="1" applyBorder="1" applyAlignment="1">
      <alignment horizontal="left"/>
    </xf>
    <xf numFmtId="0" fontId="11" fillId="0" borderId="0" xfId="65" applyFont="1" applyFill="1" applyBorder="1"/>
    <xf numFmtId="3" fontId="11" fillId="0" borderId="0" xfId="65" applyNumberFormat="1" applyFont="1" applyFill="1" applyBorder="1"/>
    <xf numFmtId="0" fontId="46" fillId="0" borderId="46" xfId="69" applyFont="1" applyFill="1" applyBorder="1"/>
    <xf numFmtId="3" fontId="46" fillId="0" borderId="65" xfId="69" applyNumberFormat="1" applyFont="1" applyFill="1" applyBorder="1" applyAlignment="1">
      <alignment horizontal="center"/>
    </xf>
    <xf numFmtId="0" fontId="46" fillId="0" borderId="30" xfId="69" applyFont="1" applyFill="1" applyBorder="1"/>
    <xf numFmtId="0" fontId="46" fillId="0" borderId="21" xfId="69" applyFont="1" applyFill="1" applyBorder="1" applyAlignment="1">
      <alignment horizontal="center"/>
    </xf>
    <xf numFmtId="0" fontId="46" fillId="0" borderId="31" xfId="69" applyFont="1" applyFill="1" applyBorder="1" applyAlignment="1">
      <alignment horizontal="right"/>
    </xf>
    <xf numFmtId="49" fontId="11" fillId="0" borderId="26" xfId="78" applyNumberFormat="1" applyFont="1" applyFill="1" applyBorder="1" applyAlignment="1"/>
    <xf numFmtId="42" fontId="47" fillId="0" borderId="0" xfId="69" applyNumberFormat="1" applyFont="1" applyFill="1" applyBorder="1"/>
    <xf numFmtId="4" fontId="48" fillId="0" borderId="0" xfId="69" applyNumberFormat="1" applyFont="1" applyFill="1" applyBorder="1" applyAlignment="1">
      <alignment horizontal="center"/>
    </xf>
    <xf numFmtId="42" fontId="49" fillId="0" borderId="12" xfId="69" applyNumberFormat="1" applyFont="1" applyFill="1" applyBorder="1"/>
    <xf numFmtId="166" fontId="11" fillId="0" borderId="26" xfId="78" applyNumberFormat="1" applyFont="1" applyFill="1" applyBorder="1" applyAlignment="1"/>
    <xf numFmtId="0" fontId="11" fillId="0" borderId="26" xfId="78" applyFont="1" applyFill="1" applyBorder="1" applyAlignment="1"/>
    <xf numFmtId="0" fontId="46" fillId="0" borderId="27" xfId="69" applyFont="1" applyFill="1" applyBorder="1"/>
    <xf numFmtId="0" fontId="46" fillId="0" borderId="28" xfId="69" applyFont="1" applyFill="1" applyBorder="1"/>
    <xf numFmtId="4" fontId="46" fillId="0" borderId="28" xfId="69" applyNumberFormat="1" applyFont="1" applyFill="1" applyBorder="1" applyAlignment="1">
      <alignment horizontal="center"/>
    </xf>
    <xf numFmtId="42" fontId="46" fillId="0" borderId="29" xfId="69" applyNumberFormat="1" applyFont="1" applyFill="1" applyBorder="1"/>
    <xf numFmtId="0" fontId="46" fillId="0" borderId="26" xfId="69" applyFont="1" applyFill="1" applyBorder="1"/>
    <xf numFmtId="0" fontId="49" fillId="0" borderId="0" xfId="69" applyFont="1" applyFill="1" applyBorder="1"/>
    <xf numFmtId="0" fontId="46" fillId="0" borderId="0" xfId="69" applyFont="1" applyFill="1" applyBorder="1"/>
    <xf numFmtId="0" fontId="49" fillId="0" borderId="12" xfId="69" applyFont="1" applyFill="1" applyBorder="1"/>
    <xf numFmtId="0" fontId="49" fillId="0" borderId="26" xfId="69" applyFont="1" applyFill="1" applyBorder="1"/>
    <xf numFmtId="10" fontId="47" fillId="0" borderId="0" xfId="69" applyNumberFormat="1" applyFont="1" applyFill="1" applyBorder="1"/>
    <xf numFmtId="0" fontId="46" fillId="0" borderId="32" xfId="69" applyFont="1" applyFill="1" applyBorder="1"/>
    <xf numFmtId="0" fontId="46" fillId="0" borderId="33" xfId="69" applyFont="1" applyFill="1" applyBorder="1"/>
    <xf numFmtId="44" fontId="46" fillId="0" borderId="33" xfId="69" applyNumberFormat="1" applyFont="1" applyFill="1" applyBorder="1"/>
    <xf numFmtId="42" fontId="46" fillId="0" borderId="34" xfId="69" applyNumberFormat="1" applyFont="1" applyFill="1" applyBorder="1"/>
    <xf numFmtId="0" fontId="50" fillId="0" borderId="37" xfId="65" applyFont="1" applyFill="1" applyBorder="1"/>
    <xf numFmtId="0" fontId="51" fillId="0" borderId="10" xfId="65" applyFont="1" applyFill="1" applyBorder="1"/>
    <xf numFmtId="3" fontId="51" fillId="0" borderId="11" xfId="65" applyNumberFormat="1" applyFont="1" applyFill="1" applyBorder="1"/>
    <xf numFmtId="44" fontId="46" fillId="0" borderId="0" xfId="69" applyNumberFormat="1" applyFont="1" applyFill="1" applyBorder="1"/>
    <xf numFmtId="42" fontId="46" fillId="0" borderId="12" xfId="69" applyNumberFormat="1" applyFont="1" applyFill="1" applyBorder="1"/>
    <xf numFmtId="0" fontId="51" fillId="0" borderId="26" xfId="65" applyFont="1" applyFill="1" applyBorder="1"/>
    <xf numFmtId="0" fontId="51" fillId="0" borderId="0" xfId="65" applyFont="1" applyFill="1" applyBorder="1"/>
    <xf numFmtId="3" fontId="51" fillId="0" borderId="12" xfId="65" applyNumberFormat="1" applyFont="1" applyFill="1" applyBorder="1"/>
    <xf numFmtId="166" fontId="11" fillId="0" borderId="26" xfId="65" applyNumberFormat="1" applyFont="1" applyFill="1" applyBorder="1"/>
    <xf numFmtId="170" fontId="49" fillId="31" borderId="12" xfId="69" applyNumberFormat="1" applyFont="1" applyFill="1" applyBorder="1" applyAlignment="1">
      <alignment horizontal="center"/>
    </xf>
    <xf numFmtId="0" fontId="51" fillId="0" borderId="35" xfId="65" applyFont="1" applyFill="1" applyBorder="1"/>
    <xf numFmtId="0" fontId="51" fillId="0" borderId="13" xfId="65" applyFont="1" applyFill="1" applyBorder="1"/>
    <xf numFmtId="3" fontId="51" fillId="0" borderId="14" xfId="65" applyNumberFormat="1" applyFont="1" applyFill="1" applyBorder="1"/>
    <xf numFmtId="10" fontId="48" fillId="0" borderId="0" xfId="69" applyNumberFormat="1" applyFont="1" applyFill="1" applyBorder="1"/>
    <xf numFmtId="44" fontId="46" fillId="0" borderId="0" xfId="46" applyFont="1" applyFill="1" applyBorder="1"/>
    <xf numFmtId="0" fontId="31" fillId="36" borderId="67" xfId="65" applyFont="1" applyFill="1" applyBorder="1"/>
    <xf numFmtId="0" fontId="52" fillId="2" borderId="28" xfId="65" applyFont="1" applyFill="1" applyBorder="1" applyAlignment="1">
      <alignment horizontal="left"/>
    </xf>
    <xf numFmtId="0" fontId="31" fillId="2" borderId="52" xfId="65" applyFont="1" applyFill="1" applyBorder="1" applyAlignment="1">
      <alignment horizontal="right"/>
    </xf>
    <xf numFmtId="3" fontId="31" fillId="2" borderId="52" xfId="65" applyNumberFormat="1" applyFont="1" applyFill="1" applyBorder="1" applyAlignment="1">
      <alignment horizontal="right"/>
    </xf>
    <xf numFmtId="0" fontId="31" fillId="2" borderId="35" xfId="65" applyFont="1" applyFill="1" applyBorder="1"/>
    <xf numFmtId="0" fontId="31" fillId="2" borderId="13" xfId="65" applyFont="1" applyFill="1" applyBorder="1" applyAlignment="1">
      <alignment horizontal="left"/>
    </xf>
    <xf numFmtId="3" fontId="31" fillId="2" borderId="14" xfId="65" applyNumberFormat="1" applyFont="1" applyFill="1" applyBorder="1" applyAlignment="1"/>
    <xf numFmtId="0" fontId="12" fillId="0" borderId="67" xfId="65" applyFill="1" applyBorder="1"/>
    <xf numFmtId="0" fontId="12" fillId="0" borderId="67" xfId="65" applyFill="1" applyBorder="1" applyAlignment="1">
      <alignment horizontal="left"/>
    </xf>
    <xf numFmtId="0" fontId="12" fillId="0" borderId="52" xfId="65" applyFill="1" applyBorder="1"/>
    <xf numFmtId="1" fontId="12" fillId="0" borderId="28" xfId="65" applyNumberFormat="1" applyFill="1" applyBorder="1"/>
    <xf numFmtId="3" fontId="0" fillId="0" borderId="52" xfId="33" applyNumberFormat="1" applyFont="1" applyFill="1" applyBorder="1"/>
    <xf numFmtId="0" fontId="31" fillId="0" borderId="60" xfId="65" applyFont="1" applyFill="1" applyBorder="1" applyAlignment="1"/>
    <xf numFmtId="0" fontId="11" fillId="0" borderId="22" xfId="65" applyFont="1" applyFill="1" applyBorder="1" applyAlignment="1">
      <alignment horizontal="left"/>
    </xf>
    <xf numFmtId="0" fontId="31" fillId="0" borderId="22" xfId="65" applyFont="1" applyFill="1" applyBorder="1" applyAlignment="1">
      <alignment horizontal="center"/>
    </xf>
    <xf numFmtId="2" fontId="31" fillId="0" borderId="22" xfId="65" applyNumberFormat="1" applyFont="1" applyFill="1" applyBorder="1" applyAlignment="1">
      <alignment horizontal="center"/>
    </xf>
    <xf numFmtId="4" fontId="31" fillId="0" borderId="22" xfId="65" applyNumberFormat="1" applyFont="1" applyFill="1" applyBorder="1" applyAlignment="1">
      <alignment horizontal="center"/>
    </xf>
    <xf numFmtId="0" fontId="12" fillId="0" borderId="0" xfId="65" applyFill="1"/>
    <xf numFmtId="0" fontId="12" fillId="0" borderId="18" xfId="65" applyFill="1" applyBorder="1"/>
    <xf numFmtId="0" fontId="12" fillId="0" borderId="18" xfId="65" applyFill="1" applyBorder="1" applyAlignment="1">
      <alignment horizontal="left"/>
    </xf>
    <xf numFmtId="0" fontId="12" fillId="0" borderId="59" xfId="65" applyFill="1" applyBorder="1"/>
    <xf numFmtId="1" fontId="12" fillId="0" borderId="0" xfId="65" applyNumberFormat="1" applyFill="1" applyBorder="1"/>
    <xf numFmtId="3" fontId="0" fillId="0" borderId="59" xfId="33" applyNumberFormat="1" applyFont="1" applyFill="1" applyBorder="1"/>
    <xf numFmtId="172" fontId="31" fillId="0" borderId="18" xfId="33" applyNumberFormat="1" applyFont="1" applyFill="1" applyBorder="1"/>
    <xf numFmtId="172" fontId="11" fillId="0" borderId="68" xfId="33" applyNumberFormat="1" applyFont="1" applyFill="1" applyBorder="1" applyAlignment="1">
      <alignment horizontal="left"/>
    </xf>
    <xf numFmtId="171" fontId="11" fillId="0" borderId="68" xfId="33" applyNumberFormat="1" applyFont="1" applyFill="1" applyBorder="1"/>
    <xf numFmtId="2" fontId="11" fillId="0" borderId="68" xfId="33" applyNumberFormat="1" applyFont="1" applyFill="1" applyBorder="1"/>
    <xf numFmtId="4" fontId="11" fillId="0" borderId="68" xfId="33" applyNumberFormat="1" applyFont="1" applyFill="1" applyBorder="1"/>
    <xf numFmtId="0" fontId="11" fillId="0" borderId="0" xfId="65" applyFont="1" applyFill="1" applyBorder="1" applyAlignment="1">
      <alignment horizontal="center"/>
    </xf>
    <xf numFmtId="49" fontId="11" fillId="0" borderId="59" xfId="33" applyNumberFormat="1" applyFont="1" applyFill="1" applyBorder="1" applyAlignment="1">
      <alignment horizontal="left"/>
    </xf>
    <xf numFmtId="170" fontId="11" fillId="0" borderId="59" xfId="46" applyNumberFormat="1" applyFont="1" applyFill="1" applyBorder="1"/>
    <xf numFmtId="2" fontId="11" fillId="0" borderId="59" xfId="33" applyNumberFormat="1" applyFont="1" applyFill="1" applyBorder="1"/>
    <xf numFmtId="0" fontId="12" fillId="0" borderId="0" xfId="65" applyFill="1" applyBorder="1"/>
    <xf numFmtId="0" fontId="11" fillId="0" borderId="18" xfId="65" applyFont="1" applyFill="1" applyBorder="1" applyAlignment="1">
      <alignment horizontal="left"/>
    </xf>
    <xf numFmtId="172" fontId="11" fillId="0" borderId="20" xfId="33" applyNumberFormat="1" applyFont="1" applyFill="1" applyBorder="1"/>
    <xf numFmtId="166" fontId="12" fillId="0" borderId="60" xfId="65" applyNumberFormat="1" applyFont="1" applyBorder="1"/>
    <xf numFmtId="170" fontId="11" fillId="0" borderId="60" xfId="46" applyNumberFormat="1" applyFont="1" applyFill="1" applyBorder="1"/>
    <xf numFmtId="2" fontId="11" fillId="0" borderId="60" xfId="33" applyNumberFormat="1" applyFont="1" applyFill="1" applyBorder="1"/>
    <xf numFmtId="172" fontId="11" fillId="0" borderId="60" xfId="33" applyNumberFormat="1" applyFont="1" applyFill="1" applyBorder="1"/>
    <xf numFmtId="171" fontId="11" fillId="0" borderId="60" xfId="33" applyNumberFormat="1" applyFont="1" applyFill="1" applyBorder="1"/>
    <xf numFmtId="0" fontId="12" fillId="0" borderId="0" xfId="65" applyFill="1" applyBorder="1" applyAlignment="1">
      <alignment wrapText="1"/>
    </xf>
    <xf numFmtId="172" fontId="31" fillId="0" borderId="60" xfId="33" applyNumberFormat="1" applyFont="1" applyFill="1" applyBorder="1"/>
    <xf numFmtId="172" fontId="11" fillId="0" borderId="22" xfId="33" applyNumberFormat="1" applyFont="1" applyFill="1" applyBorder="1" applyAlignment="1">
      <alignment horizontal="left"/>
    </xf>
    <xf numFmtId="9" fontId="11" fillId="0" borderId="22" xfId="97" applyFont="1" applyFill="1" applyBorder="1"/>
    <xf numFmtId="2" fontId="11" fillId="0" borderId="22" xfId="33" applyNumberFormat="1" applyFont="1" applyFill="1" applyBorder="1"/>
    <xf numFmtId="170" fontId="11" fillId="0" borderId="22" xfId="46" applyNumberFormat="1" applyFont="1" applyFill="1" applyBorder="1"/>
    <xf numFmtId="0" fontId="12" fillId="0" borderId="20" xfId="65" applyFill="1" applyBorder="1"/>
    <xf numFmtId="172" fontId="31" fillId="0" borderId="59" xfId="33" applyNumberFormat="1" applyFont="1" applyFill="1" applyBorder="1"/>
    <xf numFmtId="172" fontId="11" fillId="0" borderId="19" xfId="33" applyNumberFormat="1" applyFont="1" applyFill="1" applyBorder="1" applyAlignment="1">
      <alignment horizontal="left"/>
    </xf>
    <xf numFmtId="9" fontId="11" fillId="0" borderId="19" xfId="97" applyFont="1" applyFill="1" applyBorder="1"/>
    <xf numFmtId="2" fontId="11" fillId="0" borderId="19" xfId="33" applyNumberFormat="1" applyFont="1" applyFill="1" applyBorder="1"/>
    <xf numFmtId="170" fontId="11" fillId="0" borderId="19" xfId="46" applyNumberFormat="1" applyFont="1" applyFill="1" applyBorder="1"/>
    <xf numFmtId="0" fontId="12" fillId="0" borderId="28" xfId="65" applyFill="1" applyBorder="1" applyAlignment="1">
      <alignment horizontal="left"/>
    </xf>
    <xf numFmtId="0" fontId="12" fillId="0" borderId="28" xfId="65" applyFill="1" applyBorder="1"/>
    <xf numFmtId="9" fontId="11" fillId="0" borderId="19" xfId="33" applyNumberFormat="1" applyFont="1" applyFill="1" applyBorder="1"/>
    <xf numFmtId="0" fontId="12" fillId="0" borderId="0" xfId="65" applyFill="1" applyBorder="1" applyAlignment="1">
      <alignment horizontal="left"/>
    </xf>
    <xf numFmtId="0" fontId="31" fillId="0" borderId="15" xfId="65" applyFont="1" applyFill="1" applyBorder="1"/>
    <xf numFmtId="3" fontId="31" fillId="0" borderId="60" xfId="33" applyNumberFormat="1" applyFont="1" applyFill="1" applyBorder="1"/>
    <xf numFmtId="171" fontId="11" fillId="0" borderId="22" xfId="33" applyNumberFormat="1" applyFont="1" applyFill="1" applyBorder="1"/>
    <xf numFmtId="0" fontId="12" fillId="0" borderId="67" xfId="65" applyBorder="1"/>
    <xf numFmtId="0" fontId="12" fillId="0" borderId="28" xfId="65" applyBorder="1"/>
    <xf numFmtId="4" fontId="12" fillId="0" borderId="52" xfId="65" applyNumberFormat="1" applyBorder="1"/>
    <xf numFmtId="172" fontId="11" fillId="0" borderId="59" xfId="33" applyNumberFormat="1" applyFont="1" applyFill="1" applyBorder="1"/>
    <xf numFmtId="171" fontId="11" fillId="0" borderId="19" xfId="33" applyNumberFormat="1" applyFont="1" applyFill="1" applyBorder="1"/>
    <xf numFmtId="0" fontId="31" fillId="0" borderId="67" xfId="65" applyFont="1" applyFill="1" applyBorder="1"/>
    <xf numFmtId="3" fontId="52" fillId="0" borderId="52" xfId="65" applyNumberFormat="1" applyFont="1" applyBorder="1"/>
    <xf numFmtId="0" fontId="31" fillId="0" borderId="59" xfId="65" applyFont="1" applyFill="1" applyBorder="1"/>
    <xf numFmtId="0" fontId="11" fillId="0" borderId="60" xfId="65" applyFont="1" applyFill="1" applyBorder="1" applyAlignment="1">
      <alignment horizontal="left"/>
    </xf>
    <xf numFmtId="168" fontId="11" fillId="0" borderId="22" xfId="65" applyNumberFormat="1" applyFont="1" applyFill="1" applyBorder="1"/>
    <xf numFmtId="2" fontId="11" fillId="0" borderId="22" xfId="65" applyNumberFormat="1" applyFont="1" applyFill="1" applyBorder="1"/>
    <xf numFmtId="0" fontId="52" fillId="0" borderId="60" xfId="65" applyFont="1" applyFill="1" applyBorder="1"/>
    <xf numFmtId="0" fontId="12" fillId="0" borderId="60" xfId="65" applyFill="1" applyBorder="1"/>
    <xf numFmtId="0" fontId="12" fillId="0" borderId="22" xfId="65" applyFill="1" applyBorder="1"/>
    <xf numFmtId="2" fontId="12" fillId="0" borderId="22" xfId="65" applyNumberFormat="1" applyFill="1" applyBorder="1"/>
    <xf numFmtId="170" fontId="0" fillId="0" borderId="22" xfId="46" applyNumberFormat="1" applyFont="1" applyFill="1" applyBorder="1"/>
    <xf numFmtId="0" fontId="11" fillId="0" borderId="18" xfId="65" applyFont="1" applyBorder="1" applyAlignment="1">
      <alignment horizontal="left" indent="1"/>
    </xf>
    <xf numFmtId="0" fontId="11" fillId="0" borderId="68" xfId="65" applyFont="1" applyBorder="1" applyAlignment="1">
      <alignment horizontal="left"/>
    </xf>
    <xf numFmtId="44" fontId="6" fillId="0" borderId="19" xfId="46" applyBorder="1"/>
    <xf numFmtId="2" fontId="12" fillId="0" borderId="19" xfId="65" applyNumberFormat="1" applyBorder="1"/>
    <xf numFmtId="170" fontId="0" fillId="0" borderId="19" xfId="46" applyNumberFormat="1" applyFont="1" applyFill="1" applyBorder="1"/>
    <xf numFmtId="0" fontId="31" fillId="0" borderId="21" xfId="65" applyFont="1" applyBorder="1" applyAlignment="1"/>
    <xf numFmtId="0" fontId="11" fillId="0" borderId="60" xfId="65" applyFont="1" applyBorder="1" applyAlignment="1">
      <alignment horizontal="left"/>
    </xf>
    <xf numFmtId="0" fontId="37" fillId="0" borderId="22" xfId="65" applyFont="1" applyBorder="1" applyAlignment="1"/>
    <xf numFmtId="2" fontId="12" fillId="0" borderId="22" xfId="65" applyNumberFormat="1" applyBorder="1"/>
    <xf numFmtId="170" fontId="52" fillId="0" borderId="60" xfId="46" applyNumberFormat="1" applyFont="1" applyFill="1" applyBorder="1"/>
    <xf numFmtId="0" fontId="11" fillId="0" borderId="15" xfId="65" applyFont="1" applyFill="1" applyBorder="1"/>
    <xf numFmtId="0" fontId="11" fillId="0" borderId="16" xfId="65" applyFont="1" applyFill="1" applyBorder="1"/>
    <xf numFmtId="2" fontId="12" fillId="0" borderId="16" xfId="65" applyNumberFormat="1" applyBorder="1"/>
    <xf numFmtId="44" fontId="12" fillId="0" borderId="17" xfId="46" applyNumberFormat="1" applyFont="1" applyFill="1" applyBorder="1"/>
    <xf numFmtId="0" fontId="12" fillId="0" borderId="18" xfId="65" applyBorder="1"/>
    <xf numFmtId="10" fontId="11" fillId="0" borderId="0" xfId="65" applyNumberFormat="1" applyFont="1" applyFill="1" applyBorder="1"/>
    <xf numFmtId="2" fontId="12" fillId="0" borderId="0" xfId="65" applyNumberFormat="1" applyBorder="1"/>
    <xf numFmtId="44" fontId="12" fillId="0" borderId="19" xfId="46" applyNumberFormat="1" applyFont="1" applyFill="1" applyBorder="1"/>
    <xf numFmtId="0" fontId="52" fillId="0" borderId="0" xfId="65" applyFont="1" applyBorder="1"/>
    <xf numFmtId="0" fontId="31" fillId="0" borderId="0" xfId="65" applyFont="1" applyFill="1" applyBorder="1"/>
    <xf numFmtId="2" fontId="52" fillId="0" borderId="0" xfId="65" applyNumberFormat="1" applyFont="1" applyBorder="1"/>
    <xf numFmtId="0" fontId="12" fillId="0" borderId="0" xfId="65" applyBorder="1"/>
    <xf numFmtId="0" fontId="11" fillId="0" borderId="21" xfId="65" applyFont="1" applyFill="1" applyBorder="1"/>
    <xf numFmtId="0" fontId="11" fillId="0" borderId="20" xfId="65" applyFont="1" applyFill="1" applyBorder="1"/>
    <xf numFmtId="44" fontId="12" fillId="0" borderId="22" xfId="46" applyNumberFormat="1" applyFont="1" applyFill="1" applyBorder="1"/>
    <xf numFmtId="0" fontId="11" fillId="0" borderId="18" xfId="65" applyFont="1" applyFill="1" applyBorder="1"/>
    <xf numFmtId="0" fontId="46" fillId="0" borderId="35" xfId="69" applyFont="1" applyFill="1" applyBorder="1"/>
    <xf numFmtId="0" fontId="49" fillId="0" borderId="13" xfId="69" applyFont="1" applyFill="1" applyBorder="1"/>
    <xf numFmtId="42" fontId="46" fillId="0" borderId="14" xfId="69" applyNumberFormat="1" applyFont="1" applyFill="1" applyBorder="1"/>
    <xf numFmtId="0" fontId="49" fillId="0" borderId="37" xfId="69" applyFont="1" applyFill="1" applyBorder="1"/>
    <xf numFmtId="10" fontId="48" fillId="0" borderId="10" xfId="69" applyNumberFormat="1" applyFont="1" applyFill="1" applyBorder="1"/>
    <xf numFmtId="0" fontId="49" fillId="0" borderId="10" xfId="69" applyFont="1" applyFill="1" applyBorder="1"/>
    <xf numFmtId="170" fontId="49" fillId="0" borderId="11" xfId="46" applyNumberFormat="1" applyFont="1" applyFill="1" applyBorder="1"/>
    <xf numFmtId="170" fontId="49" fillId="0" borderId="12" xfId="46" applyNumberFormat="1" applyFont="1" applyFill="1" applyBorder="1"/>
    <xf numFmtId="0" fontId="49" fillId="0" borderId="35" xfId="69" applyFont="1" applyFill="1" applyBorder="1"/>
    <xf numFmtId="44" fontId="49" fillId="0" borderId="13" xfId="46" applyFont="1" applyFill="1" applyBorder="1"/>
    <xf numFmtId="44" fontId="49" fillId="0" borderId="14" xfId="46" applyFont="1" applyFill="1" applyBorder="1"/>
    <xf numFmtId="44" fontId="52" fillId="0" borderId="0" xfId="46" applyNumberFormat="1" applyFont="1" applyFill="1" applyBorder="1"/>
    <xf numFmtId="44" fontId="52" fillId="2" borderId="38" xfId="46" applyNumberFormat="1" applyFont="1" applyFill="1" applyBorder="1"/>
    <xf numFmtId="164" fontId="2" fillId="37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4" fontId="46" fillId="2" borderId="38" xfId="46" applyFont="1" applyFill="1" applyBorder="1"/>
    <xf numFmtId="7" fontId="40" fillId="2" borderId="38" xfId="0" applyNumberFormat="1" applyFont="1" applyFill="1" applyBorder="1"/>
    <xf numFmtId="7" fontId="40" fillId="2" borderId="40" xfId="0" applyNumberFormat="1" applyFont="1" applyFill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64" fontId="2" fillId="37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37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7" fontId="36" fillId="0" borderId="0" xfId="0" applyNumberFormat="1" applyFont="1" applyBorder="1"/>
    <xf numFmtId="1" fontId="36" fillId="0" borderId="0" xfId="0" applyNumberFormat="1" applyFont="1" applyBorder="1"/>
    <xf numFmtId="41" fontId="0" fillId="0" borderId="0" xfId="0" applyNumberFormat="1" applyBorder="1"/>
    <xf numFmtId="2" fontId="11" fillId="0" borderId="0" xfId="0" applyNumberFormat="1" applyFont="1" applyFill="1" applyBorder="1" applyAlignment="1">
      <alignment horizontal="right"/>
    </xf>
    <xf numFmtId="167" fontId="0" fillId="0" borderId="0" xfId="0" applyNumberFormat="1" applyBorder="1"/>
    <xf numFmtId="166" fontId="0" fillId="0" borderId="26" xfId="0" applyNumberFormat="1" applyBorder="1"/>
    <xf numFmtId="166" fontId="0" fillId="0" borderId="0" xfId="0" applyNumberFormat="1" applyBorder="1"/>
    <xf numFmtId="0" fontId="31" fillId="0" borderId="0" xfId="0" applyFont="1" applyBorder="1"/>
    <xf numFmtId="1" fontId="37" fillId="0" borderId="0" xfId="0" applyNumberFormat="1" applyFont="1" applyBorder="1"/>
    <xf numFmtId="167" fontId="0" fillId="0" borderId="28" xfId="0" applyNumberFormat="1" applyBorder="1"/>
    <xf numFmtId="2" fontId="0" fillId="0" borderId="28" xfId="0" applyNumberFormat="1" applyFill="1" applyBorder="1"/>
    <xf numFmtId="2" fontId="0" fillId="0" borderId="0" xfId="0" applyNumberFormat="1" applyFill="1" applyBorder="1"/>
    <xf numFmtId="2" fontId="36" fillId="0" borderId="0" xfId="0" applyNumberFormat="1" applyFont="1" applyBorder="1"/>
    <xf numFmtId="0" fontId="0" fillId="0" borderId="24" xfId="0" applyBorder="1"/>
    <xf numFmtId="10" fontId="0" fillId="0" borderId="28" xfId="105" applyNumberFormat="1" applyFont="1" applyBorder="1"/>
    <xf numFmtId="167" fontId="36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/>
    <xf numFmtId="10" fontId="0" fillId="0" borderId="0" xfId="0" applyNumberFormat="1" applyFont="1" applyBorder="1"/>
    <xf numFmtId="0" fontId="0" fillId="0" borderId="13" xfId="0" applyFill="1" applyBorder="1"/>
    <xf numFmtId="173" fontId="2" fillId="0" borderId="0" xfId="0" applyNumberFormat="1" applyFont="1" applyFill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2" fillId="2" borderId="68" xfId="0" applyNumberFormat="1" applyFont="1" applyFill="1" applyBorder="1" applyAlignment="1">
      <alignment horizontal="center"/>
    </xf>
    <xf numFmtId="164" fontId="2" fillId="2" borderId="60" xfId="0" applyNumberFormat="1" applyFont="1" applyFill="1" applyBorder="1" applyAlignment="1">
      <alignment horizontal="center"/>
    </xf>
    <xf numFmtId="0" fontId="30" fillId="0" borderId="0" xfId="63" applyFont="1" applyFill="1" applyBorder="1" applyAlignment="1"/>
    <xf numFmtId="0" fontId="30" fillId="0" borderId="0" xfId="63" applyFont="1" applyFill="1" applyBorder="1" applyAlignment="1">
      <alignment horizontal="left"/>
    </xf>
    <xf numFmtId="2" fontId="30" fillId="0" borderId="0" xfId="63" applyNumberFormat="1" applyFont="1" applyFill="1" applyBorder="1" applyAlignment="1"/>
    <xf numFmtId="4" fontId="30" fillId="0" borderId="0" xfId="63" applyNumberFormat="1" applyFont="1" applyFill="1" applyBorder="1" applyAlignment="1"/>
    <xf numFmtId="0" fontId="59" fillId="0" borderId="0" xfId="63" applyFont="1" applyFill="1" applyAlignment="1">
      <alignment horizontal="left"/>
    </xf>
    <xf numFmtId="0" fontId="30" fillId="0" borderId="0" xfId="63" applyFont="1" applyFill="1" applyAlignment="1">
      <alignment horizontal="left"/>
    </xf>
    <xf numFmtId="0" fontId="11" fillId="0" borderId="0" xfId="63" applyFont="1" applyFill="1" applyAlignment="1">
      <alignment horizontal="left" wrapText="1"/>
    </xf>
    <xf numFmtId="44" fontId="0" fillId="0" borderId="0" xfId="40" applyFont="1" applyFill="1" applyAlignment="1">
      <alignment horizontal="left"/>
    </xf>
    <xf numFmtId="4" fontId="30" fillId="0" borderId="0" xfId="63" applyNumberFormat="1" applyFont="1" applyFill="1" applyAlignment="1">
      <alignment horizontal="center"/>
    </xf>
    <xf numFmtId="0" fontId="11" fillId="0" borderId="0" xfId="63" applyFill="1" applyAlignment="1">
      <alignment horizontal="left"/>
    </xf>
    <xf numFmtId="0" fontId="11" fillId="0" borderId="0" xfId="63" applyFill="1" applyAlignment="1">
      <alignment horizontal="center" vertical="center" wrapText="1"/>
    </xf>
    <xf numFmtId="4" fontId="11" fillId="0" borderId="0" xfId="63" applyNumberFormat="1" applyFill="1" applyAlignment="1">
      <alignment horizontal="center" vertical="center" wrapText="1"/>
    </xf>
    <xf numFmtId="2" fontId="11" fillId="0" borderId="0" xfId="63" applyNumberFormat="1" applyFill="1" applyAlignment="1">
      <alignment horizontal="center" vertical="center" wrapText="1"/>
    </xf>
    <xf numFmtId="44" fontId="0" fillId="0" borderId="0" xfId="40" applyFont="1" applyFill="1"/>
    <xf numFmtId="0" fontId="11" fillId="0" borderId="0" xfId="63" applyFill="1" applyAlignment="1">
      <alignment horizontal="center"/>
    </xf>
    <xf numFmtId="2" fontId="11" fillId="0" borderId="0" xfId="63" applyNumberFormat="1" applyFill="1"/>
    <xf numFmtId="4" fontId="11" fillId="0" borderId="0" xfId="63" applyNumberFormat="1" applyFill="1"/>
    <xf numFmtId="0" fontId="30" fillId="0" borderId="0" xfId="107" applyFont="1" applyFill="1" applyAlignment="1">
      <alignment horizontal="left"/>
    </xf>
    <xf numFmtId="0" fontId="60" fillId="0" borderId="0" xfId="107"/>
    <xf numFmtId="0" fontId="36" fillId="0" borderId="26" xfId="107" applyFont="1" applyBorder="1"/>
    <xf numFmtId="0" fontId="36" fillId="0" borderId="0" xfId="107" applyFont="1" applyBorder="1" applyAlignment="1">
      <alignment horizontal="left" wrapText="1"/>
    </xf>
    <xf numFmtId="167" fontId="36" fillId="0" borderId="0" xfId="107" applyNumberFormat="1" applyFont="1" applyBorder="1"/>
    <xf numFmtId="1" fontId="36" fillId="0" borderId="0" xfId="107" applyNumberFormat="1" applyFont="1" applyBorder="1"/>
    <xf numFmtId="167" fontId="36" fillId="0" borderId="12" xfId="107" applyNumberFormat="1" applyFont="1" applyBorder="1"/>
    <xf numFmtId="167" fontId="60" fillId="0" borderId="26" xfId="107" applyNumberFormat="1" applyFont="1" applyBorder="1"/>
    <xf numFmtId="167" fontId="60" fillId="0" borderId="0" xfId="107" applyNumberFormat="1" applyFont="1" applyBorder="1"/>
    <xf numFmtId="2" fontId="11" fillId="0" borderId="0" xfId="107" applyNumberFormat="1" applyFont="1" applyFill="1" applyBorder="1" applyAlignment="1">
      <alignment horizontal="right"/>
    </xf>
    <xf numFmtId="166" fontId="60" fillId="0" borderId="26" xfId="107" applyNumberFormat="1" applyFont="1" applyBorder="1"/>
    <xf numFmtId="2" fontId="60" fillId="0" borderId="0" xfId="107" applyNumberFormat="1" applyFill="1" applyBorder="1"/>
    <xf numFmtId="0" fontId="30" fillId="0" borderId="26" xfId="107" applyFont="1" applyBorder="1"/>
    <xf numFmtId="0" fontId="31" fillId="0" borderId="0" xfId="107" applyFont="1" applyBorder="1"/>
    <xf numFmtId="167" fontId="31" fillId="0" borderId="0" xfId="107" applyNumberFormat="1" applyFont="1" applyBorder="1"/>
    <xf numFmtId="2" fontId="31" fillId="0" borderId="0" xfId="107" applyNumberFormat="1" applyFont="1" applyBorder="1"/>
    <xf numFmtId="0" fontId="36" fillId="0" borderId="0" xfId="107" applyFont="1" applyBorder="1"/>
    <xf numFmtId="0" fontId="11" fillId="0" borderId="26" xfId="107" applyFont="1" applyFill="1" applyBorder="1"/>
    <xf numFmtId="10" fontId="37" fillId="0" borderId="0" xfId="107" applyNumberFormat="1" applyFont="1" applyBorder="1" applyAlignment="1">
      <alignment wrapText="1"/>
    </xf>
    <xf numFmtId="1" fontId="37" fillId="0" borderId="0" xfId="107" applyNumberFormat="1" applyFont="1" applyBorder="1"/>
    <xf numFmtId="0" fontId="60" fillId="0" borderId="26" xfId="107" applyBorder="1"/>
    <xf numFmtId="0" fontId="60" fillId="0" borderId="0" xfId="107" applyBorder="1"/>
    <xf numFmtId="0" fontId="60" fillId="0" borderId="26" xfId="107" applyFill="1" applyBorder="1"/>
    <xf numFmtId="0" fontId="36" fillId="0" borderId="30" xfId="107" applyFont="1" applyBorder="1"/>
    <xf numFmtId="167" fontId="36" fillId="0" borderId="21" xfId="107" applyNumberFormat="1" applyFont="1" applyBorder="1"/>
    <xf numFmtId="0" fontId="36" fillId="0" borderId="32" xfId="107" applyFont="1" applyBorder="1"/>
    <xf numFmtId="167" fontId="36" fillId="0" borderId="33" xfId="107" applyNumberFormat="1" applyFont="1" applyBorder="1"/>
    <xf numFmtId="2" fontId="36" fillId="0" borderId="33" xfId="107" applyNumberFormat="1" applyFont="1" applyBorder="1"/>
    <xf numFmtId="0" fontId="11" fillId="0" borderId="0" xfId="107" applyFont="1" applyFill="1" applyBorder="1"/>
    <xf numFmtId="9" fontId="37" fillId="0" borderId="0" xfId="107" applyNumberFormat="1" applyFont="1" applyFill="1" applyBorder="1" applyAlignment="1">
      <alignment vertical="center"/>
    </xf>
    <xf numFmtId="2" fontId="36" fillId="0" borderId="21" xfId="107" applyNumberFormat="1" applyFont="1" applyBorder="1"/>
    <xf numFmtId="0" fontId="60" fillId="0" borderId="26" xfId="107" applyFont="1" applyBorder="1"/>
    <xf numFmtId="167" fontId="60" fillId="0" borderId="0" xfId="107" applyNumberFormat="1" applyBorder="1"/>
    <xf numFmtId="10" fontId="0" fillId="0" borderId="0" xfId="108" applyNumberFormat="1" applyFont="1" applyBorder="1"/>
    <xf numFmtId="9" fontId="31" fillId="0" borderId="21" xfId="108" applyFont="1" applyBorder="1"/>
    <xf numFmtId="0" fontId="60" fillId="0" borderId="0" xfId="107" applyFill="1"/>
    <xf numFmtId="0" fontId="29" fillId="0" borderId="0" xfId="107" applyFont="1"/>
    <xf numFmtId="167" fontId="36" fillId="0" borderId="0" xfId="107" applyNumberFormat="1" applyFont="1" applyBorder="1" applyAlignment="1">
      <alignment wrapText="1"/>
    </xf>
    <xf numFmtId="0" fontId="31" fillId="0" borderId="0" xfId="107" applyFont="1"/>
    <xf numFmtId="1" fontId="11" fillId="0" borderId="0" xfId="107" applyNumberFormat="1" applyFont="1" applyAlignment="1">
      <alignment horizontal="right"/>
    </xf>
    <xf numFmtId="41" fontId="60" fillId="0" borderId="0" xfId="107" applyNumberFormat="1" applyBorder="1"/>
    <xf numFmtId="167" fontId="60" fillId="0" borderId="26" xfId="107" applyNumberFormat="1" applyBorder="1"/>
    <xf numFmtId="1" fontId="11" fillId="0" borderId="0" xfId="107" applyNumberFormat="1" applyFont="1" applyBorder="1" applyAlignment="1">
      <alignment horizontal="right"/>
    </xf>
    <xf numFmtId="0" fontId="31" fillId="0" borderId="27" xfId="107" applyFont="1" applyBorder="1"/>
    <xf numFmtId="167" fontId="31" fillId="0" borderId="28" xfId="107" applyNumberFormat="1" applyFont="1" applyBorder="1"/>
    <xf numFmtId="2" fontId="31" fillId="0" borderId="28" xfId="107" applyNumberFormat="1" applyFont="1" applyBorder="1"/>
    <xf numFmtId="10" fontId="37" fillId="0" borderId="0" xfId="107" applyNumberFormat="1" applyFont="1" applyBorder="1" applyAlignment="1"/>
    <xf numFmtId="0" fontId="60" fillId="0" borderId="27" xfId="107" applyFont="1" applyBorder="1"/>
    <xf numFmtId="168" fontId="60" fillId="0" borderId="28" xfId="107" applyNumberFormat="1" applyBorder="1"/>
    <xf numFmtId="167" fontId="60" fillId="0" borderId="28" xfId="107" applyNumberFormat="1" applyBorder="1"/>
    <xf numFmtId="2" fontId="60" fillId="0" borderId="28" xfId="107" applyNumberFormat="1" applyFill="1" applyBorder="1"/>
    <xf numFmtId="168" fontId="0" fillId="0" borderId="0" xfId="108" applyNumberFormat="1" applyFont="1" applyBorder="1"/>
    <xf numFmtId="168" fontId="60" fillId="0" borderId="0" xfId="107" applyNumberFormat="1" applyFont="1" applyBorder="1"/>
    <xf numFmtId="9" fontId="37" fillId="0" borderId="0" xfId="108" applyNumberFormat="1" applyFont="1" applyBorder="1"/>
    <xf numFmtId="168" fontId="36" fillId="0" borderId="33" xfId="107" applyNumberFormat="1" applyFont="1" applyBorder="1"/>
    <xf numFmtId="0" fontId="60" fillId="0" borderId="0" xfId="107" applyFill="1" applyBorder="1"/>
    <xf numFmtId="0" fontId="60" fillId="0" borderId="12" xfId="107" applyBorder="1"/>
    <xf numFmtId="2" fontId="36" fillId="0" borderId="0" xfId="107" applyNumberFormat="1" applyFont="1" applyBorder="1"/>
    <xf numFmtId="0" fontId="36" fillId="0" borderId="35" xfId="107" applyFont="1" applyBorder="1"/>
    <xf numFmtId="10" fontId="36" fillId="0" borderId="13" xfId="107" applyNumberFormat="1" applyFont="1" applyBorder="1"/>
    <xf numFmtId="167" fontId="36" fillId="0" borderId="13" xfId="107" applyNumberFormat="1" applyFont="1" applyBorder="1"/>
    <xf numFmtId="2" fontId="36" fillId="0" borderId="13" xfId="107" applyNumberFormat="1" applyFont="1" applyBorder="1"/>
    <xf numFmtId="10" fontId="11" fillId="0" borderId="28" xfId="108" applyNumberFormat="1" applyFont="1" applyBorder="1"/>
    <xf numFmtId="0" fontId="11" fillId="0" borderId="0" xfId="106" applyFont="1"/>
    <xf numFmtId="0" fontId="29" fillId="0" borderId="0" xfId="106" applyFont="1"/>
    <xf numFmtId="0" fontId="11" fillId="0" borderId="0" xfId="106" applyFont="1" applyBorder="1"/>
    <xf numFmtId="167" fontId="11" fillId="0" borderId="0" xfId="106" applyNumberFormat="1" applyFont="1" applyBorder="1"/>
    <xf numFmtId="167" fontId="11" fillId="0" borderId="0" xfId="106" applyNumberFormat="1" applyFont="1"/>
    <xf numFmtId="1" fontId="11" fillId="0" borderId="0" xfId="106" applyNumberFormat="1" applyFont="1"/>
    <xf numFmtId="0" fontId="31" fillId="0" borderId="11" xfId="106" applyFont="1" applyBorder="1"/>
    <xf numFmtId="167" fontId="31" fillId="0" borderId="0" xfId="106" applyNumberFormat="1" applyFont="1" applyBorder="1"/>
    <xf numFmtId="0" fontId="31" fillId="0" borderId="37" xfId="106" applyFont="1" applyBorder="1"/>
    <xf numFmtId="0" fontId="61" fillId="0" borderId="10" xfId="106" applyFont="1" applyFill="1" applyBorder="1" applyAlignment="1">
      <alignment horizontal="center"/>
    </xf>
    <xf numFmtId="167" fontId="31" fillId="0" borderId="10" xfId="106" applyNumberFormat="1" applyFont="1" applyBorder="1" applyAlignment="1">
      <alignment horizontal="center"/>
    </xf>
    <xf numFmtId="1" fontId="61" fillId="0" borderId="10" xfId="106" applyNumberFormat="1" applyFont="1" applyFill="1" applyBorder="1" applyAlignment="1">
      <alignment horizontal="right"/>
    </xf>
    <xf numFmtId="167" fontId="11" fillId="0" borderId="10" xfId="106" applyNumberFormat="1" applyFont="1" applyBorder="1"/>
    <xf numFmtId="167" fontId="11" fillId="0" borderId="11" xfId="106" applyNumberFormat="1" applyFont="1" applyBorder="1"/>
    <xf numFmtId="0" fontId="31" fillId="0" borderId="0" xfId="106" applyFont="1"/>
    <xf numFmtId="0" fontId="11" fillId="0" borderId="26" xfId="106" applyFont="1" applyBorder="1"/>
    <xf numFmtId="0" fontId="11" fillId="0" borderId="12" xfId="106" applyFont="1" applyBorder="1"/>
    <xf numFmtId="3" fontId="31" fillId="0" borderId="0" xfId="106" applyNumberFormat="1" applyFont="1" applyBorder="1"/>
    <xf numFmtId="0" fontId="11" fillId="0" borderId="0" xfId="106" applyFont="1" applyFill="1" applyBorder="1" applyAlignment="1">
      <alignment horizontal="center"/>
    </xf>
    <xf numFmtId="1" fontId="61" fillId="0" borderId="0" xfId="106" applyNumberFormat="1" applyFont="1" applyFill="1" applyBorder="1" applyAlignment="1">
      <alignment horizontal="right"/>
    </xf>
    <xf numFmtId="166" fontId="11" fillId="0" borderId="0" xfId="106" applyNumberFormat="1" applyFont="1" applyBorder="1"/>
    <xf numFmtId="166" fontId="11" fillId="0" borderId="12" xfId="106" applyNumberFormat="1" applyFont="1" applyBorder="1"/>
    <xf numFmtId="0" fontId="31" fillId="0" borderId="26" xfId="106" applyFont="1" applyBorder="1" applyAlignment="1">
      <alignment horizontal="right"/>
    </xf>
    <xf numFmtId="0" fontId="61" fillId="0" borderId="0" xfId="106" applyFont="1" applyFill="1" applyBorder="1"/>
    <xf numFmtId="167" fontId="31" fillId="0" borderId="0" xfId="106" applyNumberFormat="1" applyFont="1" applyBorder="1" applyAlignment="1">
      <alignment horizontal="right"/>
    </xf>
    <xf numFmtId="1" fontId="61" fillId="0" borderId="0" xfId="106" applyNumberFormat="1" applyFont="1" applyFill="1" applyBorder="1"/>
    <xf numFmtId="3" fontId="31" fillId="0" borderId="12" xfId="106" applyNumberFormat="1" applyFont="1" applyBorder="1"/>
    <xf numFmtId="0" fontId="31" fillId="0" borderId="0" xfId="106" applyFont="1" applyBorder="1" applyAlignment="1">
      <alignment horizontal="right"/>
    </xf>
    <xf numFmtId="167" fontId="11" fillId="0" borderId="12" xfId="106" applyNumberFormat="1" applyFont="1" applyBorder="1"/>
    <xf numFmtId="166" fontId="31" fillId="0" borderId="0" xfId="106" applyNumberFormat="1" applyFont="1" applyBorder="1" applyAlignment="1">
      <alignment horizontal="right"/>
    </xf>
    <xf numFmtId="167" fontId="36" fillId="0" borderId="0" xfId="106" applyNumberFormat="1" applyFont="1" applyBorder="1"/>
    <xf numFmtId="0" fontId="11" fillId="0" borderId="30" xfId="106" applyFont="1" applyBorder="1"/>
    <xf numFmtId="0" fontId="11" fillId="0" borderId="21" xfId="106" applyFont="1" applyFill="1" applyBorder="1" applyAlignment="1">
      <alignment horizontal="center"/>
    </xf>
    <xf numFmtId="0" fontId="31" fillId="0" borderId="0" xfId="106" applyFont="1" applyBorder="1"/>
    <xf numFmtId="0" fontId="31" fillId="0" borderId="12" xfId="106" applyFont="1" applyBorder="1"/>
    <xf numFmtId="167" fontId="11" fillId="0" borderId="0" xfId="106" applyNumberFormat="1" applyFont="1" applyAlignment="1">
      <alignment wrapText="1"/>
    </xf>
    <xf numFmtId="0" fontId="36" fillId="0" borderId="26" xfId="106" applyFont="1" applyBorder="1" applyAlignment="1">
      <alignment wrapText="1"/>
    </xf>
    <xf numFmtId="0" fontId="36" fillId="0" borderId="0" xfId="106" applyFont="1" applyBorder="1" applyAlignment="1">
      <alignment horizontal="center" wrapText="1"/>
    </xf>
    <xf numFmtId="167" fontId="36" fillId="0" borderId="0" xfId="106" applyNumberFormat="1" applyFont="1" applyBorder="1" applyAlignment="1">
      <alignment horizontal="center" wrapText="1"/>
    </xf>
    <xf numFmtId="1" fontId="36" fillId="0" borderId="0" xfId="106" applyNumberFormat="1" applyFont="1" applyBorder="1" applyAlignment="1">
      <alignment horizontal="center" wrapText="1"/>
    </xf>
    <xf numFmtId="167" fontId="36" fillId="0" borderId="12" xfId="106" applyNumberFormat="1" applyFont="1" applyBorder="1" applyAlignment="1">
      <alignment wrapText="1"/>
    </xf>
    <xf numFmtId="167" fontId="11" fillId="0" borderId="0" xfId="106" applyNumberFormat="1" applyFont="1" applyBorder="1" applyAlignment="1">
      <alignment wrapText="1"/>
    </xf>
    <xf numFmtId="0" fontId="11" fillId="0" borderId="26" xfId="106" applyFont="1" applyBorder="1" applyAlignment="1">
      <alignment wrapText="1"/>
    </xf>
    <xf numFmtId="0" fontId="11" fillId="0" borderId="0" xfId="106" applyFont="1" applyFill="1" applyBorder="1" applyAlignment="1">
      <alignment horizontal="right" wrapText="1"/>
    </xf>
    <xf numFmtId="0" fontId="11" fillId="0" borderId="0" xfId="106" applyFont="1" applyFill="1" applyBorder="1" applyAlignment="1">
      <alignment horizontal="center" wrapText="1"/>
    </xf>
    <xf numFmtId="166" fontId="61" fillId="0" borderId="0" xfId="106" applyNumberFormat="1" applyFont="1" applyFill="1" applyBorder="1" applyAlignment="1">
      <alignment horizontal="right" wrapText="1"/>
    </xf>
    <xf numFmtId="0" fontId="31" fillId="0" borderId="0" xfId="106" applyFont="1" applyBorder="1" applyAlignment="1">
      <alignment wrapText="1"/>
    </xf>
    <xf numFmtId="0" fontId="31" fillId="0" borderId="12" xfId="106" applyFont="1" applyBorder="1" applyAlignment="1">
      <alignment wrapText="1"/>
    </xf>
    <xf numFmtId="0" fontId="31" fillId="0" borderId="26" xfId="107" applyFont="1" applyFill="1" applyBorder="1" applyAlignment="1">
      <alignment horizontal="left"/>
    </xf>
    <xf numFmtId="166" fontId="31" fillId="0" borderId="0" xfId="107" applyNumberFormat="1" applyFont="1" applyFill="1" applyBorder="1" applyAlignment="1">
      <alignment horizontal="center"/>
    </xf>
    <xf numFmtId="1" fontId="31" fillId="0" borderId="0" xfId="107" applyNumberFormat="1" applyFont="1" applyFill="1" applyBorder="1" applyAlignment="1">
      <alignment horizontal="center"/>
    </xf>
    <xf numFmtId="2" fontId="31" fillId="0" borderId="0" xfId="107" applyNumberFormat="1" applyFont="1" applyFill="1" applyBorder="1" applyAlignment="1">
      <alignment horizontal="center"/>
    </xf>
    <xf numFmtId="167" fontId="37" fillId="0" borderId="0" xfId="106" applyNumberFormat="1" applyFont="1" applyBorder="1"/>
    <xf numFmtId="2" fontId="11" fillId="0" borderId="0" xfId="106" applyNumberFormat="1" applyFont="1" applyFill="1" applyBorder="1"/>
    <xf numFmtId="0" fontId="11" fillId="0" borderId="35" xfId="106" applyFont="1" applyBorder="1"/>
    <xf numFmtId="0" fontId="11" fillId="0" borderId="13" xfId="106" applyFont="1" applyFill="1" applyBorder="1" applyAlignment="1">
      <alignment horizontal="right"/>
    </xf>
    <xf numFmtId="168" fontId="11" fillId="0" borderId="13" xfId="108" applyNumberFormat="1" applyFont="1" applyFill="1" applyBorder="1" applyAlignment="1">
      <alignment horizontal="center"/>
    </xf>
    <xf numFmtId="1" fontId="61" fillId="0" borderId="13" xfId="106" applyNumberFormat="1" applyFont="1" applyFill="1" applyBorder="1" applyAlignment="1">
      <alignment horizontal="right"/>
    </xf>
    <xf numFmtId="0" fontId="31" fillId="0" borderId="13" xfId="106" applyFont="1" applyBorder="1"/>
    <xf numFmtId="0" fontId="31" fillId="0" borderId="14" xfId="106" applyFont="1" applyBorder="1"/>
    <xf numFmtId="166" fontId="11" fillId="0" borderId="0" xfId="106" applyNumberFormat="1" applyFont="1"/>
    <xf numFmtId="0" fontId="11" fillId="0" borderId="0" xfId="106" applyFont="1" applyFill="1" applyBorder="1"/>
    <xf numFmtId="9" fontId="11" fillId="0" borderId="0" xfId="108" applyFont="1" applyFill="1" applyBorder="1"/>
    <xf numFmtId="1" fontId="61" fillId="0" borderId="0" xfId="106" applyNumberFormat="1" applyFont="1" applyFill="1" applyAlignment="1">
      <alignment horizontal="right"/>
    </xf>
    <xf numFmtId="0" fontId="37" fillId="0" borderId="0" xfId="106" applyFont="1"/>
    <xf numFmtId="0" fontId="36" fillId="0" borderId="37" xfId="106" applyFont="1" applyBorder="1"/>
    <xf numFmtId="0" fontId="36" fillId="0" borderId="10" xfId="106" applyFont="1" applyBorder="1"/>
    <xf numFmtId="167" fontId="36" fillId="0" borderId="10" xfId="106" applyNumberFormat="1" applyFont="1" applyBorder="1" applyAlignment="1">
      <alignment horizontal="center"/>
    </xf>
    <xf numFmtId="0" fontId="11" fillId="0" borderId="10" xfId="106" applyFont="1" applyBorder="1"/>
    <xf numFmtId="0" fontId="11" fillId="0" borderId="11" xfId="106" applyFont="1" applyBorder="1"/>
    <xf numFmtId="0" fontId="36" fillId="0" borderId="26" xfId="106" applyFont="1" applyBorder="1"/>
    <xf numFmtId="0" fontId="36" fillId="0" borderId="0" xfId="106" applyFont="1" applyBorder="1"/>
    <xf numFmtId="167" fontId="36" fillId="0" borderId="0" xfId="106" applyNumberFormat="1" applyFont="1" applyBorder="1" applyAlignment="1">
      <alignment horizontal="center"/>
    </xf>
    <xf numFmtId="0" fontId="31" fillId="0" borderId="26" xfId="107" applyFont="1" applyFill="1" applyBorder="1" applyAlignment="1">
      <alignment horizontal="left" wrapText="1"/>
    </xf>
    <xf numFmtId="168" fontId="31" fillId="0" borderId="0" xfId="108" applyNumberFormat="1" applyFont="1" applyFill="1" applyBorder="1" applyAlignment="1">
      <alignment horizontal="center"/>
    </xf>
    <xf numFmtId="167" fontId="11" fillId="0" borderId="0" xfId="106" applyNumberFormat="1" applyFont="1" applyFill="1" applyBorder="1"/>
    <xf numFmtId="171" fontId="0" fillId="0" borderId="0" xfId="109" applyNumberFormat="1" applyFont="1" applyFill="1" applyBorder="1"/>
    <xf numFmtId="0" fontId="31" fillId="0" borderId="30" xfId="107" applyFont="1" applyFill="1" applyBorder="1" applyAlignment="1">
      <alignment horizontal="left"/>
    </xf>
    <xf numFmtId="0" fontId="31" fillId="0" borderId="21" xfId="107" applyFont="1" applyFill="1" applyBorder="1" applyAlignment="1">
      <alignment horizontal="center"/>
    </xf>
    <xf numFmtId="0" fontId="31" fillId="0" borderId="0" xfId="107" applyFont="1" applyFill="1" applyBorder="1" applyAlignment="1">
      <alignment horizontal="center"/>
    </xf>
    <xf numFmtId="0" fontId="60" fillId="0" borderId="18" xfId="107" applyBorder="1"/>
    <xf numFmtId="0" fontId="31" fillId="0" borderId="73" xfId="106" applyFont="1" applyBorder="1"/>
    <xf numFmtId="0" fontId="31" fillId="0" borderId="74" xfId="106" applyFont="1" applyBorder="1"/>
    <xf numFmtId="0" fontId="31" fillId="0" borderId="28" xfId="106" applyFont="1" applyBorder="1"/>
    <xf numFmtId="167" fontId="31" fillId="0" borderId="70" xfId="106" applyNumberFormat="1" applyFont="1" applyBorder="1"/>
    <xf numFmtId="2" fontId="31" fillId="0" borderId="70" xfId="106" applyNumberFormat="1" applyFont="1" applyBorder="1"/>
    <xf numFmtId="167" fontId="31" fillId="0" borderId="12" xfId="106" applyNumberFormat="1" applyFont="1" applyBorder="1"/>
    <xf numFmtId="0" fontId="31" fillId="0" borderId="0" xfId="106" applyFont="1" applyFill="1" applyBorder="1"/>
    <xf numFmtId="0" fontId="31" fillId="0" borderId="26" xfId="106" applyFont="1" applyBorder="1"/>
    <xf numFmtId="2" fontId="31" fillId="0" borderId="0" xfId="106" applyNumberFormat="1" applyFont="1" applyBorder="1"/>
    <xf numFmtId="1" fontId="36" fillId="0" borderId="0" xfId="106" applyNumberFormat="1" applyFont="1" applyBorder="1"/>
    <xf numFmtId="167" fontId="36" fillId="0" borderId="12" xfId="106" applyNumberFormat="1" applyFont="1" applyBorder="1"/>
    <xf numFmtId="0" fontId="11" fillId="0" borderId="26" xfId="106" applyFont="1" applyFill="1" applyBorder="1"/>
    <xf numFmtId="10" fontId="37" fillId="0" borderId="0" xfId="106" applyNumberFormat="1" applyFont="1" applyBorder="1"/>
    <xf numFmtId="1" fontId="37" fillId="0" borderId="0" xfId="106" applyNumberFormat="1" applyFont="1" applyBorder="1"/>
    <xf numFmtId="167" fontId="37" fillId="0" borderId="12" xfId="106" applyNumberFormat="1" applyFont="1" applyBorder="1"/>
    <xf numFmtId="0" fontId="11" fillId="0" borderId="69" xfId="106" applyFont="1" applyBorder="1"/>
    <xf numFmtId="0" fontId="11" fillId="0" borderId="70" xfId="106" applyFont="1" applyBorder="1"/>
    <xf numFmtId="167" fontId="11" fillId="0" borderId="70" xfId="106" applyNumberFormat="1" applyFont="1" applyBorder="1"/>
    <xf numFmtId="2" fontId="11" fillId="0" borderId="70" xfId="106" applyNumberFormat="1" applyFont="1" applyFill="1" applyBorder="1"/>
    <xf numFmtId="167" fontId="36" fillId="0" borderId="70" xfId="106" applyNumberFormat="1" applyFont="1" applyBorder="1"/>
    <xf numFmtId="167" fontId="11" fillId="0" borderId="26" xfId="106" applyNumberFormat="1" applyFont="1" applyBorder="1"/>
    <xf numFmtId="167" fontId="62" fillId="0" borderId="0" xfId="106" applyNumberFormat="1" applyFont="1" applyBorder="1"/>
    <xf numFmtId="1" fontId="11" fillId="0" borderId="0" xfId="106" applyNumberFormat="1" applyFont="1" applyBorder="1"/>
    <xf numFmtId="2" fontId="31" fillId="0" borderId="31" xfId="106" applyNumberFormat="1" applyFont="1" applyBorder="1" applyAlignment="1"/>
    <xf numFmtId="9" fontId="11" fillId="0" borderId="12" xfId="108" applyFont="1" applyBorder="1"/>
    <xf numFmtId="167" fontId="11" fillId="0" borderId="0" xfId="106" applyNumberFormat="1" applyFont="1" applyBorder="1" applyAlignment="1">
      <alignment horizontal="right"/>
    </xf>
    <xf numFmtId="167" fontId="31" fillId="0" borderId="28" xfId="106" applyNumberFormat="1" applyFont="1" applyBorder="1" applyAlignment="1">
      <alignment horizontal="center"/>
    </xf>
    <xf numFmtId="169" fontId="31" fillId="0" borderId="28" xfId="106" applyNumberFormat="1" applyFont="1" applyBorder="1" applyAlignment="1">
      <alignment horizontal="center"/>
    </xf>
    <xf numFmtId="0" fontId="31" fillId="0" borderId="29" xfId="106" applyFont="1" applyBorder="1" applyAlignment="1">
      <alignment horizontal="center"/>
    </xf>
    <xf numFmtId="2" fontId="36" fillId="0" borderId="70" xfId="106" applyNumberFormat="1" applyFont="1" applyFill="1" applyBorder="1"/>
    <xf numFmtId="0" fontId="37" fillId="0" borderId="26" xfId="106" applyFont="1" applyFill="1" applyBorder="1"/>
    <xf numFmtId="10" fontId="62" fillId="0" borderId="0" xfId="106" applyNumberFormat="1" applyFont="1" applyFill="1" applyBorder="1"/>
    <xf numFmtId="10" fontId="11" fillId="0" borderId="0" xfId="106" applyNumberFormat="1" applyFont="1" applyBorder="1"/>
    <xf numFmtId="0" fontId="31" fillId="0" borderId="69" xfId="106" applyFont="1" applyBorder="1"/>
    <xf numFmtId="0" fontId="31" fillId="0" borderId="70" xfId="106" applyFont="1" applyBorder="1"/>
    <xf numFmtId="10" fontId="37" fillId="0" borderId="0" xfId="106" applyNumberFormat="1" applyFont="1" applyFill="1" applyBorder="1"/>
    <xf numFmtId="2" fontId="11" fillId="0" borderId="0" xfId="106" applyNumberFormat="1" applyFont="1" applyBorder="1"/>
    <xf numFmtId="167" fontId="11" fillId="0" borderId="12" xfId="106" applyNumberFormat="1" applyFont="1" applyFill="1" applyBorder="1"/>
    <xf numFmtId="2" fontId="62" fillId="0" borderId="0" xfId="106" applyNumberFormat="1" applyFont="1" applyFill="1" applyBorder="1"/>
    <xf numFmtId="0" fontId="36" fillId="0" borderId="75" xfId="106" applyFont="1" applyBorder="1"/>
    <xf numFmtId="0" fontId="36" fillId="0" borderId="76" xfId="106" applyFont="1" applyBorder="1"/>
    <xf numFmtId="167" fontId="36" fillId="0" borderId="76" xfId="106" applyNumberFormat="1" applyFont="1" applyBorder="1"/>
    <xf numFmtId="2" fontId="36" fillId="0" borderId="76" xfId="106" applyNumberFormat="1" applyFont="1" applyBorder="1"/>
    <xf numFmtId="167" fontId="31" fillId="0" borderId="76" xfId="106" applyNumberFormat="1" applyFont="1" applyBorder="1"/>
    <xf numFmtId="0" fontId="31" fillId="0" borderId="12" xfId="106" applyFont="1" applyFill="1" applyBorder="1"/>
    <xf numFmtId="2" fontId="36" fillId="0" borderId="0" xfId="106" applyNumberFormat="1" applyFont="1" applyBorder="1"/>
    <xf numFmtId="0" fontId="61" fillId="0" borderId="54" xfId="106" applyFont="1" applyBorder="1"/>
    <xf numFmtId="0" fontId="11" fillId="0" borderId="16" xfId="106" applyFont="1" applyBorder="1"/>
    <xf numFmtId="2" fontId="11" fillId="0" borderId="16" xfId="106" applyNumberFormat="1" applyFont="1" applyBorder="1"/>
    <xf numFmtId="169" fontId="50" fillId="0" borderId="0" xfId="106" applyNumberFormat="1" applyFont="1" applyBorder="1"/>
    <xf numFmtId="169" fontId="31" fillId="0" borderId="0" xfId="106" applyNumberFormat="1" applyFont="1"/>
    <xf numFmtId="0" fontId="61" fillId="0" borderId="0" xfId="106" applyFont="1" applyBorder="1"/>
    <xf numFmtId="167" fontId="61" fillId="0" borderId="0" xfId="106" applyNumberFormat="1" applyFont="1" applyBorder="1"/>
    <xf numFmtId="2" fontId="61" fillId="0" borderId="0" xfId="106" applyNumberFormat="1" applyFont="1" applyBorder="1"/>
    <xf numFmtId="169" fontId="22" fillId="0" borderId="26" xfId="106" applyNumberFormat="1" applyFont="1" applyBorder="1"/>
    <xf numFmtId="169" fontId="22" fillId="0" borderId="0" xfId="106" applyNumberFormat="1" applyFont="1" applyBorder="1"/>
    <xf numFmtId="169" fontId="11" fillId="0" borderId="0" xfId="106" applyNumberFormat="1" applyFont="1" applyBorder="1"/>
    <xf numFmtId="169" fontId="31" fillId="0" borderId="12" xfId="106" applyNumberFormat="1" applyFont="1" applyBorder="1"/>
    <xf numFmtId="3" fontId="31" fillId="0" borderId="35" xfId="106" applyNumberFormat="1" applyFont="1" applyFill="1" applyBorder="1"/>
    <xf numFmtId="0" fontId="31" fillId="0" borderId="13" xfId="106" applyFont="1" applyFill="1" applyBorder="1"/>
    <xf numFmtId="168" fontId="31" fillId="0" borderId="13" xfId="108" applyNumberFormat="1" applyFont="1" applyFill="1" applyBorder="1"/>
    <xf numFmtId="0" fontId="31" fillId="0" borderId="14" xfId="106" applyFont="1" applyFill="1" applyBorder="1"/>
    <xf numFmtId="169" fontId="22" fillId="0" borderId="23" xfId="106" applyNumberFormat="1" applyFont="1" applyBorder="1"/>
    <xf numFmtId="169" fontId="22" fillId="0" borderId="24" xfId="106" applyNumberFormat="1" applyFont="1" applyBorder="1"/>
    <xf numFmtId="9" fontId="31" fillId="0" borderId="24" xfId="106" applyNumberFormat="1" applyFont="1" applyBorder="1"/>
    <xf numFmtId="167" fontId="11" fillId="0" borderId="24" xfId="106" applyNumberFormat="1" applyFont="1" applyBorder="1"/>
    <xf numFmtId="169" fontId="11" fillId="0" borderId="24" xfId="106" applyNumberFormat="1" applyFont="1" applyBorder="1"/>
    <xf numFmtId="169" fontId="31" fillId="2" borderId="25" xfId="106" applyNumberFormat="1" applyFont="1" applyFill="1" applyBorder="1"/>
    <xf numFmtId="9" fontId="11" fillId="0" borderId="24" xfId="106" applyNumberFormat="1" applyFont="1" applyBorder="1"/>
    <xf numFmtId="169" fontId="11" fillId="0" borderId="25" xfId="106" applyNumberFormat="1" applyFont="1" applyBorder="1"/>
    <xf numFmtId="0" fontId="11" fillId="0" borderId="37" xfId="106" applyFont="1" applyBorder="1"/>
    <xf numFmtId="0" fontId="11" fillId="0" borderId="10" xfId="106" applyFont="1" applyFill="1" applyBorder="1" applyAlignment="1">
      <alignment horizontal="center"/>
    </xf>
    <xf numFmtId="166" fontId="11" fillId="0" borderId="10" xfId="106" applyNumberFormat="1" applyFont="1" applyBorder="1"/>
    <xf numFmtId="166" fontId="11" fillId="0" borderId="11" xfId="106" applyNumberFormat="1" applyFont="1" applyBorder="1"/>
    <xf numFmtId="1" fontId="31" fillId="0" borderId="21" xfId="107" applyNumberFormat="1" applyFont="1" applyFill="1" applyBorder="1" applyAlignment="1">
      <alignment horizontal="center"/>
    </xf>
    <xf numFmtId="0" fontId="31" fillId="0" borderId="28" xfId="107" applyFont="1" applyFill="1" applyBorder="1" applyAlignment="1">
      <alignment horizontal="center"/>
    </xf>
    <xf numFmtId="169" fontId="31" fillId="0" borderId="25" xfId="106" applyNumberFormat="1" applyFont="1" applyBorder="1"/>
    <xf numFmtId="9" fontId="11" fillId="0" borderId="0" xfId="106" applyNumberFormat="1" applyFont="1" applyBorder="1"/>
    <xf numFmtId="0" fontId="31" fillId="0" borderId="0" xfId="107" applyFont="1" applyFill="1" applyBorder="1" applyAlignment="1">
      <alignment horizontal="left"/>
    </xf>
    <xf numFmtId="0" fontId="29" fillId="0" borderId="52" xfId="107" applyFont="1" applyBorder="1" applyAlignment="1"/>
    <xf numFmtId="0" fontId="30" fillId="0" borderId="0" xfId="107" applyFont="1" applyFill="1" applyBorder="1" applyAlignment="1">
      <alignment horizontal="left"/>
    </xf>
    <xf numFmtId="0" fontId="30" fillId="0" borderId="0" xfId="107" applyFont="1" applyFill="1" applyBorder="1" applyAlignment="1"/>
    <xf numFmtId="2" fontId="30" fillId="0" borderId="0" xfId="107" applyNumberFormat="1" applyFont="1" applyFill="1" applyBorder="1" applyAlignment="1"/>
    <xf numFmtId="4" fontId="30" fillId="0" borderId="0" xfId="107" applyNumberFormat="1" applyFont="1" applyFill="1" applyBorder="1" applyAlignment="1"/>
    <xf numFmtId="0" fontId="59" fillId="0" borderId="0" xfId="107" applyFont="1" applyFill="1" applyAlignment="1">
      <alignment horizontal="left"/>
    </xf>
    <xf numFmtId="0" fontId="31" fillId="36" borderId="0" xfId="107" applyFont="1" applyFill="1" applyBorder="1"/>
    <xf numFmtId="2" fontId="11" fillId="0" borderId="0" xfId="107" applyNumberFormat="1" applyFont="1" applyFill="1" applyBorder="1" applyAlignment="1"/>
    <xf numFmtId="4" fontId="11" fillId="0" borderId="0" xfId="107" applyNumberFormat="1" applyFont="1" applyFill="1" applyBorder="1" applyAlignment="1"/>
    <xf numFmtId="0" fontId="31" fillId="0" borderId="52" xfId="107" applyFont="1" applyFill="1" applyBorder="1" applyAlignment="1"/>
    <xf numFmtId="0" fontId="11" fillId="0" borderId="77" xfId="107" applyFont="1" applyFill="1" applyBorder="1" applyAlignment="1">
      <alignment horizontal="left"/>
    </xf>
    <xf numFmtId="0" fontId="11" fillId="0" borderId="77" xfId="107" applyFont="1" applyFill="1" applyBorder="1" applyAlignment="1">
      <alignment horizontal="center"/>
    </xf>
    <xf numFmtId="2" fontId="11" fillId="0" borderId="77" xfId="107" applyNumberFormat="1" applyFont="1" applyFill="1" applyBorder="1" applyAlignment="1">
      <alignment horizontal="center"/>
    </xf>
    <xf numFmtId="4" fontId="11" fillId="0" borderId="28" xfId="107" applyNumberFormat="1" applyFont="1" applyFill="1" applyBorder="1" applyAlignment="1">
      <alignment horizontal="center"/>
    </xf>
    <xf numFmtId="172" fontId="31" fillId="0" borderId="59" xfId="109" applyNumberFormat="1" applyFont="1" applyFill="1" applyBorder="1"/>
    <xf numFmtId="172" fontId="11" fillId="0" borderId="17" xfId="109" applyNumberFormat="1" applyFont="1" applyFill="1" applyBorder="1" applyAlignment="1">
      <alignment horizontal="left"/>
    </xf>
    <xf numFmtId="171" fontId="11" fillId="0" borderId="19" xfId="109" applyNumberFormat="1" applyFont="1" applyFill="1" applyBorder="1"/>
    <xf numFmtId="2" fontId="11" fillId="0" borderId="19" xfId="109" applyNumberFormat="1" applyFont="1" applyFill="1" applyBorder="1"/>
    <xf numFmtId="0" fontId="60" fillId="0" borderId="18" xfId="107" applyFill="1" applyBorder="1"/>
    <xf numFmtId="172" fontId="11" fillId="0" borderId="60" xfId="109" applyNumberFormat="1" applyFont="1" applyFill="1" applyBorder="1" applyAlignment="1">
      <alignment horizontal="left"/>
    </xf>
    <xf numFmtId="171" fontId="11" fillId="0" borderId="22" xfId="109" applyNumberFormat="1" applyFont="1" applyFill="1" applyBorder="1"/>
    <xf numFmtId="2" fontId="11" fillId="0" borderId="22" xfId="109" applyNumberFormat="1" applyFont="1" applyFill="1" applyBorder="1"/>
    <xf numFmtId="172" fontId="11" fillId="0" borderId="59" xfId="109" applyNumberFormat="1" applyFont="1" applyFill="1" applyBorder="1"/>
    <xf numFmtId="172" fontId="11" fillId="0" borderId="60" xfId="109" applyNumberFormat="1" applyFont="1" applyFill="1" applyBorder="1"/>
    <xf numFmtId="172" fontId="11" fillId="0" borderId="22" xfId="109" applyNumberFormat="1" applyFont="1" applyFill="1" applyBorder="1"/>
    <xf numFmtId="172" fontId="11" fillId="0" borderId="19" xfId="109" applyNumberFormat="1" applyFont="1" applyFill="1" applyBorder="1" applyAlignment="1">
      <alignment horizontal="left"/>
    </xf>
    <xf numFmtId="172" fontId="31" fillId="0" borderId="60" xfId="109" applyNumberFormat="1" applyFont="1" applyFill="1" applyBorder="1"/>
    <xf numFmtId="172" fontId="11" fillId="0" borderId="22" xfId="109" applyNumberFormat="1" applyFont="1" applyFill="1" applyBorder="1" applyAlignment="1">
      <alignment horizontal="left"/>
    </xf>
    <xf numFmtId="9" fontId="11" fillId="0" borderId="22" xfId="108" applyFont="1" applyFill="1" applyBorder="1"/>
    <xf numFmtId="9" fontId="11" fillId="0" borderId="19" xfId="109" applyNumberFormat="1" applyFont="1" applyFill="1" applyBorder="1"/>
    <xf numFmtId="0" fontId="11" fillId="0" borderId="59" xfId="107" applyFont="1" applyFill="1" applyBorder="1"/>
    <xf numFmtId="0" fontId="11" fillId="0" borderId="19" xfId="107" applyFont="1" applyFill="1" applyBorder="1" applyAlignment="1">
      <alignment horizontal="left"/>
    </xf>
    <xf numFmtId="9" fontId="11" fillId="0" borderId="19" xfId="108" applyNumberFormat="1" applyFont="1" applyFill="1" applyBorder="1"/>
    <xf numFmtId="2" fontId="11" fillId="0" borderId="19" xfId="107" applyNumberFormat="1" applyFont="1" applyFill="1" applyBorder="1"/>
    <xf numFmtId="0" fontId="11" fillId="0" borderId="19" xfId="107" applyFont="1" applyFill="1" applyBorder="1"/>
    <xf numFmtId="9" fontId="11" fillId="0" borderId="19" xfId="108" applyFont="1" applyFill="1" applyBorder="1"/>
    <xf numFmtId="0" fontId="11" fillId="0" borderId="60" xfId="107" applyFont="1" applyFill="1" applyBorder="1"/>
    <xf numFmtId="2" fontId="11" fillId="0" borderId="22" xfId="107" applyNumberFormat="1" applyFont="1" applyFill="1" applyBorder="1"/>
    <xf numFmtId="0" fontId="31" fillId="0" borderId="59" xfId="107" applyFont="1" applyFill="1" applyBorder="1"/>
    <xf numFmtId="0" fontId="11" fillId="0" borderId="60" xfId="107" applyFont="1" applyFill="1" applyBorder="1" applyAlignment="1">
      <alignment horizontal="left"/>
    </xf>
    <xf numFmtId="168" fontId="11" fillId="0" borderId="22" xfId="107" applyNumberFormat="1" applyFont="1" applyFill="1" applyBorder="1"/>
    <xf numFmtId="2" fontId="60" fillId="0" borderId="22" xfId="107" applyNumberFormat="1" applyFill="1" applyBorder="1"/>
    <xf numFmtId="0" fontId="60" fillId="0" borderId="60" xfId="107" applyFill="1" applyBorder="1"/>
    <xf numFmtId="0" fontId="60" fillId="0" borderId="22" xfId="107" applyFill="1" applyBorder="1"/>
    <xf numFmtId="0" fontId="11" fillId="0" borderId="59" xfId="107" applyFont="1" applyBorder="1" applyAlignment="1">
      <alignment horizontal="left" indent="1"/>
    </xf>
    <xf numFmtId="0" fontId="11" fillId="0" borderId="19" xfId="107" applyFont="1" applyBorder="1" applyAlignment="1">
      <alignment horizontal="left"/>
    </xf>
    <xf numFmtId="2" fontId="60" fillId="0" borderId="19" xfId="107" applyNumberFormat="1" applyBorder="1"/>
    <xf numFmtId="4" fontId="60" fillId="0" borderId="0" xfId="107" applyNumberFormat="1" applyFill="1" applyBorder="1"/>
    <xf numFmtId="0" fontId="31" fillId="0" borderId="60" xfId="107" applyFont="1" applyBorder="1" applyAlignment="1"/>
    <xf numFmtId="0" fontId="11" fillId="0" borderId="22" xfId="107" applyFont="1" applyBorder="1" applyAlignment="1">
      <alignment horizontal="left"/>
    </xf>
    <xf numFmtId="0" fontId="37" fillId="0" borderId="22" xfId="107" applyFont="1" applyBorder="1" applyAlignment="1"/>
    <xf numFmtId="2" fontId="60" fillId="0" borderId="22" xfId="107" applyNumberFormat="1" applyBorder="1"/>
    <xf numFmtId="0" fontId="11" fillId="0" borderId="0" xfId="107" applyFont="1" applyAlignment="1">
      <alignment horizontal="left" indent="1"/>
    </xf>
    <xf numFmtId="0" fontId="11" fillId="0" borderId="0" xfId="107" applyFont="1" applyAlignment="1">
      <alignment horizontal="left"/>
    </xf>
    <xf numFmtId="2" fontId="60" fillId="0" borderId="0" xfId="107" applyNumberFormat="1" applyFill="1"/>
    <xf numFmtId="4" fontId="60" fillId="0" borderId="0" xfId="107" applyNumberFormat="1" applyFill="1"/>
    <xf numFmtId="0" fontId="63" fillId="0" borderId="0" xfId="107" applyFont="1"/>
    <xf numFmtId="0" fontId="63" fillId="0" borderId="0" xfId="107" applyFont="1" applyAlignment="1">
      <alignment horizontal="left"/>
    </xf>
    <xf numFmtId="0" fontId="31" fillId="36" borderId="0" xfId="107" applyFont="1" applyFill="1"/>
    <xf numFmtId="0" fontId="60" fillId="0" borderId="0" xfId="107" applyFill="1" applyAlignment="1">
      <alignment horizontal="left"/>
    </xf>
    <xf numFmtId="0" fontId="31" fillId="36" borderId="0" xfId="107" applyFont="1" applyFill="1" applyBorder="1" applyAlignment="1">
      <alignment horizontal="left"/>
    </xf>
    <xf numFmtId="0" fontId="60" fillId="0" borderId="0" xfId="107" applyFill="1" applyBorder="1" applyAlignment="1">
      <alignment horizontal="left"/>
    </xf>
    <xf numFmtId="0" fontId="60" fillId="0" borderId="67" xfId="107" applyFill="1" applyBorder="1"/>
    <xf numFmtId="0" fontId="60" fillId="0" borderId="52" xfId="107" applyFill="1" applyBorder="1" applyAlignment="1">
      <alignment horizontal="left"/>
    </xf>
    <xf numFmtId="0" fontId="60" fillId="0" borderId="28" xfId="107" applyFill="1" applyBorder="1"/>
    <xf numFmtId="2" fontId="60" fillId="0" borderId="77" xfId="107" applyNumberFormat="1" applyFill="1" applyBorder="1"/>
    <xf numFmtId="0" fontId="60" fillId="0" borderId="77" xfId="107" applyBorder="1"/>
    <xf numFmtId="4" fontId="60" fillId="0" borderId="52" xfId="107" applyNumberFormat="1" applyBorder="1"/>
    <xf numFmtId="0" fontId="60" fillId="0" borderId="59" xfId="107" applyFill="1" applyBorder="1" applyAlignment="1">
      <alignment horizontal="left"/>
    </xf>
    <xf numFmtId="2" fontId="60" fillId="0" borderId="19" xfId="107" applyNumberFormat="1" applyFill="1" applyBorder="1"/>
    <xf numFmtId="0" fontId="54" fillId="0" borderId="59" xfId="107" applyFont="1" applyFill="1" applyBorder="1" applyAlignment="1">
      <alignment horizontal="left"/>
    </xf>
    <xf numFmtId="4" fontId="31" fillId="0" borderId="0" xfId="107" applyNumberFormat="1" applyFont="1" applyFill="1" applyBorder="1"/>
    <xf numFmtId="10" fontId="60" fillId="0" borderId="0" xfId="107" applyNumberFormat="1" applyFill="1"/>
    <xf numFmtId="0" fontId="11" fillId="0" borderId="77" xfId="107" applyFont="1" applyBorder="1"/>
    <xf numFmtId="4" fontId="11" fillId="0" borderId="52" xfId="107" applyNumberFormat="1" applyFont="1" applyBorder="1"/>
    <xf numFmtId="4" fontId="11" fillId="0" borderId="77" xfId="107" applyNumberFormat="1" applyFont="1" applyFill="1" applyBorder="1" applyAlignment="1">
      <alignment horizontal="center"/>
    </xf>
    <xf numFmtId="4" fontId="11" fillId="0" borderId="19" xfId="109" applyNumberFormat="1" applyFont="1" applyFill="1" applyBorder="1"/>
    <xf numFmtId="0" fontId="60" fillId="0" borderId="19" xfId="107" applyFill="1" applyBorder="1"/>
    <xf numFmtId="4" fontId="11" fillId="0" borderId="22" xfId="109" applyNumberFormat="1" applyFont="1" applyFill="1" applyBorder="1"/>
    <xf numFmtId="172" fontId="11" fillId="0" borderId="20" xfId="109" applyNumberFormat="1" applyFont="1" applyFill="1" applyBorder="1" applyAlignment="1">
      <alignment horizontal="left"/>
    </xf>
    <xf numFmtId="171" fontId="11" fillId="0" borderId="52" xfId="109" applyNumberFormat="1" applyFont="1" applyFill="1" applyBorder="1"/>
    <xf numFmtId="0" fontId="60" fillId="0" borderId="22" xfId="107" applyFill="1" applyBorder="1" applyAlignment="1">
      <alignment wrapText="1"/>
    </xf>
    <xf numFmtId="0" fontId="60" fillId="0" borderId="22" xfId="107" applyFill="1" applyBorder="1" applyAlignment="1">
      <alignment horizontal="left"/>
    </xf>
    <xf numFmtId="4" fontId="11" fillId="0" borderId="22" xfId="107" applyNumberFormat="1" applyFont="1" applyFill="1" applyBorder="1"/>
    <xf numFmtId="4" fontId="60" fillId="0" borderId="22" xfId="107" applyNumberFormat="1" applyFill="1" applyBorder="1"/>
    <xf numFmtId="44" fontId="0" fillId="0" borderId="19" xfId="110" applyFont="1" applyBorder="1"/>
    <xf numFmtId="4" fontId="60" fillId="0" borderId="19" xfId="107" applyNumberFormat="1" applyFill="1" applyBorder="1"/>
    <xf numFmtId="4" fontId="31" fillId="0" borderId="52" xfId="107" applyNumberFormat="1" applyFont="1" applyFill="1" applyBorder="1"/>
    <xf numFmtId="0" fontId="60" fillId="0" borderId="19" xfId="107" applyFill="1" applyBorder="1" applyAlignment="1">
      <alignment horizontal="left" wrapText="1"/>
    </xf>
    <xf numFmtId="2" fontId="31" fillId="2" borderId="0" xfId="107" applyNumberFormat="1" applyFont="1" applyFill="1" applyBorder="1"/>
    <xf numFmtId="0" fontId="60" fillId="0" borderId="19" xfId="107" applyFill="1" applyBorder="1" applyAlignment="1">
      <alignment wrapText="1"/>
    </xf>
    <xf numFmtId="0" fontId="60" fillId="0" borderId="19" xfId="107" applyFill="1" applyBorder="1" applyAlignment="1">
      <alignment horizontal="left"/>
    </xf>
    <xf numFmtId="168" fontId="11" fillId="0" borderId="19" xfId="107" applyNumberFormat="1" applyFont="1" applyFill="1" applyBorder="1"/>
    <xf numFmtId="4" fontId="31" fillId="0" borderId="0" xfId="107" applyNumberFormat="1" applyFont="1" applyFill="1"/>
    <xf numFmtId="0" fontId="60" fillId="0" borderId="68" xfId="107" applyFill="1" applyBorder="1"/>
    <xf numFmtId="0" fontId="60" fillId="0" borderId="17" xfId="107" applyFill="1" applyBorder="1" applyAlignment="1">
      <alignment horizontal="left"/>
    </xf>
    <xf numFmtId="2" fontId="60" fillId="0" borderId="17" xfId="107" applyNumberFormat="1" applyFill="1" applyBorder="1"/>
    <xf numFmtId="0" fontId="60" fillId="0" borderId="59" xfId="107" applyFill="1" applyBorder="1"/>
    <xf numFmtId="4" fontId="11" fillId="0" borderId="0" xfId="107" applyNumberFormat="1" applyFont="1" applyFill="1" applyBorder="1"/>
    <xf numFmtId="0" fontId="11" fillId="0" borderId="0" xfId="107" applyFont="1" applyBorder="1"/>
    <xf numFmtId="4" fontId="11" fillId="0" borderId="0" xfId="107" applyNumberFormat="1" applyFont="1" applyBorder="1"/>
    <xf numFmtId="2" fontId="11" fillId="0" borderId="0" xfId="107" applyNumberFormat="1" applyFont="1" applyFill="1" applyBorder="1"/>
    <xf numFmtId="2" fontId="31" fillId="0" borderId="0" xfId="107" applyNumberFormat="1" applyFont="1" applyFill="1" applyBorder="1"/>
    <xf numFmtId="0" fontId="11" fillId="0" borderId="19" xfId="107" applyFont="1" applyFill="1" applyBorder="1" applyAlignment="1">
      <alignment horizontal="left" wrapText="1"/>
    </xf>
    <xf numFmtId="0" fontId="60" fillId="0" borderId="52" xfId="107" applyBorder="1"/>
    <xf numFmtId="43" fontId="60" fillId="0" borderId="0" xfId="107" applyNumberFormat="1" applyFill="1"/>
    <xf numFmtId="43" fontId="31" fillId="0" borderId="0" xfId="107" applyNumberFormat="1" applyFont="1" applyFill="1"/>
    <xf numFmtId="0" fontId="36" fillId="0" borderId="0" xfId="0" applyFont="1" applyBorder="1" applyAlignment="1">
      <alignment horizontal="left" wrapText="1"/>
    </xf>
    <xf numFmtId="0" fontId="31" fillId="0" borderId="0" xfId="0" applyFont="1"/>
    <xf numFmtId="10" fontId="1" fillId="0" borderId="0" xfId="105" applyNumberFormat="1" applyFont="1" applyBorder="1"/>
    <xf numFmtId="167" fontId="0" fillId="0" borderId="26" xfId="0" applyNumberFormat="1" applyBorder="1"/>
    <xf numFmtId="1" fontId="11" fillId="0" borderId="0" xfId="0" applyNumberFormat="1" applyFont="1" applyBorder="1" applyAlignment="1">
      <alignment horizontal="right"/>
    </xf>
    <xf numFmtId="166" fontId="0" fillId="0" borderId="0" xfId="0" applyNumberFormat="1" applyFont="1" applyBorder="1"/>
    <xf numFmtId="1" fontId="0" fillId="0" borderId="0" xfId="0" applyNumberFormat="1" applyFont="1" applyBorder="1" applyAlignment="1">
      <alignment horizontal="right"/>
    </xf>
    <xf numFmtId="0" fontId="31" fillId="0" borderId="27" xfId="0" applyFont="1" applyBorder="1"/>
    <xf numFmtId="167" fontId="31" fillId="0" borderId="28" xfId="0" applyNumberFormat="1" applyFont="1" applyBorder="1"/>
    <xf numFmtId="167" fontId="31" fillId="0" borderId="29" xfId="0" applyNumberFormat="1" applyFont="1" applyBorder="1"/>
    <xf numFmtId="167" fontId="31" fillId="0" borderId="0" xfId="0" applyNumberFormat="1" applyFont="1" applyBorder="1"/>
    <xf numFmtId="2" fontId="31" fillId="0" borderId="0" xfId="0" applyNumberFormat="1" applyFont="1" applyBorder="1"/>
    <xf numFmtId="9" fontId="37" fillId="0" borderId="0" xfId="0" applyNumberFormat="1" applyFont="1" applyFill="1" applyBorder="1" applyAlignment="1">
      <alignment vertical="center"/>
    </xf>
    <xf numFmtId="10" fontId="37" fillId="0" borderId="0" xfId="0" applyNumberFormat="1" applyFont="1" applyBorder="1" applyAlignment="1">
      <alignment wrapText="1"/>
    </xf>
    <xf numFmtId="168" fontId="1" fillId="0" borderId="0" xfId="105" applyNumberFormat="1" applyFont="1" applyBorder="1"/>
    <xf numFmtId="9" fontId="0" fillId="0" borderId="0" xfId="0" applyNumberFormat="1" applyBorder="1"/>
    <xf numFmtId="168" fontId="0" fillId="0" borderId="0" xfId="0" applyNumberFormat="1" applyFont="1" applyBorder="1"/>
    <xf numFmtId="9" fontId="37" fillId="0" borderId="0" xfId="105" applyNumberFormat="1" applyFont="1" applyBorder="1"/>
    <xf numFmtId="167" fontId="36" fillId="0" borderId="21" xfId="0" applyNumberFormat="1" applyFont="1" applyBorder="1"/>
    <xf numFmtId="2" fontId="36" fillId="0" borderId="21" xfId="0" applyNumberFormat="1" applyFont="1" applyBorder="1"/>
    <xf numFmtId="167" fontId="36" fillId="0" borderId="33" xfId="0" applyNumberFormat="1" applyFont="1" applyBorder="1"/>
    <xf numFmtId="2" fontId="36" fillId="0" borderId="33" xfId="0" applyNumberFormat="1" applyFont="1" applyBorder="1"/>
    <xf numFmtId="0" fontId="36" fillId="0" borderId="35" xfId="0" applyFont="1" applyBorder="1"/>
    <xf numFmtId="10" fontId="36" fillId="0" borderId="13" xfId="0" applyNumberFormat="1" applyFont="1" applyBorder="1"/>
    <xf numFmtId="167" fontId="36" fillId="0" borderId="13" xfId="0" applyNumberFormat="1" applyFont="1" applyBorder="1"/>
    <xf numFmtId="0" fontId="0" fillId="0" borderId="37" xfId="0" applyBorder="1"/>
    <xf numFmtId="0" fontId="0" fillId="0" borderId="0" xfId="0" applyAlignment="1">
      <alignment wrapText="1"/>
    </xf>
    <xf numFmtId="0" fontId="31" fillId="0" borderId="0" xfId="0" applyFont="1" applyAlignment="1">
      <alignment vertical="center"/>
    </xf>
    <xf numFmtId="168" fontId="0" fillId="0" borderId="0" xfId="0" applyNumberFormat="1" applyBorder="1"/>
    <xf numFmtId="9" fontId="31" fillId="0" borderId="0" xfId="105" applyFont="1" applyBorder="1"/>
    <xf numFmtId="167" fontId="22" fillId="0" borderId="0" xfId="0" applyNumberFormat="1" applyFont="1" applyBorder="1"/>
    <xf numFmtId="9" fontId="36" fillId="0" borderId="0" xfId="0" applyNumberFormat="1" applyFont="1" applyBorder="1"/>
    <xf numFmtId="0" fontId="0" fillId="0" borderId="28" xfId="0" applyBorder="1"/>
    <xf numFmtId="167" fontId="11" fillId="0" borderId="0" xfId="0" applyNumberFormat="1" applyFont="1" applyBorder="1"/>
    <xf numFmtId="10" fontId="11" fillId="0" borderId="0" xfId="105" applyNumberFormat="1" applyFont="1" applyBorder="1"/>
    <xf numFmtId="0" fontId="11" fillId="0" borderId="0" xfId="0" applyFont="1" applyFill="1" applyBorder="1"/>
    <xf numFmtId="2" fontId="0" fillId="0" borderId="0" xfId="0" applyNumberFormat="1" applyBorder="1"/>
    <xf numFmtId="10" fontId="36" fillId="0" borderId="0" xfId="0" applyNumberFormat="1" applyFont="1" applyBorder="1"/>
    <xf numFmtId="164" fontId="31" fillId="0" borderId="0" xfId="0" applyNumberFormat="1" applyFont="1" applyBorder="1"/>
    <xf numFmtId="0" fontId="64" fillId="0" borderId="0" xfId="0" applyFont="1" applyAlignment="1">
      <alignment horizontal="center"/>
    </xf>
    <xf numFmtId="41" fontId="0" fillId="40" borderId="0" xfId="0" applyNumberFormat="1" applyFill="1" applyBorder="1"/>
    <xf numFmtId="41" fontId="0" fillId="39" borderId="0" xfId="0" applyNumberFormat="1" applyFill="1" applyBorder="1"/>
    <xf numFmtId="0" fontId="0" fillId="0" borderId="0" xfId="0" applyFont="1"/>
    <xf numFmtId="0" fontId="0" fillId="0" borderId="69" xfId="0" applyFont="1" applyBorder="1"/>
    <xf numFmtId="2" fontId="0" fillId="0" borderId="0" xfId="0" applyNumberFormat="1" applyFont="1"/>
    <xf numFmtId="4" fontId="0" fillId="0" borderId="0" xfId="0" applyNumberFormat="1" applyFont="1"/>
    <xf numFmtId="167" fontId="0" fillId="0" borderId="0" xfId="0" applyNumberFormat="1" applyFont="1"/>
    <xf numFmtId="3" fontId="0" fillId="0" borderId="0" xfId="0" applyNumberFormat="1" applyFont="1"/>
    <xf numFmtId="4" fontId="65" fillId="2" borderId="38" xfId="0" applyNumberFormat="1" applyFont="1" applyFill="1" applyBorder="1"/>
    <xf numFmtId="10" fontId="66" fillId="0" borderId="0" xfId="105" applyNumberFormat="1" applyFont="1" applyBorder="1"/>
    <xf numFmtId="169" fontId="66" fillId="0" borderId="0" xfId="0" applyNumberFormat="1" applyFont="1" applyBorder="1"/>
    <xf numFmtId="4" fontId="67" fillId="0" borderId="14" xfId="0" applyNumberFormat="1" applyFont="1" applyBorder="1"/>
    <xf numFmtId="2" fontId="67" fillId="0" borderId="13" xfId="0" applyNumberFormat="1" applyFont="1" applyBorder="1"/>
    <xf numFmtId="0" fontId="67" fillId="0" borderId="13" xfId="0" applyFont="1" applyBorder="1"/>
    <xf numFmtId="169" fontId="68" fillId="0" borderId="35" xfId="0" applyNumberFormat="1" applyFont="1" applyBorder="1"/>
    <xf numFmtId="4" fontId="67" fillId="0" borderId="0" xfId="0" applyNumberFormat="1" applyFont="1" applyBorder="1"/>
    <xf numFmtId="4" fontId="65" fillId="0" borderId="11" xfId="0" applyNumberFormat="1" applyFont="1" applyBorder="1"/>
    <xf numFmtId="2" fontId="68" fillId="0" borderId="10" xfId="0" applyNumberFormat="1" applyFont="1" applyBorder="1"/>
    <xf numFmtId="169" fontId="68" fillId="0" borderId="10" xfId="0" applyNumberFormat="1" applyFont="1" applyBorder="1"/>
    <xf numFmtId="10" fontId="68" fillId="0" borderId="10" xfId="0" applyNumberFormat="1" applyFont="1" applyBorder="1"/>
    <xf numFmtId="169" fontId="68" fillId="0" borderId="37" xfId="0" applyNumberFormat="1" applyFont="1" applyBorder="1"/>
    <xf numFmtId="3" fontId="65" fillId="0" borderId="25" xfId="0" applyNumberFormat="1" applyFont="1" applyFill="1" applyBorder="1"/>
    <xf numFmtId="169" fontId="68" fillId="0" borderId="24" xfId="0" applyNumberFormat="1" applyFont="1" applyBorder="1"/>
    <xf numFmtId="10" fontId="68" fillId="0" borderId="24" xfId="0" applyNumberFormat="1" applyFont="1" applyBorder="1"/>
    <xf numFmtId="169" fontId="68" fillId="0" borderId="23" xfId="0" applyNumberFormat="1" applyFont="1" applyBorder="1"/>
    <xf numFmtId="4" fontId="65" fillId="0" borderId="14" xfId="0" applyNumberFormat="1" applyFont="1" applyBorder="1"/>
    <xf numFmtId="2" fontId="68" fillId="0" borderId="13" xfId="0" applyNumberFormat="1" applyFont="1" applyBorder="1"/>
    <xf numFmtId="169" fontId="68" fillId="0" borderId="13" xfId="0" applyNumberFormat="1" applyFont="1" applyBorder="1"/>
    <xf numFmtId="167" fontId="65" fillId="0" borderId="34" xfId="0" applyNumberFormat="1" applyFont="1" applyBorder="1"/>
    <xf numFmtId="2" fontId="68" fillId="0" borderId="33" xfId="0" applyNumberFormat="1" applyFont="1" applyBorder="1"/>
    <xf numFmtId="167" fontId="68" fillId="0" borderId="33" xfId="0" applyNumberFormat="1" applyFont="1" applyBorder="1"/>
    <xf numFmtId="0" fontId="68" fillId="0" borderId="33" xfId="0" applyFont="1" applyBorder="1"/>
    <xf numFmtId="0" fontId="68" fillId="0" borderId="32" xfId="0" applyFont="1" applyBorder="1"/>
    <xf numFmtId="3" fontId="68" fillId="0" borderId="34" xfId="0" applyNumberFormat="1" applyFont="1" applyBorder="1"/>
    <xf numFmtId="167" fontId="67" fillId="0" borderId="12" xfId="0" applyNumberFormat="1" applyFont="1" applyBorder="1"/>
    <xf numFmtId="2" fontId="67" fillId="0" borderId="0" xfId="0" applyNumberFormat="1" applyFont="1" applyBorder="1"/>
    <xf numFmtId="10" fontId="69" fillId="0" borderId="0" xfId="0" applyNumberFormat="1" applyFont="1" applyFill="1" applyBorder="1"/>
    <xf numFmtId="10" fontId="67" fillId="0" borderId="0" xfId="105" applyNumberFormat="1" applyFont="1" applyBorder="1"/>
    <xf numFmtId="0" fontId="67" fillId="0" borderId="26" xfId="0" applyFont="1" applyFill="1" applyBorder="1"/>
    <xf numFmtId="167" fontId="65" fillId="0" borderId="31" xfId="0" applyNumberFormat="1" applyFont="1" applyBorder="1"/>
    <xf numFmtId="9" fontId="0" fillId="0" borderId="21" xfId="105" applyFont="1" applyFill="1" applyBorder="1"/>
    <xf numFmtId="167" fontId="68" fillId="0" borderId="21" xfId="0" applyNumberFormat="1" applyFont="1" applyBorder="1"/>
    <xf numFmtId="10" fontId="65" fillId="0" borderId="21" xfId="0" applyNumberFormat="1" applyFont="1" applyBorder="1"/>
    <xf numFmtId="0" fontId="68" fillId="0" borderId="30" xfId="0" applyFont="1" applyBorder="1"/>
    <xf numFmtId="167" fontId="65" fillId="0" borderId="12" xfId="0" applyNumberFormat="1" applyFont="1" applyBorder="1"/>
    <xf numFmtId="2" fontId="68" fillId="0" borderId="0" xfId="0" applyNumberFormat="1" applyFont="1" applyBorder="1"/>
    <xf numFmtId="167" fontId="68" fillId="0" borderId="0" xfId="0" applyNumberFormat="1" applyFont="1" applyBorder="1"/>
    <xf numFmtId="10" fontId="68" fillId="0" borderId="0" xfId="105" applyNumberFormat="1" applyFont="1" applyBorder="1"/>
    <xf numFmtId="0" fontId="68" fillId="0" borderId="26" xfId="0" applyFont="1" applyBorder="1"/>
    <xf numFmtId="2" fontId="69" fillId="0" borderId="0" xfId="0" applyNumberFormat="1" applyFont="1" applyFill="1" applyBorder="1" applyAlignment="1">
      <alignment wrapText="1"/>
    </xf>
    <xf numFmtId="10" fontId="69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/>
    <xf numFmtId="2" fontId="68" fillId="0" borderId="21" xfId="0" applyNumberFormat="1" applyFont="1" applyBorder="1"/>
    <xf numFmtId="10" fontId="68" fillId="0" borderId="21" xfId="105" applyNumberFormat="1" applyFont="1" applyBorder="1"/>
    <xf numFmtId="10" fontId="0" fillId="0" borderId="0" xfId="105" applyNumberFormat="1" applyFont="1" applyFill="1" applyBorder="1"/>
    <xf numFmtId="2" fontId="67" fillId="0" borderId="0" xfId="0" applyNumberFormat="1" applyFont="1" applyFill="1" applyBorder="1"/>
    <xf numFmtId="167" fontId="67" fillId="0" borderId="0" xfId="0" applyNumberFormat="1" applyFont="1" applyBorder="1"/>
    <xf numFmtId="1" fontId="0" fillId="0" borderId="0" xfId="0" applyNumberFormat="1" applyFont="1" applyBorder="1"/>
    <xf numFmtId="167" fontId="68" fillId="0" borderId="12" xfId="0" applyNumberFormat="1" applyFont="1" applyBorder="1"/>
    <xf numFmtId="0" fontId="67" fillId="0" borderId="0" xfId="0" applyFont="1" applyBorder="1"/>
    <xf numFmtId="0" fontId="67" fillId="0" borderId="26" xfId="0" applyFont="1" applyBorder="1"/>
    <xf numFmtId="167" fontId="68" fillId="0" borderId="71" xfId="0" applyNumberFormat="1" applyFont="1" applyBorder="1"/>
    <xf numFmtId="2" fontId="0" fillId="0" borderId="70" xfId="0" applyNumberFormat="1" applyFont="1" applyFill="1" applyBorder="1"/>
    <xf numFmtId="167" fontId="0" fillId="0" borderId="70" xfId="0" applyNumberFormat="1" applyFont="1" applyBorder="1"/>
    <xf numFmtId="9" fontId="65" fillId="0" borderId="70" xfId="0" applyNumberFormat="1" applyFont="1" applyBorder="1"/>
    <xf numFmtId="2" fontId="67" fillId="0" borderId="70" xfId="0" applyNumberFormat="1" applyFont="1" applyFill="1" applyBorder="1"/>
    <xf numFmtId="167" fontId="67" fillId="0" borderId="70" xfId="0" applyNumberFormat="1" applyFont="1" applyBorder="1"/>
    <xf numFmtId="10" fontId="65" fillId="0" borderId="28" xfId="105" applyNumberFormat="1" applyFont="1" applyBorder="1"/>
    <xf numFmtId="0" fontId="67" fillId="0" borderId="69" xfId="0" applyFont="1" applyBorder="1"/>
    <xf numFmtId="1" fontId="69" fillId="0" borderId="0" xfId="0" applyNumberFormat="1" applyFont="1" applyBorder="1"/>
    <xf numFmtId="10" fontId="69" fillId="0" borderId="0" xfId="0" applyNumberFormat="1" applyFont="1" applyBorder="1" applyAlignment="1">
      <alignment wrapText="1"/>
    </xf>
    <xf numFmtId="9" fontId="69" fillId="0" borderId="0" xfId="0" applyNumberFormat="1" applyFont="1" applyFill="1" applyBorder="1"/>
    <xf numFmtId="2" fontId="69" fillId="0" borderId="0" xfId="0" applyNumberFormat="1" applyFont="1" applyBorder="1"/>
    <xf numFmtId="9" fontId="69" fillId="0" borderId="0" xfId="0" applyNumberFormat="1" applyFont="1" applyFill="1" applyBorder="1" applyAlignment="1">
      <alignment vertical="center"/>
    </xf>
    <xf numFmtId="1" fontId="68" fillId="0" borderId="0" xfId="0" applyNumberFormat="1" applyFont="1" applyBorder="1"/>
    <xf numFmtId="0" fontId="68" fillId="0" borderId="0" xfId="0" applyFont="1" applyBorder="1"/>
    <xf numFmtId="2" fontId="65" fillId="0" borderId="0" xfId="0" applyNumberFormat="1" applyFont="1" applyBorder="1"/>
    <xf numFmtId="167" fontId="65" fillId="0" borderId="0" xfId="0" applyNumberFormat="1" applyFont="1" applyBorder="1"/>
    <xf numFmtId="0" fontId="65" fillId="0" borderId="0" xfId="0" applyFont="1" applyBorder="1"/>
    <xf numFmtId="0" fontId="65" fillId="0" borderId="26" xfId="0" applyFont="1" applyBorder="1"/>
    <xf numFmtId="167" fontId="65" fillId="0" borderId="71" xfId="0" applyNumberFormat="1" applyFont="1" applyBorder="1"/>
    <xf numFmtId="2" fontId="65" fillId="0" borderId="70" xfId="0" applyNumberFormat="1" applyFont="1" applyBorder="1"/>
    <xf numFmtId="167" fontId="65" fillId="0" borderId="70" xfId="0" applyNumberFormat="1" applyFont="1" applyBorder="1"/>
    <xf numFmtId="0" fontId="65" fillId="0" borderId="70" xfId="0" applyFont="1" applyBorder="1"/>
    <xf numFmtId="0" fontId="65" fillId="0" borderId="69" xfId="0" applyFont="1" applyBorder="1"/>
    <xf numFmtId="2" fontId="65" fillId="0" borderId="21" xfId="0" applyNumberFormat="1" applyFont="1" applyBorder="1"/>
    <xf numFmtId="2" fontId="0" fillId="0" borderId="0" xfId="0" applyNumberFormat="1" applyFont="1" applyFill="1" applyBorder="1"/>
    <xf numFmtId="167" fontId="66" fillId="0" borderId="0" xfId="0" applyNumberFormat="1" applyFont="1" applyBorder="1"/>
    <xf numFmtId="167" fontId="67" fillId="0" borderId="31" xfId="0" applyNumberFormat="1" applyFont="1" applyBorder="1"/>
    <xf numFmtId="2" fontId="67" fillId="0" borderId="21" xfId="0" applyNumberFormat="1" applyFont="1" applyBorder="1"/>
    <xf numFmtId="166" fontId="67" fillId="0" borderId="0" xfId="0" applyNumberFormat="1" applyFont="1" applyBorder="1"/>
    <xf numFmtId="166" fontId="67" fillId="0" borderId="26" xfId="0" applyNumberFormat="1" applyFont="1" applyBorder="1"/>
    <xf numFmtId="2" fontId="67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right"/>
    </xf>
    <xf numFmtId="167" fontId="67" fillId="0" borderId="26" xfId="0" applyNumberFormat="1" applyFont="1" applyBorder="1"/>
    <xf numFmtId="0" fontId="68" fillId="0" borderId="0" xfId="0" applyFont="1" applyBorder="1" applyAlignment="1">
      <alignment horizontal="left" wrapText="1"/>
    </xf>
    <xf numFmtId="169" fontId="68" fillId="0" borderId="0" xfId="0" applyNumberFormat="1" applyFont="1" applyBorder="1"/>
    <xf numFmtId="167" fontId="67" fillId="0" borderId="72" xfId="0" applyNumberFormat="1" applyFont="1" applyBorder="1"/>
    <xf numFmtId="3" fontId="65" fillId="0" borderId="31" xfId="0" applyNumberFormat="1" applyFont="1" applyBorder="1"/>
    <xf numFmtId="10" fontId="65" fillId="0" borderId="21" xfId="105" applyNumberFormat="1" applyFont="1" applyBorder="1"/>
    <xf numFmtId="10" fontId="65" fillId="0" borderId="0" xfId="105" applyNumberFormat="1" applyFont="1" applyBorder="1"/>
    <xf numFmtId="167" fontId="65" fillId="0" borderId="29" xfId="0" applyNumberFormat="1" applyFont="1" applyBorder="1"/>
    <xf numFmtId="4" fontId="70" fillId="0" borderId="0" xfId="0" applyNumberFormat="1" applyFont="1" applyBorder="1"/>
    <xf numFmtId="38" fontId="0" fillId="0" borderId="0" xfId="0" applyNumberFormat="1" applyFont="1"/>
    <xf numFmtId="0" fontId="0" fillId="41" borderId="0" xfId="0" applyFont="1" applyFill="1"/>
    <xf numFmtId="4" fontId="65" fillId="0" borderId="12" xfId="0" applyNumberFormat="1" applyFont="1" applyBorder="1"/>
    <xf numFmtId="10" fontId="68" fillId="0" borderId="0" xfId="0" applyNumberFormat="1" applyFont="1" applyBorder="1"/>
    <xf numFmtId="169" fontId="68" fillId="0" borderId="26" xfId="0" applyNumberFormat="1" applyFont="1" applyBorder="1"/>
    <xf numFmtId="10" fontId="65" fillId="0" borderId="70" xfId="0" applyNumberFormat="1" applyFont="1" applyBorder="1"/>
    <xf numFmtId="2" fontId="67" fillId="0" borderId="0" xfId="105" applyNumberFormat="1" applyFont="1" applyFill="1" applyBorder="1"/>
    <xf numFmtId="10" fontId="67" fillId="0" borderId="0" xfId="0" applyNumberFormat="1" applyFont="1" applyBorder="1"/>
    <xf numFmtId="167" fontId="65" fillId="0" borderId="79" xfId="0" applyNumberFormat="1" applyFont="1" applyBorder="1"/>
    <xf numFmtId="10" fontId="65" fillId="0" borderId="0" xfId="0" applyNumberFormat="1" applyFont="1" applyBorder="1"/>
    <xf numFmtId="2" fontId="67" fillId="0" borderId="21" xfId="105" applyNumberFormat="1" applyFont="1" applyFill="1" applyBorder="1"/>
    <xf numFmtId="0" fontId="67" fillId="0" borderId="0" xfId="0" applyFont="1"/>
    <xf numFmtId="10" fontId="35" fillId="0" borderId="0" xfId="0" applyNumberFormat="1" applyFont="1" applyAlignment="1">
      <alignment horizontal="center"/>
    </xf>
    <xf numFmtId="0" fontId="11" fillId="27" borderId="0" xfId="111" applyFont="1" applyFill="1"/>
    <xf numFmtId="0" fontId="33" fillId="27" borderId="0" xfId="111" applyFont="1" applyFill="1"/>
    <xf numFmtId="0" fontId="33" fillId="25" borderId="0" xfId="111" applyFont="1" applyFill="1"/>
    <xf numFmtId="0" fontId="33" fillId="28" borderId="0" xfId="111" applyFont="1" applyFill="1"/>
    <xf numFmtId="0" fontId="33" fillId="29" borderId="0" xfId="111" applyFont="1" applyFill="1"/>
    <xf numFmtId="0" fontId="33" fillId="42" borderId="0" xfId="111" applyFont="1" applyFill="1"/>
    <xf numFmtId="0" fontId="33" fillId="43" borderId="0" xfId="111" applyFont="1" applyFill="1"/>
    <xf numFmtId="0" fontId="31" fillId="0" borderId="0" xfId="75" applyFont="1"/>
    <xf numFmtId="0" fontId="11" fillId="0" borderId="0" xfId="75"/>
    <xf numFmtId="0" fontId="71" fillId="0" borderId="0" xfId="75" applyFont="1"/>
    <xf numFmtId="0" fontId="72" fillId="0" borderId="0" xfId="75" applyFont="1"/>
    <xf numFmtId="0" fontId="11" fillId="0" borderId="15" xfId="75" applyBorder="1"/>
    <xf numFmtId="0" fontId="11" fillId="0" borderId="16" xfId="75" applyBorder="1"/>
    <xf numFmtId="0" fontId="11" fillId="0" borderId="17" xfId="75" applyBorder="1"/>
    <xf numFmtId="0" fontId="11" fillId="0" borderId="18" xfId="75" applyBorder="1"/>
    <xf numFmtId="0" fontId="11" fillId="0" borderId="0" xfId="75" applyBorder="1" applyAlignment="1">
      <alignment horizontal="right"/>
    </xf>
    <xf numFmtId="0" fontId="11" fillId="0" borderId="0" xfId="75" applyBorder="1"/>
    <xf numFmtId="0" fontId="11" fillId="0" borderId="19" xfId="75" applyBorder="1"/>
    <xf numFmtId="0" fontId="54" fillId="0" borderId="19" xfId="75" applyFont="1" applyBorder="1" applyAlignment="1">
      <alignment horizontal="center"/>
    </xf>
    <xf numFmtId="165" fontId="11" fillId="0" borderId="19" xfId="75" applyNumberFormat="1" applyBorder="1" applyAlignment="1">
      <alignment horizontal="center"/>
    </xf>
    <xf numFmtId="0" fontId="11" fillId="0" borderId="19" xfId="75" applyBorder="1" applyAlignment="1">
      <alignment horizontal="center"/>
    </xf>
    <xf numFmtId="0" fontId="31" fillId="2" borderId="0" xfId="75" applyFont="1" applyFill="1" applyBorder="1" applyAlignment="1">
      <alignment horizontal="right"/>
    </xf>
    <xf numFmtId="10" fontId="31" fillId="2" borderId="19" xfId="87" applyNumberFormat="1" applyFont="1" applyFill="1" applyBorder="1" applyAlignment="1">
      <alignment horizontal="center"/>
    </xf>
    <xf numFmtId="0" fontId="11" fillId="0" borderId="20" xfId="75" applyBorder="1"/>
    <xf numFmtId="0" fontId="11" fillId="0" borderId="21" xfId="75" applyBorder="1"/>
    <xf numFmtId="0" fontId="11" fillId="0" borderId="22" xfId="75" applyBorder="1"/>
    <xf numFmtId="14" fontId="31" fillId="0" borderId="0" xfId="67" applyNumberFormat="1" applyFont="1"/>
    <xf numFmtId="165" fontId="11" fillId="0" borderId="0" xfId="75" applyNumberFormat="1" applyBorder="1"/>
    <xf numFmtId="0" fontId="31" fillId="0" borderId="0" xfId="67" applyFont="1"/>
    <xf numFmtId="10" fontId="59" fillId="0" borderId="0" xfId="63" applyNumberFormat="1" applyFont="1" applyFill="1" applyAlignment="1">
      <alignment horizontal="left"/>
    </xf>
    <xf numFmtId="0" fontId="11" fillId="0" borderId="0" xfId="63" applyFill="1" applyAlignment="1">
      <alignment horizontal="left" wrapText="1"/>
    </xf>
    <xf numFmtId="0" fontId="30" fillId="0" borderId="0" xfId="63" applyFont="1" applyFill="1" applyAlignment="1">
      <alignment horizontal="center" wrapText="1"/>
    </xf>
    <xf numFmtId="2" fontId="30" fillId="0" borderId="0" xfId="63" applyNumberFormat="1" applyFont="1" applyFill="1" applyAlignment="1">
      <alignment horizontal="center" wrapText="1"/>
    </xf>
    <xf numFmtId="0" fontId="11" fillId="0" borderId="0" xfId="63" applyFill="1" applyAlignment="1">
      <alignment wrapText="1"/>
    </xf>
    <xf numFmtId="44" fontId="11" fillId="0" borderId="0" xfId="40" applyFont="1" applyFill="1"/>
    <xf numFmtId="4" fontId="30" fillId="44" borderId="0" xfId="63" applyNumberFormat="1" applyFont="1" applyFill="1" applyAlignment="1">
      <alignment horizontal="center" wrapText="1"/>
    </xf>
    <xf numFmtId="2" fontId="11" fillId="44" borderId="0" xfId="63" applyNumberFormat="1" applyFill="1" applyAlignment="1">
      <alignment horizontal="center" vertical="center" wrapText="1"/>
    </xf>
    <xf numFmtId="44" fontId="11" fillId="44" borderId="0" xfId="63" applyNumberFormat="1" applyFill="1"/>
    <xf numFmtId="0" fontId="0" fillId="0" borderId="23" xfId="0" applyFill="1" applyBorder="1"/>
    <xf numFmtId="167" fontId="31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34" fillId="0" borderId="23" xfId="0" applyFont="1" applyBorder="1" applyAlignment="1">
      <alignment horizontal="left"/>
    </xf>
    <xf numFmtId="44" fontId="60" fillId="0" borderId="0" xfId="107" applyNumberFormat="1" applyFill="1"/>
    <xf numFmtId="0" fontId="73" fillId="0" borderId="0" xfId="107" applyFont="1" applyFill="1" applyAlignment="1">
      <alignment horizontal="left"/>
    </xf>
    <xf numFmtId="0" fontId="73" fillId="0" borderId="0" xfId="107" applyFont="1" applyFill="1" applyAlignment="1">
      <alignment horizontal="left" wrapText="1"/>
    </xf>
    <xf numFmtId="0" fontId="73" fillId="0" borderId="0" xfId="107" applyFont="1"/>
    <xf numFmtId="0" fontId="73" fillId="0" borderId="0" xfId="107" applyFont="1" applyAlignment="1">
      <alignment wrapText="1"/>
    </xf>
    <xf numFmtId="0" fontId="73" fillId="0" borderId="0" xfId="107" applyFont="1" applyFill="1"/>
    <xf numFmtId="0" fontId="73" fillId="0" borderId="0" xfId="107" applyFont="1" applyFill="1" applyAlignment="1">
      <alignment wrapText="1"/>
    </xf>
    <xf numFmtId="10" fontId="73" fillId="0" borderId="0" xfId="107" applyNumberFormat="1" applyFont="1" applyFill="1"/>
    <xf numFmtId="2" fontId="73" fillId="0" borderId="0" xfId="107" applyNumberFormat="1" applyFont="1" applyFill="1"/>
    <xf numFmtId="0" fontId="74" fillId="0" borderId="0" xfId="107" applyFont="1" applyBorder="1"/>
    <xf numFmtId="0" fontId="74" fillId="0" borderId="0" xfId="107" applyFont="1"/>
    <xf numFmtId="174" fontId="74" fillId="0" borderId="0" xfId="107" applyNumberFormat="1" applyFont="1"/>
    <xf numFmtId="0" fontId="29" fillId="0" borderId="0" xfId="107" applyFont="1" applyFill="1" applyAlignment="1">
      <alignment horizontal="left"/>
    </xf>
    <xf numFmtId="0" fontId="29" fillId="0" borderId="37" xfId="107" applyFont="1" applyBorder="1"/>
    <xf numFmtId="0" fontId="74" fillId="0" borderId="10" xfId="107" applyFont="1" applyBorder="1"/>
    <xf numFmtId="0" fontId="74" fillId="0" borderId="11" xfId="107" applyFont="1" applyBorder="1"/>
    <xf numFmtId="0" fontId="29" fillId="0" borderId="42" xfId="107" applyFont="1" applyFill="1" applyBorder="1" applyAlignment="1"/>
    <xf numFmtId="0" fontId="74" fillId="0" borderId="77" xfId="107" applyFont="1" applyFill="1" applyBorder="1" applyAlignment="1">
      <alignment horizontal="left"/>
    </xf>
    <xf numFmtId="0" fontId="74" fillId="0" borderId="77" xfId="107" applyFont="1" applyFill="1" applyBorder="1" applyAlignment="1">
      <alignment horizontal="center"/>
    </xf>
    <xf numFmtId="2" fontId="74" fillId="0" borderId="77" xfId="107" applyNumberFormat="1" applyFont="1" applyFill="1" applyBorder="1" applyAlignment="1">
      <alignment horizontal="center"/>
    </xf>
    <xf numFmtId="4" fontId="74" fillId="0" borderId="77" xfId="107" applyNumberFormat="1" applyFont="1" applyFill="1" applyBorder="1" applyAlignment="1">
      <alignment horizontal="center"/>
    </xf>
    <xf numFmtId="0" fontId="74" fillId="0" borderId="29" xfId="107" applyFont="1" applyFill="1" applyBorder="1" applyAlignment="1">
      <alignment horizontal="center"/>
    </xf>
    <xf numFmtId="0" fontId="74" fillId="0" borderId="0" xfId="107" applyFont="1" applyFill="1" applyBorder="1"/>
    <xf numFmtId="172" fontId="29" fillId="0" borderId="58" xfId="109" applyNumberFormat="1" applyFont="1" applyFill="1" applyBorder="1"/>
    <xf numFmtId="172" fontId="74" fillId="0" borderId="17" xfId="109" applyNumberFormat="1" applyFont="1" applyFill="1" applyBorder="1" applyAlignment="1">
      <alignment horizontal="left"/>
    </xf>
    <xf numFmtId="171" fontId="74" fillId="0" borderId="19" xfId="109" applyNumberFormat="1" applyFont="1" applyFill="1" applyBorder="1"/>
    <xf numFmtId="2" fontId="74" fillId="0" borderId="19" xfId="109" applyNumberFormat="1" applyFont="1" applyFill="1" applyBorder="1"/>
    <xf numFmtId="4" fontId="74" fillId="0" borderId="19" xfId="109" applyNumberFormat="1" applyFont="1" applyFill="1" applyBorder="1"/>
    <xf numFmtId="0" fontId="74" fillId="0" borderId="12" xfId="107" applyFont="1" applyFill="1" applyBorder="1"/>
    <xf numFmtId="172" fontId="74" fillId="0" borderId="60" xfId="109" applyNumberFormat="1" applyFont="1" applyFill="1" applyBorder="1" applyAlignment="1">
      <alignment horizontal="left"/>
    </xf>
    <xf numFmtId="171" fontId="74" fillId="0" borderId="22" xfId="109" applyNumberFormat="1" applyFont="1" applyFill="1" applyBorder="1"/>
    <xf numFmtId="2" fontId="74" fillId="0" borderId="22" xfId="109" applyNumberFormat="1" applyFont="1" applyFill="1" applyBorder="1"/>
    <xf numFmtId="4" fontId="74" fillId="0" borderId="22" xfId="109" applyNumberFormat="1" applyFont="1" applyFill="1" applyBorder="1"/>
    <xf numFmtId="10" fontId="74" fillId="0" borderId="31" xfId="107" applyNumberFormat="1" applyFont="1" applyFill="1" applyBorder="1"/>
    <xf numFmtId="172" fontId="74" fillId="0" borderId="41" xfId="109" applyNumberFormat="1" applyFont="1" applyFill="1" applyBorder="1"/>
    <xf numFmtId="172" fontId="74" fillId="0" borderId="22" xfId="109" applyNumberFormat="1" applyFont="1" applyFill="1" applyBorder="1"/>
    <xf numFmtId="172" fontId="29" fillId="0" borderId="41" xfId="109" applyNumberFormat="1" applyFont="1" applyFill="1" applyBorder="1"/>
    <xf numFmtId="172" fontId="74" fillId="0" borderId="22" xfId="109" applyNumberFormat="1" applyFont="1" applyFill="1" applyBorder="1" applyAlignment="1">
      <alignment horizontal="left"/>
    </xf>
    <xf numFmtId="9" fontId="74" fillId="0" borderId="22" xfId="108" applyFont="1" applyFill="1" applyBorder="1"/>
    <xf numFmtId="172" fontId="74" fillId="0" borderId="42" xfId="109" applyNumberFormat="1" applyFont="1" applyFill="1" applyBorder="1"/>
    <xf numFmtId="0" fontId="74" fillId="0" borderId="28" xfId="107" applyFont="1" applyBorder="1"/>
    <xf numFmtId="4" fontId="74" fillId="0" borderId="28" xfId="107" applyNumberFormat="1" applyFont="1" applyBorder="1"/>
    <xf numFmtId="10" fontId="74" fillId="0" borderId="29" xfId="107" applyNumberFormat="1" applyFont="1" applyFill="1" applyBorder="1"/>
    <xf numFmtId="172" fontId="74" fillId="0" borderId="58" xfId="109" applyNumberFormat="1" applyFont="1" applyFill="1" applyBorder="1"/>
    <xf numFmtId="172" fontId="74" fillId="0" borderId="19" xfId="109" applyNumberFormat="1" applyFont="1" applyFill="1" applyBorder="1" applyAlignment="1">
      <alignment horizontal="left"/>
    </xf>
    <xf numFmtId="9" fontId="74" fillId="0" borderId="19" xfId="109" applyNumberFormat="1" applyFont="1" applyFill="1" applyBorder="1"/>
    <xf numFmtId="10" fontId="74" fillId="0" borderId="12" xfId="107" applyNumberFormat="1" applyFont="1" applyFill="1" applyBorder="1"/>
    <xf numFmtId="172" fontId="75" fillId="0" borderId="42" xfId="109" applyNumberFormat="1" applyFont="1" applyFill="1" applyBorder="1"/>
    <xf numFmtId="172" fontId="75" fillId="0" borderId="77" xfId="109" applyNumberFormat="1" applyFont="1" applyFill="1" applyBorder="1" applyAlignment="1">
      <alignment horizontal="left"/>
    </xf>
    <xf numFmtId="171" fontId="75" fillId="0" borderId="77" xfId="109" applyNumberFormat="1" applyFont="1" applyFill="1" applyBorder="1"/>
    <xf numFmtId="2" fontId="75" fillId="0" borderId="77" xfId="109" applyNumberFormat="1" applyFont="1" applyFill="1" applyBorder="1"/>
    <xf numFmtId="4" fontId="75" fillId="0" borderId="77" xfId="109" applyNumberFormat="1" applyFont="1" applyFill="1" applyBorder="1"/>
    <xf numFmtId="0" fontId="29" fillId="0" borderId="58" xfId="107" applyFont="1" applyFill="1" applyBorder="1"/>
    <xf numFmtId="0" fontId="74" fillId="0" borderId="60" xfId="107" applyFont="1" applyFill="1" applyBorder="1" applyAlignment="1">
      <alignment horizontal="left"/>
    </xf>
    <xf numFmtId="168" fontId="74" fillId="0" borderId="22" xfId="107" applyNumberFormat="1" applyFont="1" applyFill="1" applyBorder="1"/>
    <xf numFmtId="2" fontId="74" fillId="0" borderId="22" xfId="107" applyNumberFormat="1" applyFont="1" applyFill="1" applyBorder="1"/>
    <xf numFmtId="4" fontId="74" fillId="0" borderId="22" xfId="107" applyNumberFormat="1" applyFont="1" applyFill="1" applyBorder="1"/>
    <xf numFmtId="0" fontId="74" fillId="0" borderId="41" xfId="107" applyFont="1" applyFill="1" applyBorder="1"/>
    <xf numFmtId="0" fontId="74" fillId="0" borderId="60" xfId="107" applyFont="1" applyFill="1" applyBorder="1"/>
    <xf numFmtId="0" fontId="74" fillId="0" borderId="22" xfId="107" applyFont="1" applyFill="1" applyBorder="1"/>
    <xf numFmtId="0" fontId="74" fillId="0" borderId="58" xfId="107" applyFont="1" applyBorder="1" applyAlignment="1">
      <alignment horizontal="left" indent="1"/>
    </xf>
    <xf numFmtId="0" fontId="74" fillId="0" borderId="19" xfId="107" applyFont="1" applyBorder="1" applyAlignment="1">
      <alignment horizontal="left"/>
    </xf>
    <xf numFmtId="44" fontId="74" fillId="0" borderId="19" xfId="110" applyFont="1" applyBorder="1"/>
    <xf numFmtId="2" fontId="74" fillId="0" borderId="19" xfId="107" applyNumberFormat="1" applyFont="1" applyBorder="1"/>
    <xf numFmtId="4" fontId="74" fillId="0" borderId="19" xfId="107" applyNumberFormat="1" applyFont="1" applyFill="1" applyBorder="1"/>
    <xf numFmtId="0" fontId="29" fillId="0" borderId="41" xfId="107" applyFont="1" applyBorder="1" applyAlignment="1"/>
    <xf numFmtId="0" fontId="74" fillId="0" borderId="22" xfId="107" applyFont="1" applyBorder="1" applyAlignment="1">
      <alignment horizontal="left"/>
    </xf>
    <xf numFmtId="0" fontId="76" fillId="0" borderId="22" xfId="107" applyFont="1" applyBorder="1" applyAlignment="1"/>
    <xf numFmtId="2" fontId="74" fillId="0" borderId="22" xfId="107" applyNumberFormat="1" applyFont="1" applyBorder="1"/>
    <xf numFmtId="0" fontId="74" fillId="0" borderId="26" xfId="107" applyFont="1" applyBorder="1" applyAlignment="1">
      <alignment horizontal="left" indent="1"/>
    </xf>
    <xf numFmtId="0" fontId="74" fillId="0" borderId="0" xfId="107" applyFont="1" applyBorder="1" applyAlignment="1">
      <alignment horizontal="left"/>
    </xf>
    <xf numFmtId="2" fontId="74" fillId="0" borderId="0" xfId="107" applyNumberFormat="1" applyFont="1" applyFill="1" applyBorder="1"/>
    <xf numFmtId="4" fontId="74" fillId="0" borderId="0" xfId="107" applyNumberFormat="1" applyFont="1" applyFill="1" applyBorder="1"/>
    <xf numFmtId="2" fontId="77" fillId="0" borderId="26" xfId="107" applyNumberFormat="1" applyFont="1" applyBorder="1"/>
    <xf numFmtId="0" fontId="77" fillId="0" borderId="0" xfId="107" applyFont="1" applyBorder="1" applyAlignment="1">
      <alignment horizontal="left"/>
    </xf>
    <xf numFmtId="0" fontId="74" fillId="0" borderId="35" xfId="107" applyFont="1" applyBorder="1"/>
    <xf numFmtId="0" fontId="74" fillId="0" borderId="13" xfId="107" applyFont="1" applyBorder="1"/>
    <xf numFmtId="10" fontId="74" fillId="0" borderId="13" xfId="107" applyNumberFormat="1" applyFont="1" applyBorder="1"/>
    <xf numFmtId="44" fontId="29" fillId="33" borderId="14" xfId="107" applyNumberFormat="1" applyFont="1" applyFill="1" applyBorder="1"/>
    <xf numFmtId="0" fontId="29" fillId="0" borderId="0" xfId="107" applyFont="1" applyBorder="1"/>
    <xf numFmtId="4" fontId="29" fillId="0" borderId="0" xfId="107" applyNumberFormat="1" applyFont="1" applyBorder="1"/>
    <xf numFmtId="10" fontId="29" fillId="0" borderId="31" xfId="107" applyNumberFormat="1" applyFont="1" applyFill="1" applyBorder="1"/>
    <xf numFmtId="10" fontId="75" fillId="0" borderId="29" xfId="107" applyNumberFormat="1" applyFont="1" applyFill="1" applyBorder="1"/>
    <xf numFmtId="2" fontId="29" fillId="2" borderId="13" xfId="107" applyNumberFormat="1" applyFont="1" applyFill="1" applyBorder="1"/>
    <xf numFmtId="172" fontId="29" fillId="0" borderId="42" xfId="109" applyNumberFormat="1" applyFont="1" applyFill="1" applyBorder="1"/>
    <xf numFmtId="172" fontId="29" fillId="0" borderId="77" xfId="109" applyNumberFormat="1" applyFont="1" applyFill="1" applyBorder="1" applyAlignment="1">
      <alignment horizontal="left"/>
    </xf>
    <xf numFmtId="171" fontId="29" fillId="0" borderId="77" xfId="109" applyNumberFormat="1" applyFont="1" applyFill="1" applyBorder="1"/>
    <xf numFmtId="2" fontId="29" fillId="0" borderId="77" xfId="109" applyNumberFormat="1" applyFont="1" applyFill="1" applyBorder="1"/>
    <xf numFmtId="4" fontId="29" fillId="0" borderId="77" xfId="109" applyNumberFormat="1" applyFont="1" applyFill="1" applyBorder="1"/>
    <xf numFmtId="10" fontId="29" fillId="0" borderId="29" xfId="107" applyNumberFormat="1" applyFont="1" applyFill="1" applyBorder="1"/>
    <xf numFmtId="44" fontId="74" fillId="33" borderId="14" xfId="107" applyNumberFormat="1" applyFont="1" applyFill="1" applyBorder="1"/>
    <xf numFmtId="0" fontId="31" fillId="0" borderId="10" xfId="107" applyFont="1" applyBorder="1" applyAlignment="1"/>
    <xf numFmtId="0" fontId="41" fillId="0" borderId="0" xfId="0" applyFont="1" applyBorder="1" applyAlignment="1">
      <alignment horizontal="right"/>
    </xf>
    <xf numFmtId="10" fontId="43" fillId="0" borderId="24" xfId="89" applyNumberFormat="1" applyFont="1" applyFill="1" applyBorder="1" applyAlignment="1">
      <alignment horizontal="right"/>
    </xf>
    <xf numFmtId="0" fontId="40" fillId="0" borderId="26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6" fontId="40" fillId="0" borderId="0" xfId="0" applyNumberFormat="1" applyFont="1" applyBorder="1"/>
    <xf numFmtId="6" fontId="40" fillId="0" borderId="12" xfId="0" applyNumberFormat="1" applyFont="1" applyBorder="1"/>
    <xf numFmtId="6" fontId="2" fillId="0" borderId="57" xfId="0" applyNumberFormat="1" applyFont="1" applyBorder="1"/>
    <xf numFmtId="6" fontId="40" fillId="0" borderId="57" xfId="0" applyNumberFormat="1" applyFont="1" applyBorder="1"/>
    <xf numFmtId="6" fontId="2" fillId="0" borderId="12" xfId="0" applyNumberFormat="1" applyFont="1" applyBorder="1"/>
    <xf numFmtId="6" fontId="40" fillId="0" borderId="29" xfId="0" applyNumberFormat="1" applyFont="1" applyBorder="1"/>
    <xf numFmtId="7" fontId="40" fillId="44" borderId="64" xfId="0" applyNumberFormat="1" applyFont="1" applyFill="1" applyBorder="1"/>
    <xf numFmtId="0" fontId="67" fillId="0" borderId="0" xfId="65" applyFont="1" applyFill="1" applyBorder="1"/>
    <xf numFmtId="3" fontId="67" fillId="0" borderId="0" xfId="65" applyNumberFormat="1" applyFont="1" applyFill="1" applyBorder="1"/>
    <xf numFmtId="0" fontId="1" fillId="0" borderId="0" xfId="65" applyFont="1" applyFill="1" applyBorder="1" applyAlignment="1">
      <alignment horizontal="left"/>
    </xf>
    <xf numFmtId="14" fontId="79" fillId="0" borderId="0" xfId="65" applyNumberFormat="1" applyFont="1" applyFill="1" applyBorder="1" applyAlignment="1">
      <alignment horizontal="left"/>
    </xf>
    <xf numFmtId="0" fontId="1" fillId="0" borderId="0" xfId="65" applyFont="1" applyFill="1"/>
    <xf numFmtId="0" fontId="1" fillId="0" borderId="0" xfId="65" applyFont="1" applyFill="1" applyBorder="1"/>
    <xf numFmtId="0" fontId="31" fillId="0" borderId="12" xfId="0" applyFont="1" applyBorder="1" applyAlignment="1">
      <alignment horizontal="center"/>
    </xf>
    <xf numFmtId="168" fontId="36" fillId="0" borderId="12" xfId="105" applyNumberFormat="1" applyFont="1" applyBorder="1"/>
    <xf numFmtId="0" fontId="0" fillId="0" borderId="61" xfId="0" applyBorder="1"/>
    <xf numFmtId="2" fontId="36" fillId="31" borderId="0" xfId="0" applyNumberFormat="1" applyFont="1" applyFill="1" applyBorder="1"/>
    <xf numFmtId="169" fontId="11" fillId="0" borderId="12" xfId="0" applyNumberFormat="1" applyFont="1" applyBorder="1"/>
    <xf numFmtId="167" fontId="11" fillId="0" borderId="0" xfId="107" applyNumberFormat="1" applyFont="1" applyBorder="1"/>
    <xf numFmtId="167" fontId="36" fillId="0" borderId="28" xfId="107" applyNumberFormat="1" applyFont="1" applyBorder="1"/>
    <xf numFmtId="167" fontId="22" fillId="0" borderId="0" xfId="107" applyNumberFormat="1" applyFont="1" applyBorder="1"/>
    <xf numFmtId="167" fontId="11" fillId="0" borderId="21" xfId="107" applyNumberFormat="1" applyFont="1" applyBorder="1"/>
    <xf numFmtId="167" fontId="31" fillId="0" borderId="33" xfId="107" applyNumberFormat="1" applyFont="1" applyBorder="1"/>
    <xf numFmtId="167" fontId="36" fillId="0" borderId="61" xfId="107" applyNumberFormat="1" applyFont="1" applyBorder="1"/>
    <xf numFmtId="167" fontId="60" fillId="0" borderId="61" xfId="107" applyNumberFormat="1" applyFont="1" applyBorder="1"/>
    <xf numFmtId="167" fontId="31" fillId="0" borderId="61" xfId="107" applyNumberFormat="1" applyFont="1" applyBorder="1"/>
    <xf numFmtId="167" fontId="11" fillId="0" borderId="61" xfId="107" applyNumberFormat="1" applyFont="1" applyBorder="1"/>
    <xf numFmtId="167" fontId="36" fillId="0" borderId="82" xfId="107" applyNumberFormat="1" applyFont="1" applyBorder="1"/>
    <xf numFmtId="167" fontId="22" fillId="0" borderId="61" xfId="107" applyNumberFormat="1" applyFont="1" applyBorder="1"/>
    <xf numFmtId="167" fontId="11" fillId="0" borderId="51" xfId="107" applyNumberFormat="1" applyFont="1" applyBorder="1"/>
    <xf numFmtId="167" fontId="31" fillId="0" borderId="83" xfId="107" applyNumberFormat="1" applyFont="1" applyBorder="1"/>
    <xf numFmtId="0" fontId="31" fillId="0" borderId="37" xfId="107" applyFont="1" applyBorder="1" applyAlignment="1"/>
    <xf numFmtId="0" fontId="31" fillId="0" borderId="11" xfId="107" applyFont="1" applyBorder="1" applyAlignment="1"/>
    <xf numFmtId="6" fontId="11" fillId="0" borderId="19" xfId="109" applyNumberFormat="1" applyFont="1" applyFill="1" applyBorder="1"/>
    <xf numFmtId="6" fontId="11" fillId="0" borderId="22" xfId="109" applyNumberFormat="1" applyFont="1" applyFill="1" applyBorder="1"/>
    <xf numFmtId="6" fontId="11" fillId="0" borderId="0" xfId="109" applyNumberFormat="1" applyFont="1" applyFill="1" applyBorder="1"/>
    <xf numFmtId="10" fontId="60" fillId="0" borderId="0" xfId="105" applyNumberFormat="1" applyFont="1" applyFill="1"/>
    <xf numFmtId="0" fontId="11" fillId="0" borderId="0" xfId="107" applyFont="1" applyFill="1"/>
    <xf numFmtId="6" fontId="11" fillId="0" borderId="21" xfId="109" applyNumberFormat="1" applyFont="1" applyFill="1" applyBorder="1"/>
    <xf numFmtId="6" fontId="11" fillId="0" borderId="0" xfId="107" applyNumberFormat="1" applyFont="1" applyFill="1" applyBorder="1"/>
    <xf numFmtId="6" fontId="60" fillId="0" borderId="0" xfId="107" applyNumberFormat="1" applyFill="1" applyBorder="1"/>
    <xf numFmtId="6" fontId="60" fillId="0" borderId="21" xfId="107" applyNumberFormat="1" applyFill="1" applyBorder="1"/>
    <xf numFmtId="4" fontId="11" fillId="0" borderId="58" xfId="109" applyNumberFormat="1" applyFont="1" applyFill="1" applyBorder="1"/>
    <xf numFmtId="4" fontId="11" fillId="0" borderId="12" xfId="109" applyNumberFormat="1" applyFont="1" applyFill="1" applyBorder="1"/>
    <xf numFmtId="4" fontId="11" fillId="0" borderId="41" xfId="109" applyNumberFormat="1" applyFont="1" applyFill="1" applyBorder="1"/>
    <xf numFmtId="4" fontId="11" fillId="0" borderId="31" xfId="109" applyNumberFormat="1" applyFont="1" applyFill="1" applyBorder="1"/>
    <xf numFmtId="4" fontId="11" fillId="0" borderId="58" xfId="107" applyNumberFormat="1" applyFont="1" applyFill="1" applyBorder="1"/>
    <xf numFmtId="4" fontId="60" fillId="0" borderId="58" xfId="107" applyNumberFormat="1" applyFill="1" applyBorder="1"/>
    <xf numFmtId="4" fontId="60" fillId="0" borderId="90" xfId="107" applyNumberFormat="1" applyFill="1" applyBorder="1"/>
    <xf numFmtId="6" fontId="11" fillId="0" borderId="12" xfId="109" applyNumberFormat="1" applyFont="1" applyFill="1" applyBorder="1"/>
    <xf numFmtId="10" fontId="60" fillId="0" borderId="0" xfId="105" applyNumberFormat="1" applyFont="1" applyFill="1" applyAlignment="1">
      <alignment horizontal="center"/>
    </xf>
    <xf numFmtId="6" fontId="11" fillId="0" borderId="37" xfId="109" applyNumberFormat="1" applyFont="1" applyFill="1" applyBorder="1"/>
    <xf numFmtId="6" fontId="11" fillId="0" borderId="26" xfId="109" applyNumberFormat="1" applyFont="1" applyFill="1" applyBorder="1"/>
    <xf numFmtId="6" fontId="11" fillId="0" borderId="30" xfId="109" applyNumberFormat="1" applyFont="1" applyFill="1" applyBorder="1"/>
    <xf numFmtId="6" fontId="11" fillId="0" borderId="31" xfId="109" applyNumberFormat="1" applyFont="1" applyFill="1" applyBorder="1"/>
    <xf numFmtId="6" fontId="31" fillId="0" borderId="83" xfId="109" applyNumberFormat="1" applyFont="1" applyFill="1" applyBorder="1"/>
    <xf numFmtId="6" fontId="11" fillId="0" borderId="12" xfId="107" applyNumberFormat="1" applyFont="1" applyFill="1" applyBorder="1"/>
    <xf numFmtId="6" fontId="60" fillId="0" borderId="12" xfId="107" applyNumberFormat="1" applyFill="1" applyBorder="1"/>
    <xf numFmtId="6" fontId="11" fillId="0" borderId="27" xfId="109" applyNumberFormat="1" applyFont="1" applyFill="1" applyBorder="1"/>
    <xf numFmtId="6" fontId="11" fillId="0" borderId="92" xfId="109" applyNumberFormat="1" applyFont="1" applyFill="1" applyBorder="1"/>
    <xf numFmtId="6" fontId="11" fillId="0" borderId="61" xfId="109" applyNumberFormat="1" applyFont="1" applyFill="1" applyBorder="1"/>
    <xf numFmtId="6" fontId="11" fillId="0" borderId="51" xfId="109" applyNumberFormat="1" applyFont="1" applyFill="1" applyBorder="1"/>
    <xf numFmtId="0" fontId="11" fillId="0" borderId="68" xfId="107" applyFont="1" applyBorder="1"/>
    <xf numFmtId="4" fontId="11" fillId="0" borderId="68" xfId="107" applyNumberFormat="1" applyFont="1" applyBorder="1"/>
    <xf numFmtId="0" fontId="11" fillId="0" borderId="23" xfId="107" applyFont="1" applyFill="1" applyBorder="1"/>
    <xf numFmtId="0" fontId="31" fillId="47" borderId="25" xfId="107" applyFont="1" applyFill="1" applyBorder="1"/>
    <xf numFmtId="8" fontId="31" fillId="2" borderId="38" xfId="107" applyNumberFormat="1" applyFont="1" applyFill="1" applyBorder="1"/>
    <xf numFmtId="8" fontId="11" fillId="47" borderId="38" xfId="107" applyNumberFormat="1" applyFont="1" applyFill="1" applyBorder="1"/>
    <xf numFmtId="167" fontId="60" fillId="0" borderId="92" xfId="107" applyNumberFormat="1" applyFont="1" applyBorder="1"/>
    <xf numFmtId="167" fontId="60" fillId="0" borderId="37" xfId="107" applyNumberFormat="1" applyFont="1" applyBorder="1"/>
    <xf numFmtId="167" fontId="31" fillId="0" borderId="26" xfId="107" applyNumberFormat="1" applyFont="1" applyBorder="1"/>
    <xf numFmtId="167" fontId="36" fillId="0" borderId="26" xfId="107" applyNumberFormat="1" applyFont="1" applyBorder="1"/>
    <xf numFmtId="167" fontId="11" fillId="0" borderId="26" xfId="107" applyNumberFormat="1" applyFont="1" applyBorder="1"/>
    <xf numFmtId="167" fontId="36" fillId="0" borderId="27" xfId="107" applyNumberFormat="1" applyFont="1" applyBorder="1"/>
    <xf numFmtId="167" fontId="22" fillId="0" borderId="26" xfId="107" applyNumberFormat="1" applyFont="1" applyBorder="1"/>
    <xf numFmtId="167" fontId="11" fillId="0" borderId="30" xfId="107" applyNumberFormat="1" applyFont="1" applyBorder="1"/>
    <xf numFmtId="167" fontId="31" fillId="0" borderId="32" xfId="107" applyNumberFormat="1" applyFont="1" applyBorder="1"/>
    <xf numFmtId="2" fontId="11" fillId="0" borderId="26" xfId="107" applyNumberFormat="1" applyFont="1" applyBorder="1"/>
    <xf numFmtId="2" fontId="31" fillId="0" borderId="35" xfId="107" applyNumberFormat="1" applyFont="1" applyBorder="1"/>
    <xf numFmtId="0" fontId="60" fillId="0" borderId="61" xfId="107" applyBorder="1"/>
    <xf numFmtId="2" fontId="11" fillId="0" borderId="61" xfId="107" applyNumberFormat="1" applyFont="1" applyBorder="1"/>
    <xf numFmtId="167" fontId="31" fillId="0" borderId="30" xfId="107" applyNumberFormat="1" applyFont="1" applyBorder="1"/>
    <xf numFmtId="167" fontId="31" fillId="0" borderId="51" xfId="107" applyNumberFormat="1" applyFont="1" applyBorder="1"/>
    <xf numFmtId="2" fontId="11" fillId="0" borderId="0" xfId="107" applyNumberFormat="1" applyFont="1" applyBorder="1"/>
    <xf numFmtId="167" fontId="60" fillId="0" borderId="30" xfId="107" applyNumberFormat="1" applyFont="1" applyBorder="1"/>
    <xf numFmtId="167" fontId="60" fillId="0" borderId="51" xfId="107" applyNumberFormat="1" applyFont="1" applyBorder="1"/>
    <xf numFmtId="2" fontId="31" fillId="47" borderId="13" xfId="107" applyNumberFormat="1" applyFont="1" applyFill="1" applyBorder="1"/>
    <xf numFmtId="2" fontId="31" fillId="47" borderId="81" xfId="107" applyNumberFormat="1" applyFont="1" applyFill="1" applyBorder="1"/>
    <xf numFmtId="10" fontId="60" fillId="0" borderId="0" xfId="107" applyNumberFormat="1"/>
    <xf numFmtId="0" fontId="41" fillId="0" borderId="54" xfId="0" applyFont="1" applyBorder="1" applyAlignment="1">
      <alignment horizontal="right"/>
    </xf>
    <xf numFmtId="0" fontId="40" fillId="0" borderId="0" xfId="0" applyFont="1" applyFill="1" applyBorder="1"/>
    <xf numFmtId="39" fontId="40" fillId="0" borderId="0" xfId="0" applyNumberFormat="1" applyFont="1" applyFill="1" applyBorder="1"/>
    <xf numFmtId="7" fontId="40" fillId="0" borderId="0" xfId="0" applyNumberFormat="1" applyFont="1" applyFill="1" applyBorder="1"/>
    <xf numFmtId="0" fontId="40" fillId="0" borderId="0" xfId="0" applyFont="1" applyFill="1" applyBorder="1" applyAlignment="1">
      <alignment horizontal="left"/>
    </xf>
    <xf numFmtId="0" fontId="34" fillId="0" borderId="38" xfId="0" applyFont="1" applyBorder="1" applyAlignment="1">
      <alignment horizontal="center"/>
    </xf>
    <xf numFmtId="2" fontId="0" fillId="0" borderId="0" xfId="0" applyNumberFormat="1"/>
    <xf numFmtId="167" fontId="0" fillId="0" borderId="37" xfId="0" applyNumberFormat="1" applyFont="1" applyBorder="1"/>
    <xf numFmtId="166" fontId="0" fillId="0" borderId="35" xfId="0" applyNumberFormat="1" applyBorder="1"/>
    <xf numFmtId="10" fontId="0" fillId="0" borderId="0" xfId="105" applyNumberFormat="1" applyFont="1" applyBorder="1"/>
    <xf numFmtId="10" fontId="0" fillId="0" borderId="0" xfId="0" applyNumberFormat="1"/>
    <xf numFmtId="0" fontId="0" fillId="0" borderId="78" xfId="0" applyBorder="1"/>
    <xf numFmtId="0" fontId="0" fillId="0" borderId="18" xfId="0" applyBorder="1"/>
    <xf numFmtId="10" fontId="0" fillId="0" borderId="93" xfId="0" applyNumberFormat="1" applyBorder="1"/>
    <xf numFmtId="0" fontId="0" fillId="0" borderId="59" xfId="0" applyBorder="1"/>
    <xf numFmtId="2" fontId="0" fillId="0" borderId="78" xfId="0" applyNumberFormat="1" applyBorder="1" applyAlignment="1">
      <alignment horizontal="center"/>
    </xf>
    <xf numFmtId="2" fontId="0" fillId="0" borderId="10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93" xfId="0" applyNumberFormat="1" applyBorder="1" applyAlignment="1">
      <alignment horizontal="center"/>
    </xf>
    <xf numFmtId="2" fontId="0" fillId="0" borderId="91" xfId="0" applyNumberFormat="1" applyBorder="1" applyAlignment="1">
      <alignment horizontal="center"/>
    </xf>
    <xf numFmtId="10" fontId="36" fillId="0" borderId="13" xfId="105" applyNumberFormat="1" applyFont="1" applyBorder="1"/>
    <xf numFmtId="167" fontId="36" fillId="0" borderId="12" xfId="0" applyNumberFormat="1" applyFont="1" applyBorder="1" applyAlignment="1">
      <alignment horizontal="center"/>
    </xf>
    <xf numFmtId="10" fontId="11" fillId="0" borderId="0" xfId="105" applyNumberFormat="1" applyFont="1" applyFill="1" applyBorder="1" applyAlignment="1">
      <alignment vertical="center"/>
    </xf>
    <xf numFmtId="0" fontId="0" fillId="0" borderId="25" xfId="0" applyBorder="1"/>
    <xf numFmtId="10" fontId="0" fillId="0" borderId="91" xfId="105" applyNumberFormat="1" applyFont="1" applyBorder="1"/>
    <xf numFmtId="10" fontId="11" fillId="0" borderId="0" xfId="0" applyNumberFormat="1" applyFont="1" applyFill="1" applyBorder="1" applyAlignment="1">
      <alignment vertical="center"/>
    </xf>
    <xf numFmtId="2" fontId="31" fillId="0" borderId="28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2" fontId="36" fillId="0" borderId="33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2" fontId="36" fillId="0" borderId="13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2" fontId="55" fillId="0" borderId="0" xfId="0" applyNumberFormat="1" applyFont="1" applyFill="1" applyBorder="1"/>
    <xf numFmtId="2" fontId="36" fillId="0" borderId="13" xfId="0" applyNumberFormat="1" applyFont="1" applyFill="1" applyBorder="1"/>
    <xf numFmtId="164" fontId="31" fillId="2" borderId="14" xfId="0" applyNumberFormat="1" applyFont="1" applyFill="1" applyBorder="1"/>
    <xf numFmtId="169" fontId="31" fillId="2" borderId="14" xfId="0" applyNumberFormat="1" applyFont="1" applyFill="1" applyBorder="1"/>
    <xf numFmtId="167" fontId="31" fillId="0" borderId="28" xfId="0" applyNumberFormat="1" applyFon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0" fontId="31" fillId="0" borderId="0" xfId="0" applyFont="1" applyAlignment="1">
      <alignment horizontal="center"/>
    </xf>
    <xf numFmtId="6" fontId="0" fillId="0" borderId="0" xfId="0" applyNumberFormat="1" applyBorder="1"/>
    <xf numFmtId="10" fontId="11" fillId="0" borderId="13" xfId="105" applyNumberFormat="1" applyFont="1" applyFill="1" applyBorder="1" applyAlignment="1">
      <alignment vertical="center"/>
    </xf>
    <xf numFmtId="167" fontId="0" fillId="0" borderId="0" xfId="0" applyNumberFormat="1"/>
    <xf numFmtId="1" fontId="0" fillId="0" borderId="0" xfId="0" applyNumberForma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167" fontId="0" fillId="0" borderId="33" xfId="0" applyNumberFormat="1" applyBorder="1"/>
    <xf numFmtId="10" fontId="0" fillId="0" borderId="1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0" fillId="0" borderId="102" xfId="0" applyBorder="1"/>
    <xf numFmtId="167" fontId="0" fillId="0" borderId="0" xfId="0" applyNumberFormat="1" applyBorder="1" applyAlignment="1">
      <alignment horizontal="center"/>
    </xf>
    <xf numFmtId="167" fontId="36" fillId="0" borderId="21" xfId="0" applyNumberFormat="1" applyFont="1" applyBorder="1" applyAlignment="1">
      <alignment horizontal="center"/>
    </xf>
    <xf numFmtId="167" fontId="36" fillId="0" borderId="33" xfId="0" applyNumberFormat="1" applyFont="1" applyBorder="1" applyAlignment="1">
      <alignment horizontal="center"/>
    </xf>
    <xf numFmtId="167" fontId="36" fillId="0" borderId="13" xfId="0" applyNumberFormat="1" applyFont="1" applyBorder="1" applyAlignment="1">
      <alignment horizontal="center"/>
    </xf>
    <xf numFmtId="2" fontId="0" fillId="0" borderId="92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81" xfId="0" applyNumberFormat="1" applyBorder="1" applyAlignment="1">
      <alignment horizontal="center"/>
    </xf>
    <xf numFmtId="0" fontId="0" fillId="0" borderId="92" xfId="0" applyBorder="1"/>
    <xf numFmtId="10" fontId="0" fillId="0" borderId="81" xfId="105" applyNumberFormat="1" applyFont="1" applyBorder="1"/>
    <xf numFmtId="174" fontId="0" fillId="0" borderId="0" xfId="0" applyNumberFormat="1" applyFont="1"/>
    <xf numFmtId="174" fontId="0" fillId="0" borderId="0" xfId="0" applyNumberFormat="1" applyFont="1" applyFill="1"/>
    <xf numFmtId="175" fontId="0" fillId="0" borderId="0" xfId="105" applyNumberFormat="1" applyFont="1"/>
    <xf numFmtId="0" fontId="2" fillId="0" borderId="0" xfId="0" applyFont="1"/>
    <xf numFmtId="0" fontId="68" fillId="0" borderId="0" xfId="0" applyFont="1" applyBorder="1" applyAlignment="1">
      <alignment horizontal="center" wrapText="1"/>
    </xf>
    <xf numFmtId="167" fontId="68" fillId="0" borderId="0" xfId="0" applyNumberFormat="1" applyFont="1" applyBorder="1" applyAlignment="1">
      <alignment horizontal="center"/>
    </xf>
    <xf numFmtId="1" fontId="68" fillId="0" borderId="0" xfId="0" applyNumberFormat="1" applyFont="1" applyBorder="1" applyAlignment="1">
      <alignment horizontal="center"/>
    </xf>
    <xf numFmtId="174" fontId="68" fillId="0" borderId="12" xfId="0" applyNumberFormat="1" applyFont="1" applyBorder="1" applyAlignment="1">
      <alignment horizontal="center"/>
    </xf>
    <xf numFmtId="0" fontId="65" fillId="31" borderId="37" xfId="0" applyFont="1" applyFill="1" applyBorder="1" applyAlignment="1">
      <alignment horizontal="center" vertical="center"/>
    </xf>
    <xf numFmtId="0" fontId="65" fillId="31" borderId="10" xfId="0" applyFont="1" applyFill="1" applyBorder="1" applyAlignment="1">
      <alignment horizontal="center" vertical="center"/>
    </xf>
    <xf numFmtId="2" fontId="67" fillId="0" borderId="0" xfId="0" applyNumberFormat="1" applyFont="1" applyFill="1" applyBorder="1" applyAlignment="1">
      <alignment horizontal="center"/>
    </xf>
    <xf numFmtId="174" fontId="0" fillId="0" borderId="12" xfId="0" applyNumberFormat="1" applyFont="1" applyBorder="1"/>
    <xf numFmtId="2" fontId="0" fillId="0" borderId="0" xfId="0" applyNumberFormat="1" applyFont="1" applyFill="1" applyBorder="1" applyAlignment="1">
      <alignment horizontal="center"/>
    </xf>
    <xf numFmtId="174" fontId="0" fillId="0" borderId="31" xfId="0" applyNumberFormat="1" applyFont="1" applyBorder="1"/>
    <xf numFmtId="2" fontId="65" fillId="0" borderId="70" xfId="0" applyNumberFormat="1" applyFont="1" applyBorder="1" applyAlignment="1">
      <alignment horizontal="center"/>
    </xf>
    <xf numFmtId="174" fontId="65" fillId="0" borderId="71" xfId="0" applyNumberFormat="1" applyFont="1" applyBorder="1"/>
    <xf numFmtId="2" fontId="65" fillId="0" borderId="0" xfId="0" applyNumberFormat="1" applyFont="1" applyBorder="1" applyAlignment="1">
      <alignment horizontal="center"/>
    </xf>
    <xf numFmtId="174" fontId="65" fillId="0" borderId="12" xfId="0" applyNumberFormat="1" applyFont="1" applyBorder="1"/>
    <xf numFmtId="174" fontId="68" fillId="0" borderId="12" xfId="0" applyNumberFormat="1" applyFont="1" applyBorder="1"/>
    <xf numFmtId="10" fontId="69" fillId="0" borderId="0" xfId="0" applyNumberFormat="1" applyFont="1" applyBorder="1" applyAlignment="1"/>
    <xf numFmtId="164" fontId="67" fillId="0" borderId="12" xfId="0" applyNumberFormat="1" applyFont="1" applyBorder="1"/>
    <xf numFmtId="174" fontId="67" fillId="0" borderId="12" xfId="0" applyNumberFormat="1" applyFont="1" applyBorder="1"/>
    <xf numFmtId="174" fontId="68" fillId="0" borderId="71" xfId="0" applyNumberFormat="1" applyFont="1" applyBorder="1"/>
    <xf numFmtId="0" fontId="34" fillId="0" borderId="0" xfId="0" applyFont="1"/>
    <xf numFmtId="0" fontId="34" fillId="48" borderId="24" xfId="0" applyFont="1" applyFill="1" applyBorder="1" applyAlignment="1">
      <alignment horizontal="center"/>
    </xf>
    <xf numFmtId="0" fontId="34" fillId="48" borderId="25" xfId="0" applyFont="1" applyFill="1" applyBorder="1" applyAlignment="1">
      <alignment horizontal="center"/>
    </xf>
    <xf numFmtId="9" fontId="67" fillId="0" borderId="0" xfId="105" applyFont="1"/>
    <xf numFmtId="174" fontId="65" fillId="0" borderId="31" xfId="0" applyNumberFormat="1" applyFont="1" applyBorder="1"/>
    <xf numFmtId="174" fontId="68" fillId="0" borderId="34" xfId="0" applyNumberFormat="1" applyFont="1" applyBorder="1"/>
    <xf numFmtId="174" fontId="34" fillId="0" borderId="0" xfId="0" applyNumberFormat="1" applyFont="1" applyFill="1" applyBorder="1"/>
    <xf numFmtId="0" fontId="67" fillId="0" borderId="30" xfId="0" applyFont="1" applyFill="1" applyBorder="1"/>
    <xf numFmtId="2" fontId="0" fillId="0" borderId="52" xfId="0" applyNumberFormat="1" applyFont="1" applyBorder="1" applyAlignment="1">
      <alignment horizontal="center"/>
    </xf>
    <xf numFmtId="170" fontId="34" fillId="2" borderId="14" xfId="0" applyNumberFormat="1" applyFont="1" applyFill="1" applyBorder="1"/>
    <xf numFmtId="0" fontId="0" fillId="0" borderId="0" xfId="0" applyFont="1" applyFill="1"/>
    <xf numFmtId="174" fontId="34" fillId="0" borderId="0" xfId="0" applyNumberFormat="1" applyFont="1" applyFill="1"/>
    <xf numFmtId="174" fontId="0" fillId="0" borderId="0" xfId="0" applyNumberFormat="1" applyFont="1" applyFill="1" applyBorder="1"/>
    <xf numFmtId="9" fontId="0" fillId="0" borderId="0" xfId="105" applyFont="1"/>
    <xf numFmtId="0" fontId="67" fillId="0" borderId="0" xfId="0" applyFont="1" applyFill="1" applyBorder="1"/>
    <xf numFmtId="0" fontId="0" fillId="0" borderId="0" xfId="0" applyFont="1" applyFill="1" applyBorder="1"/>
    <xf numFmtId="169" fontId="68" fillId="0" borderId="0" xfId="0" applyNumberFormat="1" applyFont="1" applyFill="1" applyBorder="1"/>
    <xf numFmtId="174" fontId="65" fillId="0" borderId="0" xfId="0" applyNumberFormat="1" applyFont="1" applyFill="1" applyBorder="1"/>
    <xf numFmtId="169" fontId="66" fillId="0" borderId="0" xfId="0" applyNumberFormat="1" applyFont="1" applyFill="1" applyBorder="1"/>
    <xf numFmtId="10" fontId="66" fillId="0" borderId="0" xfId="105" applyNumberFormat="1" applyFont="1" applyFill="1" applyBorder="1"/>
    <xf numFmtId="174" fontId="68" fillId="0" borderId="0" xfId="0" applyNumberFormat="1" applyFont="1" applyFill="1" applyBorder="1"/>
    <xf numFmtId="0" fontId="65" fillId="0" borderId="0" xfId="0" applyFont="1" applyFill="1" applyBorder="1" applyAlignment="1">
      <alignment horizontal="center" wrapText="1"/>
    </xf>
    <xf numFmtId="174" fontId="65" fillId="0" borderId="0" xfId="0" applyNumberFormat="1" applyFont="1" applyFill="1" applyBorder="1" applyAlignment="1">
      <alignment horizontal="center" wrapText="1"/>
    </xf>
    <xf numFmtId="174" fontId="68" fillId="0" borderId="0" xfId="0" applyNumberFormat="1" applyFont="1" applyFill="1" applyBorder="1" applyAlignment="1">
      <alignment horizontal="center"/>
    </xf>
    <xf numFmtId="174" fontId="67" fillId="0" borderId="0" xfId="0" applyNumberFormat="1" applyFont="1" applyFill="1" applyBorder="1"/>
    <xf numFmtId="174" fontId="65" fillId="0" borderId="14" xfId="0" applyNumberFormat="1" applyFont="1" applyBorder="1"/>
    <xf numFmtId="174" fontId="65" fillId="0" borderId="25" xfId="0" applyNumberFormat="1" applyFont="1" applyFill="1" applyBorder="1"/>
    <xf numFmtId="169" fontId="66" fillId="0" borderId="37" xfId="0" applyNumberFormat="1" applyFont="1" applyBorder="1"/>
    <xf numFmtId="174" fontId="67" fillId="0" borderId="11" xfId="0" applyNumberFormat="1" applyFont="1" applyBorder="1"/>
    <xf numFmtId="169" fontId="66" fillId="0" borderId="35" xfId="0" applyNumberFormat="1" applyFont="1" applyBorder="1"/>
    <xf numFmtId="10" fontId="66" fillId="0" borderId="13" xfId="105" applyNumberFormat="1" applyFont="1" applyBorder="1"/>
    <xf numFmtId="169" fontId="66" fillId="0" borderId="13" xfId="0" applyNumberFormat="1" applyFont="1" applyBorder="1"/>
    <xf numFmtId="0" fontId="0" fillId="0" borderId="13" xfId="0" applyFont="1" applyBorder="1"/>
    <xf numFmtId="174" fontId="65" fillId="51" borderId="38" xfId="0" applyNumberFormat="1" applyFont="1" applyFill="1" applyBorder="1"/>
    <xf numFmtId="174" fontId="34" fillId="52" borderId="0" xfId="0" applyNumberFormat="1" applyFont="1" applyFill="1"/>
    <xf numFmtId="176" fontId="0" fillId="0" borderId="0" xfId="105" applyNumberFormat="1" applyFont="1"/>
    <xf numFmtId="0" fontId="67" fillId="0" borderId="26" xfId="65" applyFont="1" applyFill="1" applyBorder="1"/>
    <xf numFmtId="170" fontId="0" fillId="0" borderId="0" xfId="105" applyNumberFormat="1" applyFont="1" applyFill="1" applyBorder="1" applyAlignment="1">
      <alignment horizontal="center"/>
    </xf>
    <xf numFmtId="40" fontId="0" fillId="0" borderId="0" xfId="105" applyNumberFormat="1" applyFont="1" applyFill="1" applyBorder="1" applyAlignment="1">
      <alignment horizontal="center"/>
    </xf>
    <xf numFmtId="170" fontId="0" fillId="0" borderId="12" xfId="0" applyNumberFormat="1" applyFill="1" applyBorder="1"/>
    <xf numFmtId="0" fontId="82" fillId="0" borderId="21" xfId="0" applyFont="1" applyFill="1" applyBorder="1"/>
    <xf numFmtId="10" fontId="0" fillId="0" borderId="21" xfId="105" applyNumberFormat="1" applyFont="1" applyFill="1" applyBorder="1" applyAlignment="1">
      <alignment horizontal="right"/>
    </xf>
    <xf numFmtId="10" fontId="0" fillId="0" borderId="21" xfId="105" applyNumberFormat="1" applyFont="1" applyFill="1" applyBorder="1" applyAlignment="1">
      <alignment horizontal="center"/>
    </xf>
    <xf numFmtId="170" fontId="0" fillId="0" borderId="31" xfId="0" applyNumberFormat="1" applyFill="1" applyBorder="1"/>
    <xf numFmtId="0" fontId="0" fillId="0" borderId="0" xfId="0" applyFill="1" applyBorder="1" applyAlignment="1">
      <alignment horizontal="right"/>
    </xf>
    <xf numFmtId="0" fontId="34" fillId="0" borderId="26" xfId="0" applyFont="1" applyFill="1" applyBorder="1"/>
    <xf numFmtId="0" fontId="82" fillId="0" borderId="0" xfId="0" applyFont="1" applyFill="1" applyBorder="1"/>
    <xf numFmtId="10" fontId="0" fillId="0" borderId="0" xfId="105" applyNumberFormat="1" applyFont="1" applyFill="1" applyBorder="1" applyAlignment="1">
      <alignment horizontal="right"/>
    </xf>
    <xf numFmtId="10" fontId="0" fillId="0" borderId="0" xfId="105" applyNumberFormat="1" applyFont="1" applyFill="1" applyBorder="1" applyAlignment="1">
      <alignment horizontal="center"/>
    </xf>
    <xf numFmtId="0" fontId="34" fillId="0" borderId="35" xfId="0" applyFont="1" applyFill="1" applyBorder="1"/>
    <xf numFmtId="0" fontId="0" fillId="0" borderId="13" xfId="0" applyFill="1" applyBorder="1" applyAlignment="1">
      <alignment horizontal="right"/>
    </xf>
    <xf numFmtId="164" fontId="65" fillId="2" borderId="14" xfId="0" applyNumberFormat="1" applyFont="1" applyFill="1" applyBorder="1"/>
    <xf numFmtId="164" fontId="0" fillId="0" borderId="0" xfId="0" applyNumberFormat="1" applyFont="1"/>
    <xf numFmtId="0" fontId="73" fillId="0" borderId="0" xfId="107" applyFont="1" applyFill="1" applyBorder="1"/>
    <xf numFmtId="0" fontId="73" fillId="0" borderId="0" xfId="107" applyFont="1" applyFill="1" applyAlignment="1">
      <alignment horizontal="center"/>
    </xf>
    <xf numFmtId="0" fontId="73" fillId="0" borderId="0" xfId="107" applyFont="1" applyAlignment="1">
      <alignment horizontal="center"/>
    </xf>
    <xf numFmtId="0" fontId="4" fillId="0" borderId="0" xfId="106" applyFont="1"/>
    <xf numFmtId="167" fontId="4" fillId="0" borderId="0" xfId="106" applyNumberFormat="1" applyFont="1" applyBorder="1"/>
    <xf numFmtId="167" fontId="4" fillId="0" borderId="0" xfId="106" applyNumberFormat="1" applyFont="1"/>
    <xf numFmtId="1" fontId="4" fillId="0" borderId="0" xfId="106" applyNumberFormat="1" applyFont="1"/>
    <xf numFmtId="0" fontId="4" fillId="0" borderId="0" xfId="63" applyFont="1"/>
    <xf numFmtId="0" fontId="39" fillId="0" borderId="0" xfId="106" applyFont="1" applyBorder="1"/>
    <xf numFmtId="0" fontId="39" fillId="0" borderId="0" xfId="106" applyFont="1"/>
    <xf numFmtId="167" fontId="4" fillId="0" borderId="0" xfId="106" applyNumberFormat="1" applyFont="1" applyAlignment="1">
      <alignment wrapText="1"/>
    </xf>
    <xf numFmtId="166" fontId="4" fillId="0" borderId="0" xfId="106" applyNumberFormat="1" applyFont="1"/>
    <xf numFmtId="0" fontId="4" fillId="0" borderId="0" xfId="106" applyFont="1" applyBorder="1"/>
    <xf numFmtId="0" fontId="83" fillId="0" borderId="0" xfId="106" applyFont="1"/>
    <xf numFmtId="169" fontId="39" fillId="0" borderId="0" xfId="106" applyNumberFormat="1" applyFont="1"/>
    <xf numFmtId="169" fontId="39" fillId="0" borderId="0" xfId="106" applyNumberFormat="1" applyFont="1" applyBorder="1"/>
    <xf numFmtId="0" fontId="39" fillId="0" borderId="0" xfId="63" applyFont="1" applyFill="1" applyAlignment="1">
      <alignment horizontal="left"/>
    </xf>
    <xf numFmtId="0" fontId="65" fillId="0" borderId="0" xfId="106" applyFont="1"/>
    <xf numFmtId="0" fontId="67" fillId="0" borderId="0" xfId="106" applyFont="1"/>
    <xf numFmtId="167" fontId="67" fillId="0" borderId="0" xfId="106" applyNumberFormat="1" applyFont="1" applyBorder="1"/>
    <xf numFmtId="0" fontId="67" fillId="0" borderId="0" xfId="63" applyFont="1"/>
    <xf numFmtId="0" fontId="67" fillId="0" borderId="0" xfId="63" applyFont="1" applyBorder="1"/>
    <xf numFmtId="0" fontId="65" fillId="0" borderId="0" xfId="106" applyFont="1" applyBorder="1"/>
    <xf numFmtId="0" fontId="65" fillId="0" borderId="23" xfId="106" applyFont="1" applyBorder="1"/>
    <xf numFmtId="0" fontId="84" fillId="0" borderId="23" xfId="106" applyFont="1" applyFill="1" applyBorder="1" applyAlignment="1">
      <alignment horizontal="center"/>
    </xf>
    <xf numFmtId="167" fontId="65" fillId="0" borderId="25" xfId="106" applyNumberFormat="1" applyFont="1" applyBorder="1" applyAlignment="1">
      <alignment horizontal="center"/>
    </xf>
    <xf numFmtId="0" fontId="65" fillId="0" borderId="26" xfId="106" applyFont="1" applyBorder="1" applyAlignment="1">
      <alignment horizontal="right"/>
    </xf>
    <xf numFmtId="0" fontId="84" fillId="0" borderId="0" xfId="106" applyFont="1" applyFill="1" applyBorder="1"/>
    <xf numFmtId="167" fontId="65" fillId="0" borderId="0" xfId="106" applyNumberFormat="1" applyFont="1" applyBorder="1" applyAlignment="1">
      <alignment horizontal="right"/>
    </xf>
    <xf numFmtId="1" fontId="84" fillId="0" borderId="0" xfId="106" applyNumberFormat="1" applyFont="1" applyFill="1" applyBorder="1"/>
    <xf numFmtId="3" fontId="65" fillId="0" borderId="12" xfId="106" applyNumberFormat="1" applyFont="1" applyBorder="1"/>
    <xf numFmtId="3" fontId="65" fillId="0" borderId="0" xfId="106" applyNumberFormat="1" applyFont="1" applyBorder="1"/>
    <xf numFmtId="0" fontId="65" fillId="0" borderId="26" xfId="106" applyFont="1" applyBorder="1"/>
    <xf numFmtId="0" fontId="68" fillId="0" borderId="26" xfId="106" applyFont="1" applyBorder="1" applyAlignment="1">
      <alignment wrapText="1"/>
    </xf>
    <xf numFmtId="0" fontId="68" fillId="0" borderId="0" xfId="106" applyFont="1" applyBorder="1" applyAlignment="1">
      <alignment horizontal="center" wrapText="1"/>
    </xf>
    <xf numFmtId="167" fontId="68" fillId="0" borderId="0" xfId="106" applyNumberFormat="1" applyFont="1" applyBorder="1" applyAlignment="1">
      <alignment horizontal="center" wrapText="1"/>
    </xf>
    <xf numFmtId="1" fontId="68" fillId="0" borderId="0" xfId="106" applyNumberFormat="1" applyFont="1" applyBorder="1" applyAlignment="1">
      <alignment horizontal="center" wrapText="1"/>
    </xf>
    <xf numFmtId="167" fontId="68" fillId="0" borderId="12" xfId="106" applyNumberFormat="1" applyFont="1" applyBorder="1" applyAlignment="1">
      <alignment horizontal="center" wrapText="1"/>
    </xf>
    <xf numFmtId="167" fontId="67" fillId="0" borderId="0" xfId="106" applyNumberFormat="1" applyFont="1" applyAlignment="1">
      <alignment wrapText="1"/>
    </xf>
    <xf numFmtId="167" fontId="68" fillId="0" borderId="0" xfId="106" applyNumberFormat="1" applyFont="1" applyBorder="1" applyAlignment="1">
      <alignment wrapText="1"/>
    </xf>
    <xf numFmtId="0" fontId="67" fillId="0" borderId="26" xfId="106" applyFont="1" applyBorder="1"/>
    <xf numFmtId="0" fontId="67" fillId="0" borderId="26" xfId="106" applyFont="1" applyFill="1" applyBorder="1" applyAlignment="1">
      <alignment horizontal="center"/>
    </xf>
    <xf numFmtId="0" fontId="67" fillId="0" borderId="12" xfId="106" applyFont="1" applyFill="1" applyBorder="1" applyAlignment="1">
      <alignment horizontal="center"/>
    </xf>
    <xf numFmtId="0" fontId="65" fillId="0" borderId="26" xfId="63" applyFont="1" applyFill="1" applyBorder="1" applyAlignment="1">
      <alignment horizontal="left"/>
    </xf>
    <xf numFmtId="166" fontId="65" fillId="0" borderId="0" xfId="63" applyNumberFormat="1" applyFont="1" applyFill="1" applyBorder="1" applyAlignment="1">
      <alignment horizontal="center"/>
    </xf>
    <xf numFmtId="1" fontId="65" fillId="0" borderId="0" xfId="63" applyNumberFormat="1" applyFont="1" applyFill="1" applyBorder="1" applyAlignment="1">
      <alignment horizontal="center"/>
    </xf>
    <xf numFmtId="2" fontId="65" fillId="0" borderId="0" xfId="63" applyNumberFormat="1" applyFont="1" applyFill="1" applyBorder="1" applyAlignment="1">
      <alignment horizontal="center"/>
    </xf>
    <xf numFmtId="167" fontId="69" fillId="0" borderId="0" xfId="106" applyNumberFormat="1" applyFont="1" applyBorder="1"/>
    <xf numFmtId="2" fontId="67" fillId="0" borderId="0" xfId="106" applyNumberFormat="1" applyFont="1" applyFill="1" applyBorder="1"/>
    <xf numFmtId="167" fontId="67" fillId="0" borderId="12" xfId="106" applyNumberFormat="1" applyFont="1" applyBorder="1"/>
    <xf numFmtId="167" fontId="67" fillId="0" borderId="0" xfId="106" applyNumberFormat="1" applyFont="1"/>
    <xf numFmtId="166" fontId="67" fillId="0" borderId="0" xfId="106" applyNumberFormat="1" applyFont="1"/>
    <xf numFmtId="0" fontId="67" fillId="0" borderId="30" xfId="106" applyFont="1" applyBorder="1"/>
    <xf numFmtId="0" fontId="67" fillId="0" borderId="30" xfId="106" applyFont="1" applyFill="1" applyBorder="1" applyAlignment="1">
      <alignment horizontal="center"/>
    </xf>
    <xf numFmtId="0" fontId="67" fillId="0" borderId="31" xfId="106" applyFont="1" applyFill="1" applyBorder="1" applyAlignment="1">
      <alignment horizontal="center"/>
    </xf>
    <xf numFmtId="0" fontId="67" fillId="0" borderId="26" xfId="106" applyFont="1" applyBorder="1" applyAlignment="1">
      <alignment wrapText="1"/>
    </xf>
    <xf numFmtId="0" fontId="67" fillId="0" borderId="26" xfId="106" applyFont="1" applyFill="1" applyBorder="1" applyAlignment="1">
      <alignment horizontal="right" wrapText="1"/>
    </xf>
    <xf numFmtId="0" fontId="67" fillId="0" borderId="12" xfId="106" applyFont="1" applyFill="1" applyBorder="1" applyAlignment="1">
      <alignment horizontal="center" wrapText="1"/>
    </xf>
    <xf numFmtId="0" fontId="67" fillId="0" borderId="35" xfId="106" applyFont="1" applyBorder="1"/>
    <xf numFmtId="0" fontId="67" fillId="0" borderId="35" xfId="106" applyFont="1" applyFill="1" applyBorder="1" applyAlignment="1">
      <alignment horizontal="right"/>
    </xf>
    <xf numFmtId="168" fontId="65" fillId="44" borderId="14" xfId="87" applyNumberFormat="1" applyFont="1" applyFill="1" applyBorder="1" applyAlignment="1">
      <alignment horizontal="center"/>
    </xf>
    <xf numFmtId="0" fontId="67" fillId="0" borderId="0" xfId="106" applyFont="1" applyBorder="1"/>
    <xf numFmtId="0" fontId="67" fillId="0" borderId="0" xfId="106" applyFont="1" applyFill="1" applyBorder="1"/>
    <xf numFmtId="9" fontId="67" fillId="0" borderId="0" xfId="87" applyFont="1" applyFill="1" applyBorder="1"/>
    <xf numFmtId="0" fontId="68" fillId="0" borderId="0" xfId="106" applyFont="1" applyBorder="1"/>
    <xf numFmtId="0" fontId="65" fillId="0" borderId="30" xfId="63" applyFont="1" applyFill="1" applyBorder="1" applyAlignment="1">
      <alignment horizontal="left"/>
    </xf>
    <xf numFmtId="0" fontId="65" fillId="0" borderId="21" xfId="63" applyFont="1" applyFill="1" applyBorder="1" applyAlignment="1">
      <alignment horizontal="center"/>
    </xf>
    <xf numFmtId="0" fontId="65" fillId="0" borderId="0" xfId="63" applyFont="1" applyFill="1" applyBorder="1" applyAlignment="1">
      <alignment horizontal="center"/>
    </xf>
    <xf numFmtId="0" fontId="65" fillId="0" borderId="73" xfId="106" applyFont="1" applyBorder="1"/>
    <xf numFmtId="0" fontId="65" fillId="0" borderId="74" xfId="106" applyFont="1" applyBorder="1"/>
    <xf numFmtId="0" fontId="65" fillId="0" borderId="28" xfId="106" applyFont="1" applyBorder="1"/>
    <xf numFmtId="167" fontId="65" fillId="0" borderId="70" xfId="106" applyNumberFormat="1" applyFont="1" applyBorder="1"/>
    <xf numFmtId="2" fontId="65" fillId="0" borderId="70" xfId="106" applyNumberFormat="1" applyFont="1" applyBorder="1"/>
    <xf numFmtId="167" fontId="65" fillId="0" borderId="71" xfId="106" applyNumberFormat="1" applyFont="1" applyBorder="1"/>
    <xf numFmtId="0" fontId="69" fillId="0" borderId="0" xfId="106" applyFont="1" applyBorder="1"/>
    <xf numFmtId="167" fontId="65" fillId="0" borderId="0" xfId="106" applyNumberFormat="1" applyFont="1" applyBorder="1"/>
    <xf numFmtId="2" fontId="65" fillId="0" borderId="0" xfId="106" applyNumberFormat="1" applyFont="1" applyBorder="1"/>
    <xf numFmtId="0" fontId="65" fillId="0" borderId="12" xfId="106" applyFont="1" applyBorder="1"/>
    <xf numFmtId="0" fontId="68" fillId="0" borderId="26" xfId="106" applyFont="1" applyBorder="1"/>
    <xf numFmtId="167" fontId="68" fillId="0" borderId="0" xfId="106" applyNumberFormat="1" applyFont="1" applyBorder="1"/>
    <xf numFmtId="1" fontId="68" fillId="0" borderId="0" xfId="106" applyNumberFormat="1" applyFont="1" applyBorder="1"/>
    <xf numFmtId="167" fontId="68" fillId="0" borderId="12" xfId="106" applyNumberFormat="1" applyFont="1" applyBorder="1"/>
    <xf numFmtId="0" fontId="69" fillId="0" borderId="0" xfId="106" applyFont="1"/>
    <xf numFmtId="167" fontId="65" fillId="0" borderId="12" xfId="106" applyNumberFormat="1" applyFont="1" applyBorder="1"/>
    <xf numFmtId="0" fontId="67" fillId="0" borderId="26" xfId="106" applyFont="1" applyFill="1" applyBorder="1"/>
    <xf numFmtId="10" fontId="69" fillId="0" borderId="0" xfId="106" applyNumberFormat="1" applyFont="1" applyBorder="1"/>
    <xf numFmtId="1" fontId="69" fillId="0" borderId="0" xfId="106" applyNumberFormat="1" applyFont="1" applyBorder="1"/>
    <xf numFmtId="0" fontId="67" fillId="0" borderId="69" xfId="106" applyFont="1" applyBorder="1"/>
    <xf numFmtId="0" fontId="67" fillId="0" borderId="70" xfId="106" applyFont="1" applyBorder="1"/>
    <xf numFmtId="167" fontId="67" fillId="0" borderId="70" xfId="106" applyNumberFormat="1" applyFont="1" applyBorder="1"/>
    <xf numFmtId="2" fontId="67" fillId="0" borderId="70" xfId="106" applyNumberFormat="1" applyFont="1" applyFill="1" applyBorder="1"/>
    <xf numFmtId="167" fontId="68" fillId="0" borderId="71" xfId="106" applyNumberFormat="1" applyFont="1" applyBorder="1"/>
    <xf numFmtId="1" fontId="67" fillId="0" borderId="0" xfId="106" applyNumberFormat="1" applyFont="1" applyBorder="1"/>
    <xf numFmtId="10" fontId="67" fillId="0" borderId="0" xfId="106" applyNumberFormat="1" applyFont="1" applyBorder="1"/>
    <xf numFmtId="167" fontId="67" fillId="0" borderId="31" xfId="106" applyNumberFormat="1" applyFont="1" applyBorder="1"/>
    <xf numFmtId="9" fontId="67" fillId="0" borderId="0" xfId="87" applyFont="1" applyBorder="1"/>
    <xf numFmtId="0" fontId="65" fillId="0" borderId="0" xfId="106" applyFont="1" applyFill="1" applyBorder="1"/>
    <xf numFmtId="169" fontId="65" fillId="0" borderId="0" xfId="106" applyNumberFormat="1" applyFont="1" applyBorder="1"/>
    <xf numFmtId="0" fontId="65" fillId="0" borderId="69" xfId="106" applyFont="1" applyBorder="1"/>
    <xf numFmtId="0" fontId="65" fillId="0" borderId="70" xfId="106" applyFont="1" applyBorder="1"/>
    <xf numFmtId="10" fontId="69" fillId="0" borderId="0" xfId="106" applyNumberFormat="1" applyFont="1" applyFill="1" applyBorder="1"/>
    <xf numFmtId="2" fontId="67" fillId="0" borderId="0" xfId="106" applyNumberFormat="1" applyFont="1" applyBorder="1"/>
    <xf numFmtId="0" fontId="68" fillId="0" borderId="75" xfId="106" applyFont="1" applyBorder="1"/>
    <xf numFmtId="0" fontId="68" fillId="0" borderId="76" xfId="106" applyFont="1" applyBorder="1"/>
    <xf numFmtId="167" fontId="68" fillId="0" borderId="76" xfId="106" applyNumberFormat="1" applyFont="1" applyBorder="1"/>
    <xf numFmtId="2" fontId="68" fillId="0" borderId="76" xfId="106" applyNumberFormat="1" applyFont="1" applyBorder="1"/>
    <xf numFmtId="167" fontId="65" fillId="0" borderId="105" xfId="106" applyNumberFormat="1" applyFont="1" applyBorder="1"/>
    <xf numFmtId="167" fontId="67" fillId="0" borderId="0" xfId="106" applyNumberFormat="1" applyFont="1" applyFill="1" applyBorder="1"/>
    <xf numFmtId="1" fontId="67" fillId="0" borderId="0" xfId="106" applyNumberFormat="1" applyFont="1"/>
    <xf numFmtId="2" fontId="68" fillId="0" borderId="0" xfId="106" applyNumberFormat="1" applyFont="1" applyBorder="1"/>
    <xf numFmtId="169" fontId="67" fillId="0" borderId="12" xfId="106" applyNumberFormat="1" applyFont="1" applyBorder="1"/>
    <xf numFmtId="169" fontId="65" fillId="0" borderId="0" xfId="106" applyNumberFormat="1" applyFont="1"/>
    <xf numFmtId="169" fontId="66" fillId="0" borderId="26" xfId="106" applyNumberFormat="1" applyFont="1" applyBorder="1"/>
    <xf numFmtId="169" fontId="66" fillId="0" borderId="0" xfId="106" applyNumberFormat="1" applyFont="1" applyBorder="1"/>
    <xf numFmtId="169" fontId="66" fillId="0" borderId="23" xfId="106" applyNumberFormat="1" applyFont="1" applyBorder="1"/>
    <xf numFmtId="169" fontId="66" fillId="0" borderId="24" xfId="106" applyNumberFormat="1" applyFont="1" applyBorder="1"/>
    <xf numFmtId="9" fontId="65" fillId="0" borderId="24" xfId="106" applyNumberFormat="1" applyFont="1" applyBorder="1"/>
    <xf numFmtId="167" fontId="67" fillId="0" borderId="24" xfId="106" applyNumberFormat="1" applyFont="1" applyBorder="1"/>
    <xf numFmtId="169" fontId="67" fillId="0" borderId="24" xfId="106" applyNumberFormat="1" applyFont="1" applyBorder="1"/>
    <xf numFmtId="169" fontId="65" fillId="2" borderId="25" xfId="106" applyNumberFormat="1" applyFont="1" applyFill="1" applyBorder="1"/>
    <xf numFmtId="9" fontId="67" fillId="0" borderId="24" xfId="106" applyNumberFormat="1" applyFont="1" applyBorder="1"/>
    <xf numFmtId="169" fontId="67" fillId="0" borderId="25" xfId="106" applyNumberFormat="1" applyFont="1" applyBorder="1"/>
    <xf numFmtId="9" fontId="67" fillId="0" borderId="0" xfId="106" applyNumberFormat="1" applyFont="1" applyBorder="1"/>
    <xf numFmtId="169" fontId="67" fillId="0" borderId="0" xfId="106" applyNumberFormat="1" applyFont="1" applyBorder="1"/>
    <xf numFmtId="0" fontId="65" fillId="54" borderId="26" xfId="106" applyFont="1" applyFill="1" applyBorder="1" applyAlignment="1">
      <alignment horizontal="right"/>
    </xf>
    <xf numFmtId="0" fontId="84" fillId="54" borderId="0" xfId="106" applyFont="1" applyFill="1" applyBorder="1"/>
    <xf numFmtId="167" fontId="65" fillId="54" borderId="0" xfId="106" applyNumberFormat="1" applyFont="1" applyFill="1" applyBorder="1" applyAlignment="1">
      <alignment horizontal="right"/>
    </xf>
    <xf numFmtId="1" fontId="84" fillId="54" borderId="0" xfId="106" applyNumberFormat="1" applyFont="1" applyFill="1" applyBorder="1"/>
    <xf numFmtId="3" fontId="65" fillId="54" borderId="12" xfId="106" applyNumberFormat="1" applyFont="1" applyFill="1" applyBorder="1"/>
    <xf numFmtId="0" fontId="68" fillId="54" borderId="26" xfId="106" applyFont="1" applyFill="1" applyBorder="1"/>
    <xf numFmtId="0" fontId="68" fillId="54" borderId="0" xfId="106" applyFont="1" applyFill="1" applyBorder="1" applyAlignment="1">
      <alignment horizontal="center" wrapText="1"/>
    </xf>
    <xf numFmtId="0" fontId="68" fillId="54" borderId="0" xfId="106" applyFont="1" applyFill="1" applyBorder="1"/>
    <xf numFmtId="167" fontId="68" fillId="54" borderId="0" xfId="106" applyNumberFormat="1" applyFont="1" applyFill="1" applyBorder="1"/>
    <xf numFmtId="1" fontId="68" fillId="54" borderId="0" xfId="106" applyNumberFormat="1" applyFont="1" applyFill="1" applyBorder="1"/>
    <xf numFmtId="167" fontId="68" fillId="54" borderId="12" xfId="106" applyNumberFormat="1" applyFont="1" applyFill="1" applyBorder="1"/>
    <xf numFmtId="0" fontId="65" fillId="0" borderId="26" xfId="0" applyFont="1" applyFill="1" applyBorder="1" applyAlignment="1">
      <alignment horizontal="left"/>
    </xf>
    <xf numFmtId="2" fontId="65" fillId="0" borderId="0" xfId="0" applyNumberFormat="1" applyFont="1" applyFill="1" applyBorder="1" applyAlignment="1">
      <alignment horizontal="center"/>
    </xf>
    <xf numFmtId="1" fontId="65" fillId="0" borderId="0" xfId="0" applyNumberFormat="1" applyFont="1" applyFill="1" applyBorder="1" applyAlignment="1">
      <alignment horizontal="center"/>
    </xf>
    <xf numFmtId="0" fontId="65" fillId="54" borderId="26" xfId="63" applyFont="1" applyFill="1" applyBorder="1" applyAlignment="1">
      <alignment horizontal="left"/>
    </xf>
    <xf numFmtId="2" fontId="65" fillId="54" borderId="0" xfId="63" applyNumberFormat="1" applyFont="1" applyFill="1" applyBorder="1" applyAlignment="1">
      <alignment horizontal="center"/>
    </xf>
    <xf numFmtId="1" fontId="65" fillId="54" borderId="0" xfId="63" applyNumberFormat="1" applyFont="1" applyFill="1" applyBorder="1" applyAlignment="1">
      <alignment horizontal="center"/>
    </xf>
    <xf numFmtId="167" fontId="69" fillId="54" borderId="0" xfId="106" applyNumberFormat="1" applyFont="1" applyFill="1" applyBorder="1"/>
    <xf numFmtId="2" fontId="67" fillId="54" borderId="0" xfId="106" applyNumberFormat="1" applyFont="1" applyFill="1" applyBorder="1"/>
    <xf numFmtId="167" fontId="67" fillId="54" borderId="12" xfId="106" applyNumberFormat="1" applyFont="1" applyFill="1" applyBorder="1"/>
    <xf numFmtId="0" fontId="65" fillId="54" borderId="0" xfId="106" applyFont="1" applyFill="1" applyBorder="1"/>
    <xf numFmtId="168" fontId="65" fillId="54" borderId="0" xfId="87" applyNumberFormat="1" applyFont="1" applyFill="1" applyBorder="1" applyAlignment="1">
      <alignment horizontal="center"/>
    </xf>
    <xf numFmtId="0" fontId="65" fillId="54" borderId="30" xfId="63" applyFont="1" applyFill="1" applyBorder="1" applyAlignment="1">
      <alignment horizontal="left"/>
    </xf>
    <xf numFmtId="0" fontId="65" fillId="54" borderId="21" xfId="63" applyFont="1" applyFill="1" applyBorder="1" applyAlignment="1">
      <alignment horizontal="center"/>
    </xf>
    <xf numFmtId="1" fontId="65" fillId="54" borderId="21" xfId="63" applyNumberFormat="1" applyFont="1" applyFill="1" applyBorder="1" applyAlignment="1">
      <alignment horizontal="center"/>
    </xf>
    <xf numFmtId="0" fontId="65" fillId="54" borderId="0" xfId="63" applyFont="1" applyFill="1" applyBorder="1" applyAlignment="1">
      <alignment horizontal="center"/>
    </xf>
    <xf numFmtId="0" fontId="65" fillId="0" borderId="30" xfId="0" applyFont="1" applyFill="1" applyBorder="1" applyAlignment="1">
      <alignment horizontal="left"/>
    </xf>
    <xf numFmtId="0" fontId="65" fillId="0" borderId="21" xfId="0" applyFont="1" applyFill="1" applyBorder="1" applyAlignment="1">
      <alignment horizontal="center"/>
    </xf>
    <xf numFmtId="167" fontId="69" fillId="0" borderId="21" xfId="106" applyNumberFormat="1" applyFont="1" applyBorder="1"/>
    <xf numFmtId="2" fontId="67" fillId="0" borderId="21" xfId="106" applyNumberFormat="1" applyFont="1" applyFill="1" applyBorder="1"/>
    <xf numFmtId="1" fontId="65" fillId="0" borderId="21" xfId="63" applyNumberFormat="1" applyFont="1" applyFill="1" applyBorder="1" applyAlignment="1">
      <alignment horizontal="center"/>
    </xf>
    <xf numFmtId="0" fontId="65" fillId="54" borderId="73" xfId="106" applyFont="1" applyFill="1" applyBorder="1"/>
    <xf numFmtId="0" fontId="65" fillId="54" borderId="74" xfId="106" applyFont="1" applyFill="1" applyBorder="1"/>
    <xf numFmtId="0" fontId="65" fillId="54" borderId="28" xfId="63" applyFont="1" applyFill="1" applyBorder="1" applyAlignment="1">
      <alignment horizontal="center"/>
    </xf>
    <xf numFmtId="0" fontId="65" fillId="54" borderId="28" xfId="106" applyFont="1" applyFill="1" applyBorder="1"/>
    <xf numFmtId="167" fontId="65" fillId="54" borderId="70" xfId="106" applyNumberFormat="1" applyFont="1" applyFill="1" applyBorder="1"/>
    <xf numFmtId="2" fontId="65" fillId="54" borderId="70" xfId="106" applyNumberFormat="1" applyFont="1" applyFill="1" applyBorder="1"/>
    <xf numFmtId="167" fontId="65" fillId="54" borderId="71" xfId="106" applyNumberFormat="1" applyFont="1" applyFill="1" applyBorder="1"/>
    <xf numFmtId="0" fontId="65" fillId="0" borderId="28" xfId="63" applyFont="1" applyFill="1" applyBorder="1" applyAlignment="1">
      <alignment horizontal="center"/>
    </xf>
    <xf numFmtId="2" fontId="68" fillId="0" borderId="28" xfId="106" applyNumberFormat="1" applyFont="1" applyBorder="1"/>
    <xf numFmtId="167" fontId="68" fillId="0" borderId="29" xfId="106" applyNumberFormat="1" applyFont="1" applyBorder="1"/>
    <xf numFmtId="0" fontId="65" fillId="54" borderId="26" xfId="106" applyFont="1" applyFill="1" applyBorder="1"/>
    <xf numFmtId="167" fontId="65" fillId="54" borderId="0" xfId="106" applyNumberFormat="1" applyFont="1" applyFill="1" applyBorder="1"/>
    <xf numFmtId="2" fontId="65" fillId="54" borderId="0" xfId="106" applyNumberFormat="1" applyFont="1" applyFill="1" applyBorder="1"/>
    <xf numFmtId="167" fontId="65" fillId="54" borderId="12" xfId="106" applyNumberFormat="1" applyFont="1" applyFill="1" applyBorder="1"/>
    <xf numFmtId="0" fontId="67" fillId="54" borderId="26" xfId="106" applyFont="1" applyFill="1" applyBorder="1"/>
    <xf numFmtId="0" fontId="67" fillId="54" borderId="0" xfId="106" applyFont="1" applyFill="1" applyBorder="1"/>
    <xf numFmtId="10" fontId="69" fillId="54" borderId="0" xfId="106" applyNumberFormat="1" applyFont="1" applyFill="1" applyBorder="1"/>
    <xf numFmtId="1" fontId="69" fillId="54" borderId="0" xfId="106" applyNumberFormat="1" applyFont="1" applyFill="1" applyBorder="1"/>
    <xf numFmtId="0" fontId="67" fillId="54" borderId="69" xfId="106" applyFont="1" applyFill="1" applyBorder="1"/>
    <xf numFmtId="0" fontId="67" fillId="54" borderId="70" xfId="106" applyFont="1" applyFill="1" applyBorder="1"/>
    <xf numFmtId="167" fontId="67" fillId="54" borderId="70" xfId="106" applyNumberFormat="1" applyFont="1" applyFill="1" applyBorder="1"/>
    <xf numFmtId="2" fontId="67" fillId="54" borderId="70" xfId="106" applyNumberFormat="1" applyFont="1" applyFill="1" applyBorder="1"/>
    <xf numFmtId="167" fontId="68" fillId="54" borderId="71" xfId="106" applyNumberFormat="1" applyFont="1" applyFill="1" applyBorder="1"/>
    <xf numFmtId="167" fontId="67" fillId="54" borderId="0" xfId="106" applyNumberFormat="1" applyFont="1" applyFill="1" applyBorder="1"/>
    <xf numFmtId="1" fontId="67" fillId="54" borderId="0" xfId="106" applyNumberFormat="1" applyFont="1" applyFill="1" applyBorder="1"/>
    <xf numFmtId="167" fontId="67" fillId="54" borderId="31" xfId="106" applyNumberFormat="1" applyFont="1" applyFill="1" applyBorder="1"/>
    <xf numFmtId="2" fontId="68" fillId="54" borderId="70" xfId="106" applyNumberFormat="1" applyFont="1" applyFill="1" applyBorder="1"/>
    <xf numFmtId="0" fontId="65" fillId="54" borderId="69" xfId="106" applyFont="1" applyFill="1" applyBorder="1"/>
    <xf numFmtId="0" fontId="65" fillId="54" borderId="70" xfId="106" applyFont="1" applyFill="1" applyBorder="1"/>
    <xf numFmtId="0" fontId="68" fillId="54" borderId="75" xfId="106" applyFont="1" applyFill="1" applyBorder="1"/>
    <xf numFmtId="0" fontId="68" fillId="54" borderId="76" xfId="106" applyFont="1" applyFill="1" applyBorder="1"/>
    <xf numFmtId="167" fontId="68" fillId="54" borderId="76" xfId="106" applyNumberFormat="1" applyFont="1" applyFill="1" applyBorder="1"/>
    <xf numFmtId="2" fontId="68" fillId="54" borderId="76" xfId="106" applyNumberFormat="1" applyFont="1" applyFill="1" applyBorder="1"/>
    <xf numFmtId="167" fontId="65" fillId="54" borderId="105" xfId="106" applyNumberFormat="1" applyFont="1" applyFill="1" applyBorder="1"/>
    <xf numFmtId="2" fontId="68" fillId="54" borderId="0" xfId="106" applyNumberFormat="1" applyFont="1" applyFill="1" applyBorder="1"/>
    <xf numFmtId="169" fontId="66" fillId="54" borderId="26" xfId="106" applyNumberFormat="1" applyFont="1" applyFill="1" applyBorder="1"/>
    <xf numFmtId="169" fontId="66" fillId="54" borderId="0" xfId="106" applyNumberFormat="1" applyFont="1" applyFill="1" applyBorder="1"/>
    <xf numFmtId="169" fontId="67" fillId="54" borderId="12" xfId="106" applyNumberFormat="1" applyFont="1" applyFill="1" applyBorder="1"/>
    <xf numFmtId="10" fontId="67" fillId="54" borderId="0" xfId="106" applyNumberFormat="1" applyFont="1" applyFill="1" applyBorder="1"/>
    <xf numFmtId="169" fontId="66" fillId="54" borderId="23" xfId="106" applyNumberFormat="1" applyFont="1" applyFill="1" applyBorder="1"/>
    <xf numFmtId="169" fontId="66" fillId="54" borderId="24" xfId="106" applyNumberFormat="1" applyFont="1" applyFill="1" applyBorder="1"/>
    <xf numFmtId="9" fontId="65" fillId="54" borderId="24" xfId="106" applyNumberFormat="1" applyFont="1" applyFill="1" applyBorder="1"/>
    <xf numFmtId="167" fontId="67" fillId="54" borderId="24" xfId="106" applyNumberFormat="1" applyFont="1" applyFill="1" applyBorder="1"/>
    <xf numFmtId="169" fontId="67" fillId="54" borderId="24" xfId="106" applyNumberFormat="1" applyFont="1" applyFill="1" applyBorder="1"/>
    <xf numFmtId="169" fontId="65" fillId="54" borderId="25" xfId="106" applyNumberFormat="1" applyFont="1" applyFill="1" applyBorder="1"/>
    <xf numFmtId="169" fontId="66" fillId="0" borderId="37" xfId="106" applyNumberFormat="1" applyFont="1" applyBorder="1"/>
    <xf numFmtId="169" fontId="66" fillId="0" borderId="10" xfId="106" applyNumberFormat="1" applyFont="1" applyBorder="1"/>
    <xf numFmtId="9" fontId="67" fillId="0" borderId="10" xfId="106" applyNumberFormat="1" applyFont="1" applyBorder="1"/>
    <xf numFmtId="167" fontId="67" fillId="0" borderId="10" xfId="106" applyNumberFormat="1" applyFont="1" applyBorder="1"/>
    <xf numFmtId="169" fontId="67" fillId="0" borderId="10" xfId="106" applyNumberFormat="1" applyFont="1" applyBorder="1"/>
    <xf numFmtId="169" fontId="67" fillId="0" borderId="11" xfId="106" applyNumberFormat="1" applyFont="1" applyBorder="1"/>
    <xf numFmtId="9" fontId="67" fillId="54" borderId="24" xfId="106" applyNumberFormat="1" applyFont="1" applyFill="1" applyBorder="1"/>
    <xf numFmtId="169" fontId="67" fillId="54" borderId="25" xfId="106" applyNumberFormat="1" applyFont="1" applyFill="1" applyBorder="1"/>
    <xf numFmtId="8" fontId="65" fillId="2" borderId="25" xfId="106" applyNumberFormat="1" applyFont="1" applyFill="1" applyBorder="1"/>
    <xf numFmtId="44" fontId="11" fillId="0" borderId="0" xfId="104" applyFont="1" applyFill="1"/>
    <xf numFmtId="44" fontId="11" fillId="0" borderId="0" xfId="63" applyNumberFormat="1" applyFill="1"/>
    <xf numFmtId="167" fontId="42" fillId="0" borderId="29" xfId="0" applyNumberFormat="1" applyFont="1" applyFill="1" applyBorder="1" applyAlignment="1">
      <alignment horizontal="right"/>
    </xf>
    <xf numFmtId="2" fontId="43" fillId="0" borderId="31" xfId="0" applyNumberFormat="1" applyFont="1" applyBorder="1" applyAlignment="1">
      <alignment horizontal="right"/>
    </xf>
    <xf numFmtId="2" fontId="11" fillId="0" borderId="27" xfId="63" applyNumberFormat="1" applyFill="1" applyBorder="1"/>
    <xf numFmtId="167" fontId="39" fillId="0" borderId="28" xfId="0" applyNumberFormat="1" applyFont="1" applyBorder="1" applyAlignment="1">
      <alignment horizontal="center"/>
    </xf>
    <xf numFmtId="49" fontId="39" fillId="0" borderId="29" xfId="0" quotePrefix="1" applyNumberFormat="1" applyFont="1" applyBorder="1" applyAlignment="1">
      <alignment horizontal="right"/>
    </xf>
    <xf numFmtId="0" fontId="39" fillId="31" borderId="4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4" fillId="33" borderId="24" xfId="0" applyFont="1" applyFill="1" applyBorder="1" applyAlignment="1">
      <alignment horizontal="center"/>
    </xf>
    <xf numFmtId="0" fontId="85" fillId="0" borderId="0" xfId="113"/>
    <xf numFmtId="172" fontId="0" fillId="0" borderId="0" xfId="117" applyNumberFormat="1" applyFont="1"/>
    <xf numFmtId="10" fontId="0" fillId="0" borderId="0" xfId="118" applyNumberFormat="1" applyFont="1"/>
    <xf numFmtId="43" fontId="0" fillId="0" borderId="0" xfId="117" applyFont="1"/>
    <xf numFmtId="178" fontId="0" fillId="0" borderId="0" xfId="117" applyNumberFormat="1" applyFont="1"/>
    <xf numFmtId="178" fontId="85" fillId="0" borderId="0" xfId="113" applyNumberFormat="1"/>
    <xf numFmtId="10" fontId="0" fillId="0" borderId="0" xfId="118" applyNumberFormat="1" applyFont="1" applyFill="1" applyBorder="1"/>
    <xf numFmtId="0" fontId="85" fillId="0" borderId="0" xfId="113" applyFill="1" applyBorder="1"/>
    <xf numFmtId="165" fontId="2" fillId="0" borderId="0" xfId="69" applyNumberFormat="1" applyFont="1" applyFill="1" applyBorder="1" applyAlignment="1">
      <alignment horizontal="center"/>
    </xf>
    <xf numFmtId="2" fontId="53" fillId="0" borderId="26" xfId="0" applyNumberFormat="1" applyFont="1" applyBorder="1"/>
    <xf numFmtId="10" fontId="53" fillId="0" borderId="0" xfId="105" applyNumberFormat="1" applyFont="1" applyBorder="1"/>
    <xf numFmtId="37" fontId="53" fillId="0" borderId="0" xfId="0" applyNumberFormat="1" applyFont="1" applyBorder="1"/>
    <xf numFmtId="170" fontId="53" fillId="0" borderId="12" xfId="104" applyNumberFormat="1" applyFont="1" applyBorder="1"/>
    <xf numFmtId="0" fontId="4" fillId="0" borderId="23" xfId="63" applyFont="1" applyFill="1" applyBorder="1"/>
    <xf numFmtId="0" fontId="4" fillId="0" borderId="24" xfId="63" applyFont="1" applyFill="1" applyBorder="1" applyAlignment="1">
      <alignment horizontal="center" wrapText="1"/>
    </xf>
    <xf numFmtId="0" fontId="4" fillId="0" borderId="25" xfId="63" applyFont="1" applyFill="1" applyBorder="1" applyAlignment="1">
      <alignment horizontal="center" wrapText="1"/>
    </xf>
    <xf numFmtId="0" fontId="4" fillId="0" borderId="26" xfId="63" applyFont="1" applyFill="1" applyBorder="1"/>
    <xf numFmtId="0" fontId="4" fillId="0" borderId="35" xfId="63" applyFont="1" applyFill="1" applyBorder="1"/>
    <xf numFmtId="0" fontId="85" fillId="0" borderId="0" xfId="113" applyBorder="1"/>
    <xf numFmtId="44" fontId="1" fillId="0" borderId="0" xfId="104" applyFont="1" applyBorder="1"/>
    <xf numFmtId="0" fontId="0" fillId="0" borderId="10" xfId="0" applyBorder="1"/>
    <xf numFmtId="0" fontId="0" fillId="0" borderId="14" xfId="0" applyBorder="1"/>
    <xf numFmtId="0" fontId="82" fillId="0" borderId="35" xfId="0" applyFont="1" applyBorder="1"/>
    <xf numFmtId="0" fontId="82" fillId="0" borderId="13" xfId="0" applyFont="1" applyBorder="1" applyAlignment="1"/>
    <xf numFmtId="0" fontId="85" fillId="0" borderId="0" xfId="113" applyAlignment="1"/>
    <xf numFmtId="0" fontId="29" fillId="26" borderId="10" xfId="1138" applyFont="1" applyFill="1" applyBorder="1"/>
    <xf numFmtId="0" fontId="30" fillId="26" borderId="11" xfId="1138" applyFont="1" applyFill="1" applyBorder="1"/>
    <xf numFmtId="0" fontId="11" fillId="0" borderId="0" xfId="1138"/>
    <xf numFmtId="0" fontId="30" fillId="26" borderId="0" xfId="1138" applyFont="1" applyFill="1" applyBorder="1"/>
    <xf numFmtId="0" fontId="31" fillId="26" borderId="12" xfId="1138" applyFont="1" applyFill="1" applyBorder="1"/>
    <xf numFmtId="0" fontId="32" fillId="26" borderId="13" xfId="1138" applyFont="1" applyFill="1" applyBorder="1"/>
    <xf numFmtId="0" fontId="31" fillId="26" borderId="14" xfId="1138" applyFont="1" applyFill="1" applyBorder="1"/>
    <xf numFmtId="0" fontId="31" fillId="0" borderId="0" xfId="1138" applyFont="1"/>
    <xf numFmtId="0" fontId="33" fillId="0" borderId="0" xfId="111" applyFont="1" applyFill="1"/>
    <xf numFmtId="0" fontId="33" fillId="59" borderId="0" xfId="111" applyFont="1" applyFill="1"/>
    <xf numFmtId="14" fontId="31" fillId="0" borderId="0" xfId="1138" applyNumberFormat="1" applyFont="1"/>
    <xf numFmtId="165" fontId="11" fillId="0" borderId="0" xfId="1138" applyNumberFormat="1"/>
    <xf numFmtId="2" fontId="11" fillId="0" borderId="0" xfId="1138" applyNumberFormat="1"/>
    <xf numFmtId="166" fontId="11" fillId="0" borderId="0" xfId="1138" applyNumberFormat="1"/>
    <xf numFmtId="10" fontId="92" fillId="2" borderId="12" xfId="105" applyNumberFormat="1" applyFont="1" applyFill="1" applyBorder="1"/>
    <xf numFmtId="10" fontId="92" fillId="2" borderId="14" xfId="105" applyNumberFormat="1" applyFont="1" applyFill="1" applyBorder="1"/>
    <xf numFmtId="10" fontId="67" fillId="0" borderId="0" xfId="105" applyNumberFormat="1" applyFont="1" applyFill="1" applyBorder="1"/>
    <xf numFmtId="10" fontId="2" fillId="0" borderId="0" xfId="105" applyNumberFormat="1" applyFont="1" applyFill="1"/>
    <xf numFmtId="0" fontId="2" fillId="0" borderId="42" xfId="0" applyFont="1" applyFill="1" applyBorder="1" applyAlignment="1">
      <alignment horizontal="left"/>
    </xf>
    <xf numFmtId="0" fontId="2" fillId="0" borderId="42" xfId="0" applyFont="1" applyBorder="1"/>
    <xf numFmtId="2" fontId="43" fillId="0" borderId="28" xfId="0" applyNumberFormat="1" applyFont="1" applyBorder="1" applyAlignment="1">
      <alignment horizontal="right"/>
    </xf>
    <xf numFmtId="10" fontId="53" fillId="0" borderId="67" xfId="105" applyNumberFormat="1" applyFont="1" applyFill="1" applyBorder="1"/>
    <xf numFmtId="10" fontId="40" fillId="0" borderId="67" xfId="0" applyNumberFormat="1" applyFont="1" applyBorder="1" applyAlignment="1">
      <alignment horizontal="right" wrapText="1"/>
    </xf>
    <xf numFmtId="2" fontId="2" fillId="0" borderId="53" xfId="0" applyNumberFormat="1" applyFont="1" applyFill="1" applyBorder="1"/>
    <xf numFmtId="0" fontId="40" fillId="0" borderId="53" xfId="0" applyFont="1" applyBorder="1" applyAlignment="1">
      <alignment horizontal="left" wrapText="1"/>
    </xf>
    <xf numFmtId="0" fontId="2" fillId="56" borderId="35" xfId="0" applyFont="1" applyFill="1" applyBorder="1"/>
    <xf numFmtId="10" fontId="4" fillId="56" borderId="13" xfId="89" applyNumberFormat="1" applyFont="1" applyFill="1" applyBorder="1" applyAlignment="1">
      <alignment horizontal="right"/>
    </xf>
    <xf numFmtId="0" fontId="2" fillId="56" borderId="40" xfId="0" applyFont="1" applyFill="1" applyBorder="1" applyAlignment="1">
      <alignment horizontal="left"/>
    </xf>
    <xf numFmtId="0" fontId="53" fillId="0" borderId="26" xfId="0" applyFont="1" applyBorder="1"/>
    <xf numFmtId="37" fontId="53" fillId="0" borderId="12" xfId="0" applyNumberFormat="1" applyFont="1" applyBorder="1"/>
    <xf numFmtId="0" fontId="4" fillId="0" borderId="0" xfId="107" applyFont="1" applyFill="1"/>
    <xf numFmtId="0" fontId="4" fillId="0" borderId="0" xfId="107" applyFont="1" applyFill="1" applyBorder="1"/>
    <xf numFmtId="167" fontId="53" fillId="0" borderId="26" xfId="0" applyNumberFormat="1" applyFont="1" applyBorder="1" applyAlignment="1">
      <alignment horizontal="left"/>
    </xf>
    <xf numFmtId="0" fontId="67" fillId="0" borderId="0" xfId="107" applyFont="1" applyFill="1"/>
    <xf numFmtId="0" fontId="67" fillId="0" borderId="0" xfId="107" applyFont="1" applyFill="1" applyAlignment="1">
      <alignment horizontal="center"/>
    </xf>
    <xf numFmtId="0" fontId="67" fillId="0" borderId="0" xfId="107" applyFont="1" applyFill="1" applyAlignment="1">
      <alignment wrapText="1"/>
    </xf>
    <xf numFmtId="0" fontId="67" fillId="0" borderId="0" xfId="107" applyFont="1" applyFill="1" applyBorder="1"/>
    <xf numFmtId="0" fontId="67" fillId="0" borderId="41" xfId="0" applyFont="1" applyBorder="1" applyAlignment="1">
      <alignment horizontal="center"/>
    </xf>
    <xf numFmtId="0" fontId="67" fillId="0" borderId="52" xfId="0" applyFont="1" applyBorder="1" applyAlignment="1">
      <alignment horizontal="center"/>
    </xf>
    <xf numFmtId="3" fontId="67" fillId="0" borderId="52" xfId="0" applyNumberFormat="1" applyFont="1" applyBorder="1" applyAlignment="1">
      <alignment horizontal="center"/>
    </xf>
    <xf numFmtId="3" fontId="67" fillId="0" borderId="82" xfId="0" applyNumberFormat="1" applyFont="1" applyBorder="1" applyAlignment="1">
      <alignment horizontal="center"/>
    </xf>
    <xf numFmtId="0" fontId="65" fillId="31" borderId="92" xfId="0" applyFont="1" applyFill="1" applyBorder="1" applyAlignment="1">
      <alignment horizontal="center" vertical="center" wrapText="1"/>
    </xf>
    <xf numFmtId="0" fontId="66" fillId="0" borderId="42" xfId="0" applyFont="1" applyBorder="1"/>
    <xf numFmtId="167" fontId="97" fillId="0" borderId="52" xfId="0" applyNumberFormat="1" applyFont="1" applyBorder="1" applyAlignment="1">
      <alignment horizontal="center"/>
    </xf>
    <xf numFmtId="0" fontId="65" fillId="0" borderId="52" xfId="0" applyFont="1" applyBorder="1" applyAlignment="1">
      <alignment horizontal="center"/>
    </xf>
    <xf numFmtId="1" fontId="68" fillId="0" borderId="52" xfId="0" applyNumberFormat="1" applyFont="1" applyBorder="1" applyAlignment="1">
      <alignment horizontal="center"/>
    </xf>
    <xf numFmtId="167" fontId="68" fillId="0" borderId="82" xfId="0" applyNumberFormat="1" applyFont="1" applyBorder="1" applyAlignment="1">
      <alignment horizontal="right"/>
    </xf>
    <xf numFmtId="167" fontId="67" fillId="0" borderId="46" xfId="0" applyNumberFormat="1" applyFont="1" applyBorder="1" applyAlignment="1">
      <alignment horizontal="left"/>
    </xf>
    <xf numFmtId="167" fontId="67" fillId="0" borderId="47" xfId="0" applyNumberFormat="1" applyFont="1" applyFill="1" applyBorder="1" applyAlignment="1">
      <alignment horizontal="center"/>
    </xf>
    <xf numFmtId="167" fontId="1" fillId="0" borderId="42" xfId="0" applyNumberFormat="1" applyFont="1" applyBorder="1"/>
    <xf numFmtId="0" fontId="97" fillId="0" borderId="52" xfId="0" applyFont="1" applyBorder="1" applyAlignment="1">
      <alignment horizontal="center"/>
    </xf>
    <xf numFmtId="167" fontId="1" fillId="0" borderId="52" xfId="0" applyNumberFormat="1" applyFont="1" applyBorder="1"/>
    <xf numFmtId="2" fontId="67" fillId="0" borderId="52" xfId="0" applyNumberFormat="1" applyFont="1" applyFill="1" applyBorder="1" applyAlignment="1">
      <alignment horizontal="center"/>
    </xf>
    <xf numFmtId="167" fontId="1" fillId="0" borderId="82" xfId="0" applyNumberFormat="1" applyFont="1" applyBorder="1"/>
    <xf numFmtId="167" fontId="67" fillId="0" borderId="26" xfId="0" applyNumberFormat="1" applyFont="1" applyBorder="1" applyAlignment="1"/>
    <xf numFmtId="167" fontId="67" fillId="0" borderId="0" xfId="0" applyNumberFormat="1" applyFont="1" applyFill="1" applyBorder="1" applyAlignment="1">
      <alignment horizontal="center"/>
    </xf>
    <xf numFmtId="167" fontId="1" fillId="0" borderId="80" xfId="0" applyNumberFormat="1" applyFont="1" applyBorder="1"/>
    <xf numFmtId="2" fontId="67" fillId="0" borderId="80" xfId="0" applyNumberFormat="1" applyFont="1" applyFill="1" applyBorder="1" applyAlignment="1">
      <alignment horizontal="center"/>
    </xf>
    <xf numFmtId="167" fontId="1" fillId="0" borderId="83" xfId="0" applyNumberFormat="1" applyFont="1" applyBorder="1"/>
    <xf numFmtId="0" fontId="1" fillId="0" borderId="45" xfId="0" applyFont="1" applyBorder="1" applyAlignment="1">
      <alignment horizontal="left" wrapText="1"/>
    </xf>
    <xf numFmtId="0" fontId="67" fillId="0" borderId="42" xfId="0" applyFont="1" applyBorder="1" applyAlignment="1">
      <alignment horizontal="right"/>
    </xf>
    <xf numFmtId="167" fontId="67" fillId="0" borderId="52" xfId="0" applyNumberFormat="1" applyFont="1" applyBorder="1" applyAlignment="1">
      <alignment horizontal="center"/>
    </xf>
    <xf numFmtId="167" fontId="67" fillId="0" borderId="60" xfId="0" applyNumberFormat="1" applyFont="1" applyBorder="1"/>
    <xf numFmtId="0" fontId="67" fillId="0" borderId="84" xfId="0" applyFont="1" applyFill="1" applyBorder="1"/>
    <xf numFmtId="9" fontId="69" fillId="0" borderId="68" xfId="0" applyNumberFormat="1" applyFont="1" applyFill="1" applyBorder="1" applyAlignment="1">
      <alignment horizontal="center" vertical="center"/>
    </xf>
    <xf numFmtId="10" fontId="69" fillId="0" borderId="68" xfId="0" applyNumberFormat="1" applyFont="1" applyBorder="1" applyAlignment="1"/>
    <xf numFmtId="167" fontId="80" fillId="0" borderId="26" xfId="0" applyNumberFormat="1" applyFont="1" applyBorder="1" applyAlignment="1">
      <alignment horizontal="left"/>
    </xf>
    <xf numFmtId="10" fontId="80" fillId="0" borderId="0" xfId="105" applyNumberFormat="1" applyFont="1" applyFill="1" applyBorder="1" applyAlignment="1">
      <alignment horizontal="center"/>
    </xf>
    <xf numFmtId="0" fontId="1" fillId="0" borderId="35" xfId="0" applyFont="1" applyBorder="1"/>
    <xf numFmtId="10" fontId="67" fillId="0" borderId="13" xfId="0" applyNumberFormat="1" applyFont="1" applyFill="1" applyBorder="1" applyAlignment="1">
      <alignment horizontal="center" vertical="center"/>
    </xf>
    <xf numFmtId="49" fontId="1" fillId="0" borderId="81" xfId="0" applyNumberFormat="1" applyFont="1" applyBorder="1" applyAlignment="1">
      <alignment wrapText="1"/>
    </xf>
    <xf numFmtId="9" fontId="67" fillId="0" borderId="0" xfId="107" applyNumberFormat="1" applyFont="1" applyFill="1"/>
    <xf numFmtId="0" fontId="34" fillId="33" borderId="44" xfId="0" applyFont="1" applyFill="1" applyBorder="1"/>
    <xf numFmtId="10" fontId="34" fillId="33" borderId="49" xfId="0" applyNumberFormat="1" applyFont="1" applyFill="1" applyBorder="1" applyAlignment="1">
      <alignment horizontal="center"/>
    </xf>
    <xf numFmtId="10" fontId="34" fillId="33" borderId="49" xfId="0" applyNumberFormat="1" applyFont="1" applyFill="1" applyBorder="1"/>
    <xf numFmtId="0" fontId="34" fillId="33" borderId="49" xfId="0" applyFont="1" applyFill="1" applyBorder="1" applyAlignment="1">
      <alignment horizontal="center"/>
    </xf>
    <xf numFmtId="174" fontId="34" fillId="33" borderId="45" xfId="0" applyNumberFormat="1" applyFont="1" applyFill="1" applyBorder="1"/>
    <xf numFmtId="10" fontId="67" fillId="0" borderId="0" xfId="107" applyNumberFormat="1" applyFont="1" applyFill="1"/>
    <xf numFmtId="0" fontId="65" fillId="0" borderId="42" xfId="107" applyFont="1" applyFill="1" applyBorder="1" applyAlignment="1">
      <alignment horizontal="right"/>
    </xf>
    <xf numFmtId="0" fontId="65" fillId="0" borderId="52" xfId="107" applyFont="1" applyFill="1" applyBorder="1"/>
    <xf numFmtId="164" fontId="65" fillId="0" borderId="82" xfId="107" applyNumberFormat="1" applyFont="1" applyFill="1" applyBorder="1"/>
    <xf numFmtId="0" fontId="67" fillId="0" borderId="0" xfId="107" applyFont="1" applyFill="1" applyAlignment="1">
      <alignment vertical="center" wrapText="1"/>
    </xf>
    <xf numFmtId="0" fontId="65" fillId="0" borderId="86" xfId="107" applyFont="1" applyFill="1" applyBorder="1" applyAlignment="1">
      <alignment horizontal="right"/>
    </xf>
    <xf numFmtId="0" fontId="65" fillId="0" borderId="87" xfId="107" applyFont="1" applyFill="1" applyBorder="1"/>
    <xf numFmtId="164" fontId="65" fillId="0" borderId="88" xfId="107" applyNumberFormat="1" applyFont="1" applyFill="1" applyBorder="1"/>
    <xf numFmtId="0" fontId="1" fillId="0" borderId="59" xfId="0" applyFont="1" applyBorder="1" applyAlignment="1">
      <alignment horizontal="center"/>
    </xf>
    <xf numFmtId="0" fontId="1" fillId="56" borderId="35" xfId="0" applyFont="1" applyFill="1" applyBorder="1"/>
    <xf numFmtId="10" fontId="67" fillId="56" borderId="13" xfId="89" applyNumberFormat="1" applyFont="1" applyFill="1" applyBorder="1" applyAlignment="1">
      <alignment horizontal="center"/>
    </xf>
    <xf numFmtId="49" fontId="1" fillId="56" borderId="81" xfId="0" applyNumberFormat="1" applyFont="1" applyFill="1" applyBorder="1" applyAlignment="1">
      <alignment wrapText="1"/>
    </xf>
    <xf numFmtId="10" fontId="67" fillId="0" borderId="0" xfId="105" applyNumberFormat="1" applyFont="1" applyFill="1"/>
    <xf numFmtId="167" fontId="67" fillId="0" borderId="0" xfId="0" applyNumberFormat="1" applyFont="1" applyBorder="1" applyAlignment="1">
      <alignment horizontal="left"/>
    </xf>
    <xf numFmtId="0" fontId="39" fillId="0" borderId="0" xfId="107" applyFont="1" applyFill="1" applyBorder="1" applyAlignment="1"/>
    <xf numFmtId="0" fontId="4" fillId="0" borderId="0" xfId="107" applyFont="1" applyFill="1" applyBorder="1" applyAlignment="1">
      <alignment horizontal="center"/>
    </xf>
    <xf numFmtId="172" fontId="4" fillId="0" borderId="0" xfId="109" applyNumberFormat="1" applyFont="1" applyFill="1" applyBorder="1" applyAlignment="1">
      <alignment horizontal="left"/>
    </xf>
    <xf numFmtId="0" fontId="65" fillId="0" borderId="0" xfId="107" applyFont="1" applyFill="1" applyBorder="1"/>
    <xf numFmtId="167" fontId="67" fillId="0" borderId="26" xfId="0" applyNumberFormat="1" applyFont="1" applyBorder="1" applyAlignment="1">
      <alignment horizontal="left"/>
    </xf>
    <xf numFmtId="167" fontId="67" fillId="0" borderId="35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4" fontId="4" fillId="0" borderId="0" xfId="104" applyFont="1" applyFill="1"/>
    <xf numFmtId="0" fontId="4" fillId="0" borderId="0" xfId="107" applyFont="1"/>
    <xf numFmtId="0" fontId="4" fillId="0" borderId="37" xfId="107" applyFont="1" applyBorder="1" applyAlignment="1"/>
    <xf numFmtId="0" fontId="39" fillId="0" borderId="10" xfId="107" applyFont="1" applyBorder="1" applyAlignment="1"/>
    <xf numFmtId="0" fontId="4" fillId="0" borderId="10" xfId="107" applyFont="1" applyBorder="1" applyAlignment="1"/>
    <xf numFmtId="0" fontId="4" fillId="0" borderId="11" xfId="107" applyFont="1" applyBorder="1" applyAlignment="1"/>
    <xf numFmtId="0" fontId="4" fillId="0" borderId="35" xfId="107" applyFont="1" applyBorder="1"/>
    <xf numFmtId="0" fontId="4" fillId="0" borderId="13" xfId="107" applyFont="1" applyBorder="1" applyAlignment="1">
      <alignment wrapText="1"/>
    </xf>
    <xf numFmtId="0" fontId="4" fillId="0" borderId="13" xfId="107" applyFont="1" applyBorder="1"/>
    <xf numFmtId="0" fontId="4" fillId="0" borderId="14" xfId="107" applyFont="1" applyBorder="1"/>
    <xf numFmtId="0" fontId="4" fillId="0" borderId="21" xfId="107" applyFont="1" applyBorder="1" applyAlignment="1">
      <alignment horizontal="center"/>
    </xf>
    <xf numFmtId="0" fontId="4" fillId="0" borderId="31" xfId="107" applyFont="1" applyBorder="1" applyAlignment="1">
      <alignment horizontal="center"/>
    </xf>
    <xf numFmtId="0" fontId="4" fillId="0" borderId="54" xfId="107" applyFont="1" applyBorder="1"/>
    <xf numFmtId="0" fontId="4" fillId="0" borderId="16" xfId="107" applyFont="1" applyBorder="1" applyAlignment="1">
      <alignment horizontal="center"/>
    </xf>
    <xf numFmtId="174" fontId="4" fillId="0" borderId="16" xfId="107" applyNumberFormat="1" applyFont="1" applyBorder="1" applyAlignment="1">
      <alignment horizontal="center"/>
    </xf>
    <xf numFmtId="174" fontId="4" fillId="0" borderId="66" xfId="107" applyNumberFormat="1" applyFont="1" applyBorder="1" applyAlignment="1">
      <alignment horizontal="right"/>
    </xf>
    <xf numFmtId="0" fontId="4" fillId="0" borderId="26" xfId="107" applyFont="1" applyBorder="1"/>
    <xf numFmtId="0" fontId="4" fillId="0" borderId="0" xfId="107" applyFont="1" applyBorder="1" applyAlignment="1">
      <alignment horizontal="center"/>
    </xf>
    <xf numFmtId="174" fontId="4" fillId="0" borderId="0" xfId="107" applyNumberFormat="1" applyFont="1" applyBorder="1" applyAlignment="1">
      <alignment horizontal="center"/>
    </xf>
    <xf numFmtId="174" fontId="4" fillId="0" borderId="12" xfId="107" applyNumberFormat="1" applyFont="1" applyBorder="1" applyAlignment="1">
      <alignment horizontal="right"/>
    </xf>
    <xf numFmtId="0" fontId="39" fillId="0" borderId="26" xfId="107" applyFont="1" applyBorder="1"/>
    <xf numFmtId="0" fontId="4" fillId="0" borderId="12" xfId="107" applyFont="1" applyBorder="1"/>
    <xf numFmtId="0" fontId="39" fillId="0" borderId="27" xfId="107" applyFont="1" applyBorder="1"/>
    <xf numFmtId="0" fontId="39" fillId="0" borderId="28" xfId="107" applyFont="1" applyBorder="1" applyAlignment="1">
      <alignment horizontal="center"/>
    </xf>
    <xf numFmtId="174" fontId="39" fillId="0" borderId="29" xfId="107" applyNumberFormat="1" applyFont="1" applyBorder="1" applyAlignment="1">
      <alignment horizontal="right"/>
    </xf>
    <xf numFmtId="0" fontId="4" fillId="0" borderId="62" xfId="107" applyFont="1" applyBorder="1"/>
    <xf numFmtId="9" fontId="4" fillId="0" borderId="63" xfId="107" applyNumberFormat="1" applyFont="1" applyBorder="1" applyAlignment="1">
      <alignment horizontal="center"/>
    </xf>
    <xf numFmtId="0" fontId="4" fillId="0" borderId="63" xfId="107" applyFont="1" applyBorder="1" applyAlignment="1">
      <alignment horizontal="center"/>
    </xf>
    <xf numFmtId="0" fontId="4" fillId="0" borderId="63" xfId="107" applyFont="1" applyBorder="1"/>
    <xf numFmtId="174" fontId="4" fillId="0" borderId="64" xfId="107" applyNumberFormat="1" applyFont="1" applyBorder="1" applyAlignment="1">
      <alignment horizontal="right"/>
    </xf>
    <xf numFmtId="0" fontId="4" fillId="0" borderId="55" xfId="107" applyFont="1" applyBorder="1"/>
    <xf numFmtId="0" fontId="4" fillId="0" borderId="56" xfId="107" applyFont="1" applyBorder="1" applyAlignment="1">
      <alignment horizontal="center"/>
    </xf>
    <xf numFmtId="0" fontId="4" fillId="0" borderId="56" xfId="107" applyFont="1" applyBorder="1"/>
    <xf numFmtId="174" fontId="39" fillId="0" borderId="57" xfId="107" applyNumberFormat="1" applyFont="1" applyBorder="1" applyAlignment="1">
      <alignment horizontal="right"/>
    </xf>
    <xf numFmtId="0" fontId="4" fillId="0" borderId="0" xfId="107" applyFont="1" applyBorder="1"/>
    <xf numFmtId="174" fontId="39" fillId="0" borderId="12" xfId="107" applyNumberFormat="1" applyFont="1" applyBorder="1" applyAlignment="1">
      <alignment horizontal="right"/>
    </xf>
    <xf numFmtId="0" fontId="4" fillId="0" borderId="26" xfId="107" applyFont="1" applyFill="1" applyBorder="1"/>
    <xf numFmtId="10" fontId="4" fillId="0" borderId="0" xfId="105" applyNumberFormat="1" applyFont="1" applyFill="1" applyBorder="1" applyAlignment="1">
      <alignment horizontal="center"/>
    </xf>
    <xf numFmtId="0" fontId="4" fillId="0" borderId="12" xfId="107" applyFont="1" applyFill="1" applyBorder="1"/>
    <xf numFmtId="0" fontId="4" fillId="0" borderId="27" xfId="107" applyFont="1" applyBorder="1"/>
    <xf numFmtId="0" fontId="4" fillId="0" borderId="28" xfId="107" applyFont="1" applyBorder="1" applyAlignment="1">
      <alignment horizontal="center"/>
    </xf>
    <xf numFmtId="0" fontId="4" fillId="0" borderId="28" xfId="107" applyFont="1" applyBorder="1"/>
    <xf numFmtId="9" fontId="4" fillId="0" borderId="0" xfId="107" applyNumberFormat="1" applyFont="1" applyBorder="1" applyAlignment="1">
      <alignment horizontal="center"/>
    </xf>
    <xf numFmtId="164" fontId="4" fillId="0" borderId="0" xfId="107" applyNumberFormat="1" applyFont="1"/>
    <xf numFmtId="0" fontId="4" fillId="0" borderId="32" xfId="107" applyFont="1" applyBorder="1"/>
    <xf numFmtId="0" fontId="4" fillId="0" borderId="33" xfId="107" applyFont="1" applyBorder="1" applyAlignment="1">
      <alignment horizontal="center"/>
    </xf>
    <xf numFmtId="0" fontId="4" fillId="0" borderId="33" xfId="107" applyFont="1" applyBorder="1"/>
    <xf numFmtId="174" fontId="39" fillId="0" borderId="34" xfId="107" applyNumberFormat="1" applyFont="1" applyBorder="1" applyAlignment="1">
      <alignment horizontal="right"/>
    </xf>
    <xf numFmtId="0" fontId="4" fillId="0" borderId="12" xfId="107" applyFont="1" applyBorder="1" applyAlignment="1">
      <alignment horizontal="right"/>
    </xf>
    <xf numFmtId="164" fontId="39" fillId="2" borderId="64" xfId="107" applyNumberFormat="1" applyFont="1" applyFill="1" applyBorder="1" applyAlignment="1">
      <alignment horizontal="right"/>
    </xf>
    <xf numFmtId="0" fontId="67" fillId="0" borderId="0" xfId="107" applyFont="1"/>
    <xf numFmtId="0" fontId="67" fillId="0" borderId="37" xfId="107" applyFont="1" applyBorder="1"/>
    <xf numFmtId="0" fontId="67" fillId="0" borderId="35" xfId="107" applyFont="1" applyBorder="1"/>
    <xf numFmtId="0" fontId="67" fillId="0" borderId="13" xfId="107" applyFont="1" applyBorder="1"/>
    <xf numFmtId="0" fontId="67" fillId="0" borderId="14" xfId="107" applyFont="1" applyBorder="1"/>
    <xf numFmtId="0" fontId="67" fillId="0" borderId="84" xfId="107" applyFont="1" applyBorder="1"/>
    <xf numFmtId="0" fontId="67" fillId="0" borderId="26" xfId="107" applyFont="1" applyBorder="1"/>
    <xf numFmtId="0" fontId="67" fillId="0" borderId="0" xfId="107" applyFont="1" applyBorder="1" applyAlignment="1">
      <alignment horizontal="center"/>
    </xf>
    <xf numFmtId="0" fontId="67" fillId="0" borderId="42" xfId="107" applyFont="1" applyBorder="1"/>
    <xf numFmtId="0" fontId="65" fillId="0" borderId="26" xfId="107" applyFont="1" applyBorder="1"/>
    <xf numFmtId="0" fontId="65" fillId="0" borderId="27" xfId="107" applyFont="1" applyBorder="1"/>
    <xf numFmtId="9" fontId="67" fillId="0" borderId="52" xfId="107" applyNumberFormat="1" applyFont="1" applyBorder="1" applyAlignment="1">
      <alignment horizontal="center"/>
    </xf>
    <xf numFmtId="0" fontId="67" fillId="0" borderId="55" xfId="107" applyFont="1" applyBorder="1"/>
    <xf numFmtId="0" fontId="67" fillId="0" borderId="56" xfId="107" applyFont="1" applyBorder="1" applyAlignment="1">
      <alignment horizontal="center"/>
    </xf>
    <xf numFmtId="0" fontId="67" fillId="0" borderId="56" xfId="107" applyFont="1" applyBorder="1"/>
    <xf numFmtId="0" fontId="67" fillId="0" borderId="0" xfId="107" applyFont="1" applyBorder="1"/>
    <xf numFmtId="0" fontId="67" fillId="0" borderId="26" xfId="107" applyFont="1" applyFill="1" applyBorder="1"/>
    <xf numFmtId="0" fontId="67" fillId="0" borderId="27" xfId="107" applyFont="1" applyBorder="1"/>
    <xf numFmtId="0" fontId="67" fillId="0" borderId="28" xfId="107" applyFont="1" applyBorder="1"/>
    <xf numFmtId="10" fontId="67" fillId="54" borderId="49" xfId="107" applyNumberFormat="1" applyFont="1" applyFill="1" applyBorder="1" applyAlignment="1">
      <alignment horizontal="center"/>
    </xf>
    <xf numFmtId="9" fontId="67" fillId="0" borderId="0" xfId="107" applyNumberFormat="1" applyFont="1" applyBorder="1" applyAlignment="1">
      <alignment horizontal="center"/>
    </xf>
    <xf numFmtId="164" fontId="67" fillId="0" borderId="0" xfId="107" applyNumberFormat="1" applyFont="1"/>
    <xf numFmtId="0" fontId="80" fillId="0" borderId="26" xfId="107" applyFont="1" applyBorder="1"/>
    <xf numFmtId="0" fontId="80" fillId="0" borderId="67" xfId="107" applyFont="1" applyBorder="1"/>
    <xf numFmtId="10" fontId="80" fillId="0" borderId="52" xfId="105" applyNumberFormat="1" applyFont="1" applyBorder="1" applyAlignment="1">
      <alignment horizontal="center"/>
    </xf>
    <xf numFmtId="0" fontId="67" fillId="0" borderId="41" xfId="107" applyFont="1" applyBorder="1"/>
    <xf numFmtId="0" fontId="67" fillId="0" borderId="20" xfId="107" applyFont="1" applyBorder="1"/>
    <xf numFmtId="0" fontId="67" fillId="0" borderId="31" xfId="107" applyFont="1" applyBorder="1"/>
    <xf numFmtId="168" fontId="67" fillId="0" borderId="0" xfId="107" applyNumberFormat="1" applyFont="1" applyBorder="1" applyAlignment="1">
      <alignment horizontal="center"/>
    </xf>
    <xf numFmtId="10" fontId="80" fillId="0" borderId="0" xfId="107" applyNumberFormat="1" applyFont="1" applyBorder="1" applyAlignment="1">
      <alignment horizontal="center"/>
    </xf>
    <xf numFmtId="0" fontId="80" fillId="0" borderId="0" xfId="107" applyFont="1" applyBorder="1"/>
    <xf numFmtId="44" fontId="67" fillId="0" borderId="0" xfId="104" applyNumberFormat="1" applyFont="1"/>
    <xf numFmtId="44" fontId="67" fillId="0" borderId="0" xfId="107" applyNumberFormat="1" applyFont="1"/>
    <xf numFmtId="10" fontId="67" fillId="0" borderId="0" xfId="105" applyNumberFormat="1" applyFont="1"/>
    <xf numFmtId="174" fontId="67" fillId="0" borderId="0" xfId="107" applyNumberFormat="1" applyFont="1"/>
    <xf numFmtId="0" fontId="65" fillId="0" borderId="41" xfId="107" applyFont="1" applyBorder="1"/>
    <xf numFmtId="174" fontId="67" fillId="0" borderId="60" xfId="107" applyNumberFormat="1" applyFont="1" applyBorder="1" applyAlignment="1">
      <alignment horizontal="center"/>
    </xf>
    <xf numFmtId="0" fontId="67" fillId="0" borderId="21" xfId="107" applyFont="1" applyBorder="1"/>
    <xf numFmtId="0" fontId="65" fillId="0" borderId="42" xfId="107" applyFont="1" applyBorder="1"/>
    <xf numFmtId="174" fontId="67" fillId="0" borderId="52" xfId="107" applyNumberFormat="1" applyFont="1" applyBorder="1" applyAlignment="1">
      <alignment horizontal="center"/>
    </xf>
    <xf numFmtId="0" fontId="67" fillId="0" borderId="67" xfId="107" applyFont="1" applyBorder="1"/>
    <xf numFmtId="0" fontId="67" fillId="0" borderId="29" xfId="107" applyFont="1" applyBorder="1"/>
    <xf numFmtId="0" fontId="67" fillId="33" borderId="23" xfId="107" applyFont="1" applyFill="1" applyBorder="1" applyAlignment="1"/>
    <xf numFmtId="0" fontId="67" fillId="33" borderId="24" xfId="107" applyFont="1" applyFill="1" applyBorder="1"/>
    <xf numFmtId="174" fontId="67" fillId="33" borderId="25" xfId="107" applyNumberFormat="1" applyFont="1" applyFill="1" applyBorder="1"/>
    <xf numFmtId="0" fontId="67" fillId="33" borderId="44" xfId="107" applyFont="1" applyFill="1" applyBorder="1" applyAlignment="1"/>
    <xf numFmtId="0" fontId="67" fillId="33" borderId="49" xfId="107" applyFont="1" applyFill="1" applyBorder="1"/>
    <xf numFmtId="174" fontId="67" fillId="33" borderId="45" xfId="107" applyNumberFormat="1" applyFont="1" applyFill="1" applyBorder="1"/>
    <xf numFmtId="0" fontId="65" fillId="0" borderId="60" xfId="107" applyFont="1" applyBorder="1"/>
    <xf numFmtId="174" fontId="67" fillId="0" borderId="51" xfId="107" applyNumberFormat="1" applyFont="1" applyBorder="1"/>
    <xf numFmtId="0" fontId="65" fillId="0" borderId="52" xfId="107" applyFont="1" applyBorder="1"/>
    <xf numFmtId="174" fontId="65" fillId="0" borderId="82" xfId="107" applyNumberFormat="1" applyFont="1" applyBorder="1"/>
    <xf numFmtId="0" fontId="67" fillId="0" borderId="90" xfId="107" applyFont="1" applyBorder="1"/>
    <xf numFmtId="0" fontId="67" fillId="0" borderId="91" xfId="107" applyFont="1" applyBorder="1"/>
    <xf numFmtId="164" fontId="65" fillId="33" borderId="81" xfId="107" applyNumberFormat="1" applyFont="1" applyFill="1" applyBorder="1"/>
    <xf numFmtId="0" fontId="65" fillId="54" borderId="44" xfId="107" applyFont="1" applyFill="1" applyBorder="1"/>
    <xf numFmtId="0" fontId="67" fillId="54" borderId="102" xfId="107" applyFont="1" applyFill="1" applyBorder="1"/>
    <xf numFmtId="0" fontId="67" fillId="54" borderId="24" xfId="107" applyFont="1" applyFill="1" applyBorder="1"/>
    <xf numFmtId="0" fontId="67" fillId="54" borderId="25" xfId="107" applyFont="1" applyFill="1" applyBorder="1"/>
    <xf numFmtId="0" fontId="74" fillId="0" borderId="58" xfId="107" applyFont="1" applyFill="1" applyBorder="1"/>
    <xf numFmtId="0" fontId="74" fillId="0" borderId="19" xfId="107" applyFont="1" applyFill="1" applyBorder="1"/>
    <xf numFmtId="2" fontId="74" fillId="0" borderId="19" xfId="107" applyNumberFormat="1" applyFont="1" applyFill="1" applyBorder="1"/>
    <xf numFmtId="0" fontId="93" fillId="0" borderId="42" xfId="107" applyFont="1" applyBorder="1"/>
    <xf numFmtId="174" fontId="65" fillId="0" borderId="85" xfId="107" applyNumberFormat="1" applyFont="1" applyBorder="1"/>
    <xf numFmtId="9" fontId="4" fillId="0" borderId="0" xfId="105" applyFont="1" applyBorder="1"/>
    <xf numFmtId="10" fontId="65" fillId="0" borderId="0" xfId="105" applyNumberFormat="1" applyFont="1" applyBorder="1" applyAlignment="1">
      <alignment horizontal="center"/>
    </xf>
    <xf numFmtId="167" fontId="69" fillId="0" borderId="0" xfId="106" applyNumberFormat="1" applyFont="1" applyBorder="1" applyAlignment="1">
      <alignment horizontal="center"/>
    </xf>
    <xf numFmtId="10" fontId="81" fillId="0" borderId="0" xfId="106" applyNumberFormat="1" applyFont="1" applyFill="1" applyBorder="1" applyAlignment="1">
      <alignment horizontal="center"/>
    </xf>
    <xf numFmtId="168" fontId="65" fillId="0" borderId="0" xfId="87" applyNumberFormat="1" applyFont="1" applyFill="1" applyBorder="1" applyAlignment="1">
      <alignment horizontal="center"/>
    </xf>
    <xf numFmtId="0" fontId="68" fillId="0" borderId="37" xfId="106" applyFont="1" applyBorder="1"/>
    <xf numFmtId="166" fontId="67" fillId="0" borderId="10" xfId="106" applyNumberFormat="1" applyFont="1" applyBorder="1"/>
    <xf numFmtId="0" fontId="65" fillId="0" borderId="11" xfId="106" applyFont="1" applyBorder="1"/>
    <xf numFmtId="0" fontId="69" fillId="0" borderId="12" xfId="106" applyFont="1" applyBorder="1"/>
    <xf numFmtId="0" fontId="67" fillId="0" borderId="12" xfId="106" applyFont="1" applyBorder="1"/>
    <xf numFmtId="2" fontId="65" fillId="0" borderId="12" xfId="106" applyNumberFormat="1" applyFont="1" applyBorder="1" applyAlignment="1"/>
    <xf numFmtId="10" fontId="67" fillId="0" borderId="26" xfId="106" applyNumberFormat="1" applyFont="1" applyBorder="1"/>
    <xf numFmtId="2" fontId="67" fillId="0" borderId="26" xfId="106" applyNumberFormat="1" applyFont="1" applyFill="1" applyBorder="1"/>
    <xf numFmtId="169" fontId="65" fillId="0" borderId="12" xfId="106" applyNumberFormat="1" applyFont="1" applyBorder="1"/>
    <xf numFmtId="1" fontId="67" fillId="0" borderId="26" xfId="106" applyNumberFormat="1" applyFont="1" applyBorder="1"/>
    <xf numFmtId="10" fontId="93" fillId="0" borderId="0" xfId="105" applyNumberFormat="1" applyFont="1" applyBorder="1" applyAlignment="1">
      <alignment horizontal="center"/>
    </xf>
    <xf numFmtId="1" fontId="80" fillId="0" borderId="26" xfId="106" applyNumberFormat="1" applyFont="1" applyBorder="1"/>
    <xf numFmtId="0" fontId="80" fillId="0" borderId="26" xfId="106" applyFont="1" applyBorder="1"/>
    <xf numFmtId="0" fontId="80" fillId="0" borderId="0" xfId="106" applyFont="1" applyBorder="1"/>
    <xf numFmtId="10" fontId="80" fillId="0" borderId="0" xfId="106" applyNumberFormat="1" applyFont="1" applyFill="1" applyBorder="1"/>
    <xf numFmtId="2" fontId="80" fillId="0" borderId="0" xfId="106" applyNumberFormat="1" applyFont="1" applyBorder="1"/>
    <xf numFmtId="167" fontId="80" fillId="0" borderId="12" xfId="106" applyNumberFormat="1" applyFont="1" applyBorder="1"/>
    <xf numFmtId="10" fontId="80" fillId="0" borderId="0" xfId="106" applyNumberFormat="1" applyFont="1" applyBorder="1"/>
    <xf numFmtId="167" fontId="80" fillId="0" borderId="0" xfId="106" applyNumberFormat="1" applyFont="1" applyBorder="1"/>
    <xf numFmtId="164" fontId="80" fillId="0" borderId="0" xfId="106" applyNumberFormat="1" applyFont="1" applyBorder="1"/>
    <xf numFmtId="8" fontId="65" fillId="0" borderId="0" xfId="106" applyNumberFormat="1" applyFont="1" applyFill="1" applyBorder="1"/>
    <xf numFmtId="169" fontId="67" fillId="0" borderId="0" xfId="106" applyNumberFormat="1" applyFont="1" applyFill="1" applyBorder="1"/>
    <xf numFmtId="0" fontId="65" fillId="0" borderId="0" xfId="106" applyFont="1" applyFill="1" applyBorder="1" applyAlignment="1">
      <alignment horizontal="center"/>
    </xf>
    <xf numFmtId="3" fontId="65" fillId="0" borderId="0" xfId="106" applyNumberFormat="1" applyFont="1" applyFill="1" applyBorder="1"/>
    <xf numFmtId="169" fontId="65" fillId="0" borderId="0" xfId="106" applyNumberFormat="1" applyFont="1" applyFill="1" applyBorder="1"/>
    <xf numFmtId="0" fontId="0" fillId="0" borderId="0" xfId="0" applyFont="1" applyAlignment="1">
      <alignment horizontal="center"/>
    </xf>
    <xf numFmtId="0" fontId="0" fillId="0" borderId="37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166" fontId="0" fillId="0" borderId="30" xfId="0" applyNumberFormat="1" applyFont="1" applyBorder="1"/>
    <xf numFmtId="168" fontId="0" fillId="0" borderId="28" xfId="0" applyNumberFormat="1" applyFont="1" applyBorder="1" applyAlignment="1">
      <alignment horizontal="center"/>
    </xf>
    <xf numFmtId="0" fontId="0" fillId="0" borderId="35" xfId="0" applyFont="1" applyBorder="1"/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/>
    <xf numFmtId="0" fontId="0" fillId="0" borderId="35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35" xfId="0" applyFont="1" applyFill="1" applyBorder="1" applyAlignment="1"/>
    <xf numFmtId="0" fontId="0" fillId="0" borderId="13" xfId="0" applyFont="1" applyFill="1" applyBorder="1" applyAlignment="1"/>
    <xf numFmtId="0" fontId="2" fillId="0" borderId="0" xfId="0" applyFont="1" applyBorder="1" applyAlignment="1">
      <alignment horizontal="center"/>
    </xf>
    <xf numFmtId="167" fontId="2" fillId="0" borderId="26" xfId="0" applyNumberFormat="1" applyFont="1" applyBorder="1"/>
    <xf numFmtId="167" fontId="2" fillId="0" borderId="0" xfId="0" applyNumberFormat="1" applyFont="1" applyBorder="1"/>
    <xf numFmtId="167" fontId="2" fillId="0" borderId="12" xfId="0" applyNumberFormat="1" applyFont="1" applyBorder="1"/>
    <xf numFmtId="166" fontId="2" fillId="0" borderId="26" xfId="0" applyNumberFormat="1" applyFont="1" applyBorder="1"/>
    <xf numFmtId="0" fontId="2" fillId="0" borderId="27" xfId="0" applyFont="1" applyBorder="1"/>
    <xf numFmtId="168" fontId="2" fillId="0" borderId="28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/>
    <xf numFmtId="0" fontId="2" fillId="0" borderId="26" xfId="0" applyFont="1" applyFill="1" applyBorder="1"/>
    <xf numFmtId="0" fontId="2" fillId="0" borderId="35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168" fontId="0" fillId="0" borderId="0" xfId="97" applyNumberFormat="1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3" fontId="67" fillId="0" borderId="12" xfId="0" applyNumberFormat="1" applyFont="1" applyBorder="1" applyAlignment="1">
      <alignment horizontal="center"/>
    </xf>
    <xf numFmtId="0" fontId="66" fillId="0" borderId="37" xfId="0" applyFont="1" applyBorder="1" applyAlignment="1">
      <alignment horizontal="left" vertical="center"/>
    </xf>
    <xf numFmtId="0" fontId="66" fillId="32" borderId="39" xfId="0" applyFont="1" applyFill="1" applyBorder="1" applyAlignment="1">
      <alignment horizontal="center" vertical="center" wrapText="1"/>
    </xf>
    <xf numFmtId="0" fontId="66" fillId="0" borderId="26" xfId="0" applyFont="1" applyBorder="1"/>
    <xf numFmtId="167" fontId="97" fillId="0" borderId="0" xfId="0" applyNumberFormat="1" applyFont="1" applyBorder="1" applyAlignment="1">
      <alignment horizontal="center"/>
    </xf>
    <xf numFmtId="1" fontId="66" fillId="0" borderId="0" xfId="0" applyNumberFormat="1" applyFont="1" applyBorder="1" applyAlignment="1">
      <alignment horizontal="center"/>
    </xf>
    <xf numFmtId="167" fontId="66" fillId="0" borderId="12" xfId="0" applyNumberFormat="1" applyFont="1" applyBorder="1" applyAlignment="1">
      <alignment horizontal="right"/>
    </xf>
    <xf numFmtId="0" fontId="66" fillId="0" borderId="40" xfId="0" applyFont="1" applyBorder="1" applyAlignment="1">
      <alignment horizontal="left" vertical="center"/>
    </xf>
    <xf numFmtId="0" fontId="67" fillId="32" borderId="40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"/>
    </xf>
    <xf numFmtId="170" fontId="66" fillId="0" borderId="0" xfId="104" applyNumberFormat="1" applyFont="1" applyBorder="1"/>
    <xf numFmtId="0" fontId="66" fillId="0" borderId="12" xfId="0" applyFont="1" applyBorder="1" applyAlignment="1">
      <alignment horizontal="center"/>
    </xf>
    <xf numFmtId="0" fontId="99" fillId="0" borderId="26" xfId="0" applyFont="1" applyBorder="1"/>
    <xf numFmtId="0" fontId="97" fillId="0" borderId="12" xfId="0" applyFont="1" applyBorder="1" applyAlignment="1">
      <alignment horizontal="center"/>
    </xf>
    <xf numFmtId="0" fontId="97" fillId="0" borderId="21" xfId="0" applyFont="1" applyBorder="1" applyAlignment="1">
      <alignment horizontal="center"/>
    </xf>
    <xf numFmtId="2" fontId="67" fillId="0" borderId="21" xfId="0" applyNumberFormat="1" applyFont="1" applyFill="1" applyBorder="1" applyAlignment="1">
      <alignment horizontal="center"/>
    </xf>
    <xf numFmtId="0" fontId="67" fillId="0" borderId="30" xfId="0" applyFont="1" applyBorder="1"/>
    <xf numFmtId="167" fontId="67" fillId="0" borderId="21" xfId="0" applyNumberFormat="1" applyFont="1" applyBorder="1" applyAlignment="1">
      <alignment horizontal="center"/>
    </xf>
    <xf numFmtId="167" fontId="67" fillId="0" borderId="21" xfId="0" applyNumberFormat="1" applyFont="1" applyBorder="1"/>
    <xf numFmtId="2" fontId="67" fillId="0" borderId="21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/>
    <xf numFmtId="167" fontId="66" fillId="0" borderId="12" xfId="0" applyNumberFormat="1" applyFont="1" applyBorder="1"/>
    <xf numFmtId="9" fontId="69" fillId="0" borderId="0" xfId="0" applyNumberFormat="1" applyFont="1" applyFill="1" applyBorder="1" applyAlignment="1">
      <alignment horizontal="center" vertical="center"/>
    </xf>
    <xf numFmtId="0" fontId="66" fillId="32" borderId="23" xfId="0" applyFont="1" applyFill="1" applyBorder="1" applyAlignment="1">
      <alignment horizontal="left"/>
    </xf>
    <xf numFmtId="170" fontId="66" fillId="32" borderId="24" xfId="104" applyNumberFormat="1" applyFont="1" applyFill="1" applyBorder="1"/>
    <xf numFmtId="0" fontId="66" fillId="32" borderId="25" xfId="0" applyFont="1" applyFill="1" applyBorder="1" applyAlignment="1">
      <alignment horizontal="center"/>
    </xf>
    <xf numFmtId="167" fontId="66" fillId="0" borderId="29" xfId="0" applyNumberFormat="1" applyFont="1" applyBorder="1"/>
    <xf numFmtId="0" fontId="66" fillId="0" borderId="26" xfId="0" applyFont="1" applyBorder="1" applyAlignment="1">
      <alignment horizontal="left"/>
    </xf>
    <xf numFmtId="9" fontId="66" fillId="0" borderId="0" xfId="105" applyNumberFormat="1" applyFont="1" applyBorder="1" applyAlignment="1">
      <alignment horizontal="center"/>
    </xf>
    <xf numFmtId="9" fontId="66" fillId="0" borderId="12" xfId="105" applyFont="1" applyBorder="1" applyAlignment="1">
      <alignment horizontal="center"/>
    </xf>
    <xf numFmtId="0" fontId="66" fillId="54" borderId="26" xfId="0" applyFont="1" applyFill="1" applyBorder="1"/>
    <xf numFmtId="10" fontId="66" fillId="54" borderId="0" xfId="0" applyNumberFormat="1" applyFont="1" applyFill="1" applyBorder="1" applyAlignment="1">
      <alignment horizontal="center"/>
    </xf>
    <xf numFmtId="0" fontId="66" fillId="54" borderId="12" xfId="0" applyFont="1" applyFill="1" applyBorder="1" applyAlignment="1">
      <alignment horizontal="center"/>
    </xf>
    <xf numFmtId="10" fontId="66" fillId="0" borderId="0" xfId="0" applyNumberFormat="1" applyFont="1" applyBorder="1" applyAlignment="1">
      <alignment horizontal="center"/>
    </xf>
    <xf numFmtId="0" fontId="80" fillId="0" borderId="26" xfId="0" applyFont="1" applyBorder="1"/>
    <xf numFmtId="10" fontId="80" fillId="0" borderId="0" xfId="0" applyNumberFormat="1" applyFont="1" applyBorder="1" applyAlignment="1">
      <alignment horizontal="center"/>
    </xf>
    <xf numFmtId="9" fontId="69" fillId="0" borderId="0" xfId="97" applyFont="1" applyBorder="1" applyAlignment="1">
      <alignment horizontal="center"/>
    </xf>
    <xf numFmtId="0" fontId="80" fillId="0" borderId="30" xfId="0" applyFont="1" applyBorder="1"/>
    <xf numFmtId="10" fontId="80" fillId="0" borderId="21" xfId="0" applyNumberFormat="1" applyFont="1" applyBorder="1" applyAlignment="1">
      <alignment horizontal="center"/>
    </xf>
    <xf numFmtId="0" fontId="80" fillId="0" borderId="21" xfId="0" applyFont="1" applyBorder="1"/>
    <xf numFmtId="9" fontId="80" fillId="0" borderId="21" xfId="97" applyFont="1" applyBorder="1" applyAlignment="1">
      <alignment horizontal="center"/>
    </xf>
    <xf numFmtId="167" fontId="80" fillId="0" borderId="31" xfId="0" applyNumberFormat="1" applyFont="1" applyBorder="1"/>
    <xf numFmtId="0" fontId="66" fillId="0" borderId="35" xfId="0" applyFont="1" applyBorder="1" applyAlignment="1">
      <alignment horizontal="left"/>
    </xf>
    <xf numFmtId="10" fontId="66" fillId="0" borderId="13" xfId="0" applyNumberFormat="1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32" xfId="0" applyFont="1" applyBorder="1"/>
    <xf numFmtId="0" fontId="66" fillId="0" borderId="33" xfId="0" applyFont="1" applyBorder="1" applyAlignment="1">
      <alignment horizontal="center"/>
    </xf>
    <xf numFmtId="0" fontId="66" fillId="0" borderId="33" xfId="0" applyFont="1" applyBorder="1"/>
    <xf numFmtId="168" fontId="66" fillId="0" borderId="33" xfId="0" applyNumberFormat="1" applyFont="1" applyBorder="1" applyAlignment="1">
      <alignment horizontal="center"/>
    </xf>
    <xf numFmtId="167" fontId="67" fillId="0" borderId="34" xfId="0" applyNumberFormat="1" applyFont="1" applyBorder="1"/>
    <xf numFmtId="0" fontId="66" fillId="0" borderId="13" xfId="0" applyFont="1" applyBorder="1" applyAlignment="1">
      <alignment horizontal="center"/>
    </xf>
    <xf numFmtId="169" fontId="67" fillId="0" borderId="14" xfId="0" applyNumberFormat="1" applyFont="1" applyFill="1" applyBorder="1"/>
    <xf numFmtId="10" fontId="66" fillId="0" borderId="13" xfId="0" applyNumberFormat="1" applyFont="1" applyFill="1" applyBorder="1" applyAlignment="1">
      <alignment horizontal="center"/>
    </xf>
    <xf numFmtId="164" fontId="67" fillId="2" borderId="40" xfId="0" applyNumberFormat="1" applyFont="1" applyFill="1" applyBorder="1"/>
    <xf numFmtId="10" fontId="0" fillId="0" borderId="0" xfId="105" applyNumberFormat="1" applyFont="1"/>
    <xf numFmtId="10" fontId="1" fillId="0" borderId="0" xfId="108" applyNumberFormat="1" applyFont="1" applyBorder="1"/>
    <xf numFmtId="10" fontId="1" fillId="0" borderId="21" xfId="108" applyNumberFormat="1" applyFont="1" applyBorder="1"/>
    <xf numFmtId="0" fontId="96" fillId="0" borderId="26" xfId="107" applyFont="1" applyBorder="1"/>
    <xf numFmtId="0" fontId="96" fillId="0" borderId="0" xfId="107" applyFont="1" applyBorder="1" applyAlignment="1">
      <alignment horizontal="center" wrapText="1"/>
    </xf>
    <xf numFmtId="167" fontId="96" fillId="0" borderId="0" xfId="107" applyNumberFormat="1" applyFont="1" applyBorder="1" applyAlignment="1">
      <alignment horizontal="center"/>
    </xf>
    <xf numFmtId="0" fontId="39" fillId="0" borderId="0" xfId="107" applyFont="1" applyBorder="1" applyAlignment="1">
      <alignment horizontal="center"/>
    </xf>
    <xf numFmtId="1" fontId="96" fillId="0" borderId="0" xfId="107" applyNumberFormat="1" applyFont="1" applyBorder="1" applyAlignment="1">
      <alignment horizontal="center"/>
    </xf>
    <xf numFmtId="167" fontId="96" fillId="0" borderId="12" xfId="107" applyNumberFormat="1" applyFont="1" applyBorder="1" applyAlignment="1">
      <alignment horizontal="center"/>
    </xf>
    <xf numFmtId="167" fontId="4" fillId="0" borderId="26" xfId="107" applyNumberFormat="1" applyFont="1" applyBorder="1"/>
    <xf numFmtId="1" fontId="4" fillId="0" borderId="0" xfId="107" applyNumberFormat="1" applyFont="1" applyBorder="1" applyAlignment="1">
      <alignment horizontal="center"/>
    </xf>
    <xf numFmtId="167" fontId="4" fillId="0" borderId="0" xfId="107" applyNumberFormat="1" applyFont="1" applyBorder="1"/>
    <xf numFmtId="2" fontId="4" fillId="0" borderId="0" xfId="107" applyNumberFormat="1" applyFont="1" applyFill="1" applyBorder="1" applyAlignment="1">
      <alignment horizontal="center"/>
    </xf>
    <xf numFmtId="167" fontId="4" fillId="0" borderId="12" xfId="107" applyNumberFormat="1" applyFont="1" applyBorder="1"/>
    <xf numFmtId="166" fontId="4" fillId="0" borderId="26" xfId="107" applyNumberFormat="1" applyFont="1" applyBorder="1"/>
    <xf numFmtId="10" fontId="4" fillId="0" borderId="21" xfId="108" applyNumberFormat="1" applyFont="1" applyBorder="1"/>
    <xf numFmtId="167" fontId="39" fillId="0" borderId="28" xfId="107" applyNumberFormat="1" applyFont="1" applyBorder="1" applyAlignment="1">
      <alignment horizontal="center"/>
    </xf>
    <xf numFmtId="167" fontId="39" fillId="0" borderId="28" xfId="107" applyNumberFormat="1" applyFont="1" applyBorder="1"/>
    <xf numFmtId="2" fontId="39" fillId="0" borderId="28" xfId="107" applyNumberFormat="1" applyFont="1" applyBorder="1" applyAlignment="1">
      <alignment horizontal="center"/>
    </xf>
    <xf numFmtId="167" fontId="39" fillId="0" borderId="29" xfId="107" applyNumberFormat="1" applyFont="1" applyBorder="1"/>
    <xf numFmtId="0" fontId="39" fillId="0" borderId="0" xfId="107" applyFont="1" applyBorder="1"/>
    <xf numFmtId="167" fontId="39" fillId="0" borderId="0" xfId="107" applyNumberFormat="1" applyFont="1" applyBorder="1" applyAlignment="1">
      <alignment horizontal="center"/>
    </xf>
    <xf numFmtId="167" fontId="39" fillId="0" borderId="0" xfId="107" applyNumberFormat="1" applyFont="1" applyBorder="1"/>
    <xf numFmtId="2" fontId="39" fillId="0" borderId="0" xfId="107" applyNumberFormat="1" applyFont="1" applyBorder="1" applyAlignment="1">
      <alignment horizontal="center"/>
    </xf>
    <xf numFmtId="167" fontId="39" fillId="0" borderId="12" xfId="107" applyNumberFormat="1" applyFont="1" applyBorder="1"/>
    <xf numFmtId="0" fontId="96" fillId="0" borderId="0" xfId="107" applyFont="1" applyBorder="1"/>
    <xf numFmtId="167" fontId="96" fillId="0" borderId="0" xfId="107" applyNumberFormat="1" applyFont="1" applyBorder="1"/>
    <xf numFmtId="167" fontId="96" fillId="0" borderId="12" xfId="107" applyNumberFormat="1" applyFont="1" applyBorder="1"/>
    <xf numFmtId="9" fontId="83" fillId="0" borderId="0" xfId="107" applyNumberFormat="1" applyFont="1" applyFill="1" applyBorder="1" applyAlignment="1">
      <alignment horizontal="center" vertical="center"/>
    </xf>
    <xf numFmtId="10" fontId="83" fillId="0" borderId="0" xfId="107" applyNumberFormat="1" applyFont="1" applyBorder="1" applyAlignment="1"/>
    <xf numFmtId="10" fontId="83" fillId="0" borderId="0" xfId="107" applyNumberFormat="1" applyFont="1" applyBorder="1" applyAlignment="1">
      <alignment wrapText="1"/>
    </xf>
    <xf numFmtId="1" fontId="83" fillId="0" borderId="0" xfId="107" applyNumberFormat="1" applyFont="1" applyBorder="1" applyAlignment="1">
      <alignment horizontal="center"/>
    </xf>
    <xf numFmtId="168" fontId="4" fillId="0" borderId="28" xfId="107" applyNumberFormat="1" applyFont="1" applyBorder="1"/>
    <xf numFmtId="167" fontId="4" fillId="0" borderId="28" xfId="107" applyNumberFormat="1" applyFont="1" applyBorder="1"/>
    <xf numFmtId="2" fontId="4" fillId="0" borderId="28" xfId="107" applyNumberFormat="1" applyFont="1" applyFill="1" applyBorder="1" applyAlignment="1">
      <alignment horizontal="center"/>
    </xf>
    <xf numFmtId="167" fontId="96" fillId="0" borderId="29" xfId="107" applyNumberFormat="1" applyFont="1" applyBorder="1"/>
    <xf numFmtId="168" fontId="83" fillId="0" borderId="0" xfId="107" applyNumberFormat="1" applyFont="1" applyFill="1" applyBorder="1" applyAlignment="1">
      <alignment horizontal="center" vertical="center"/>
    </xf>
    <xf numFmtId="168" fontId="4" fillId="0" borderId="0" xfId="107" applyNumberFormat="1" applyFont="1" applyBorder="1" applyAlignment="1">
      <alignment horizontal="center"/>
    </xf>
    <xf numFmtId="167" fontId="94" fillId="0" borderId="12" xfId="107" applyNumberFormat="1" applyFont="1" applyBorder="1"/>
    <xf numFmtId="0" fontId="96" fillId="0" borderId="32" xfId="107" applyFont="1" applyBorder="1"/>
    <xf numFmtId="168" fontId="96" fillId="0" borderId="33" xfId="107" applyNumberFormat="1" applyFont="1" applyBorder="1"/>
    <xf numFmtId="167" fontId="96" fillId="0" borderId="33" xfId="107" applyNumberFormat="1" applyFont="1" applyBorder="1"/>
    <xf numFmtId="2" fontId="96" fillId="0" borderId="33" xfId="107" applyNumberFormat="1" applyFont="1" applyBorder="1" applyAlignment="1">
      <alignment horizontal="center"/>
    </xf>
    <xf numFmtId="167" fontId="39" fillId="0" borderId="34" xfId="107" applyNumberFormat="1" applyFont="1" applyBorder="1"/>
    <xf numFmtId="4" fontId="4" fillId="0" borderId="12" xfId="107" applyNumberFormat="1" applyFont="1" applyBorder="1"/>
    <xf numFmtId="10" fontId="4" fillId="0" borderId="0" xfId="105" applyNumberFormat="1" applyFont="1"/>
    <xf numFmtId="0" fontId="96" fillId="0" borderId="35" xfId="107" applyFont="1" applyBorder="1"/>
    <xf numFmtId="167" fontId="96" fillId="0" borderId="13" xfId="107" applyNumberFormat="1" applyFont="1" applyBorder="1"/>
    <xf numFmtId="0" fontId="39" fillId="0" borderId="0" xfId="107" applyFont="1" applyFill="1" applyAlignment="1">
      <alignment horizontal="left"/>
    </xf>
    <xf numFmtId="0" fontId="96" fillId="0" borderId="37" xfId="106" applyFont="1" applyBorder="1"/>
    <xf numFmtId="166" fontId="4" fillId="0" borderId="10" xfId="106" applyNumberFormat="1" applyFont="1" applyBorder="1"/>
    <xf numFmtId="0" fontId="39" fillId="0" borderId="11" xfId="106" applyFont="1" applyBorder="1"/>
    <xf numFmtId="167" fontId="83" fillId="0" borderId="0" xfId="106" applyNumberFormat="1" applyFont="1" applyBorder="1" applyAlignment="1">
      <alignment horizontal="center"/>
    </xf>
    <xf numFmtId="0" fontId="4" fillId="0" borderId="26" xfId="106" applyFont="1" applyBorder="1"/>
    <xf numFmtId="0" fontId="39" fillId="0" borderId="12" xfId="106" applyFont="1" applyBorder="1"/>
    <xf numFmtId="10" fontId="2" fillId="0" borderId="0" xfId="108" applyNumberFormat="1" applyFont="1" applyBorder="1"/>
    <xf numFmtId="0" fontId="83" fillId="0" borderId="12" xfId="106" applyFont="1" applyBorder="1"/>
    <xf numFmtId="0" fontId="83" fillId="0" borderId="0" xfId="106" applyFont="1" applyBorder="1"/>
    <xf numFmtId="0" fontId="4" fillId="0" borderId="12" xfId="106" applyFont="1" applyBorder="1"/>
    <xf numFmtId="10" fontId="2" fillId="0" borderId="21" xfId="108" applyNumberFormat="1" applyFont="1" applyBorder="1"/>
    <xf numFmtId="10" fontId="4" fillId="0" borderId="26" xfId="106" applyNumberFormat="1" applyFont="1" applyBorder="1"/>
    <xf numFmtId="2" fontId="4" fillId="0" borderId="26" xfId="106" applyNumberFormat="1" applyFont="1" applyFill="1" applyBorder="1"/>
    <xf numFmtId="10" fontId="92" fillId="0" borderId="0" xfId="105" applyNumberFormat="1" applyFont="1" applyBorder="1" applyAlignment="1">
      <alignment horizontal="center"/>
    </xf>
    <xf numFmtId="1" fontId="53" fillId="0" borderId="26" xfId="106" applyNumberFormat="1" applyFont="1" applyBorder="1"/>
    <xf numFmtId="10" fontId="39" fillId="0" borderId="0" xfId="105" applyNumberFormat="1" applyFont="1" applyBorder="1" applyAlignment="1">
      <alignment horizontal="center"/>
    </xf>
    <xf numFmtId="1" fontId="4" fillId="0" borderId="26" xfId="106" applyNumberFormat="1" applyFont="1" applyBorder="1"/>
    <xf numFmtId="1" fontId="4" fillId="0" borderId="35" xfId="106" applyNumberFormat="1" applyFont="1" applyBorder="1"/>
    <xf numFmtId="167" fontId="4" fillId="0" borderId="13" xfId="106" applyNumberFormat="1" applyFont="1" applyBorder="1"/>
    <xf numFmtId="0" fontId="4" fillId="0" borderId="13" xfId="106" applyFont="1" applyBorder="1"/>
    <xf numFmtId="0" fontId="39" fillId="0" borderId="14" xfId="106" applyFont="1" applyBorder="1"/>
    <xf numFmtId="0" fontId="65" fillId="0" borderId="0" xfId="107" applyFont="1" applyFill="1" applyAlignment="1">
      <alignment horizontal="left"/>
    </xf>
    <xf numFmtId="0" fontId="68" fillId="0" borderId="26" xfId="107" applyFont="1" applyBorder="1"/>
    <xf numFmtId="0" fontId="68" fillId="0" borderId="0" xfId="107" applyFont="1" applyBorder="1" applyAlignment="1">
      <alignment horizontal="center" wrapText="1"/>
    </xf>
    <xf numFmtId="167" fontId="68" fillId="0" borderId="0" xfId="107" applyNumberFormat="1" applyFont="1" applyBorder="1" applyAlignment="1">
      <alignment horizontal="center"/>
    </xf>
    <xf numFmtId="0" fontId="65" fillId="0" borderId="0" xfId="107" applyFont="1" applyBorder="1" applyAlignment="1">
      <alignment horizontal="center"/>
    </xf>
    <xf numFmtId="1" fontId="68" fillId="0" borderId="0" xfId="107" applyNumberFormat="1" applyFont="1" applyBorder="1" applyAlignment="1">
      <alignment horizontal="center"/>
    </xf>
    <xf numFmtId="167" fontId="68" fillId="0" borderId="12" xfId="107" applyNumberFormat="1" applyFont="1" applyBorder="1" applyAlignment="1">
      <alignment horizontal="center"/>
    </xf>
    <xf numFmtId="167" fontId="67" fillId="0" borderId="26" xfId="107" applyNumberFormat="1" applyFont="1" applyBorder="1"/>
    <xf numFmtId="1" fontId="67" fillId="0" borderId="0" xfId="107" applyNumberFormat="1" applyFont="1" applyBorder="1" applyAlignment="1">
      <alignment horizontal="center"/>
    </xf>
    <xf numFmtId="167" fontId="67" fillId="0" borderId="0" xfId="107" applyNumberFormat="1" applyFont="1" applyBorder="1"/>
    <xf numFmtId="2" fontId="67" fillId="0" borderId="0" xfId="107" applyNumberFormat="1" applyFont="1" applyFill="1" applyBorder="1" applyAlignment="1">
      <alignment horizontal="center"/>
    </xf>
    <xf numFmtId="167" fontId="67" fillId="0" borderId="12" xfId="107" applyNumberFormat="1" applyFont="1" applyBorder="1"/>
    <xf numFmtId="166" fontId="67" fillId="0" borderId="26" xfId="107" applyNumberFormat="1" applyFont="1" applyBorder="1"/>
    <xf numFmtId="10" fontId="67" fillId="0" borderId="21" xfId="108" applyNumberFormat="1" applyFont="1" applyBorder="1"/>
    <xf numFmtId="167" fontId="65" fillId="0" borderId="28" xfId="107" applyNumberFormat="1" applyFont="1" applyBorder="1" applyAlignment="1">
      <alignment horizontal="center"/>
    </xf>
    <xf numFmtId="167" fontId="65" fillId="0" borderId="28" xfId="107" applyNumberFormat="1" applyFont="1" applyBorder="1"/>
    <xf numFmtId="2" fontId="65" fillId="0" borderId="28" xfId="107" applyNumberFormat="1" applyFont="1" applyBorder="1" applyAlignment="1">
      <alignment horizontal="center"/>
    </xf>
    <xf numFmtId="167" fontId="65" fillId="0" borderId="29" xfId="107" applyNumberFormat="1" applyFont="1" applyBorder="1"/>
    <xf numFmtId="0" fontId="65" fillId="0" borderId="0" xfId="107" applyFont="1" applyBorder="1"/>
    <xf numFmtId="167" fontId="65" fillId="0" borderId="0" xfId="107" applyNumberFormat="1" applyFont="1" applyBorder="1" applyAlignment="1">
      <alignment horizontal="center"/>
    </xf>
    <xf numFmtId="167" fontId="65" fillId="0" borderId="0" xfId="107" applyNumberFormat="1" applyFont="1" applyBorder="1"/>
    <xf numFmtId="2" fontId="65" fillId="0" borderId="0" xfId="107" applyNumberFormat="1" applyFont="1" applyBorder="1" applyAlignment="1">
      <alignment horizontal="center"/>
    </xf>
    <xf numFmtId="167" fontId="65" fillId="0" borderId="12" xfId="107" applyNumberFormat="1" applyFont="1" applyBorder="1"/>
    <xf numFmtId="0" fontId="68" fillId="0" borderId="0" xfId="107" applyFont="1" applyBorder="1"/>
    <xf numFmtId="167" fontId="68" fillId="0" borderId="0" xfId="107" applyNumberFormat="1" applyFont="1" applyBorder="1"/>
    <xf numFmtId="167" fontId="68" fillId="0" borderId="12" xfId="107" applyNumberFormat="1" applyFont="1" applyBorder="1"/>
    <xf numFmtId="9" fontId="69" fillId="0" borderId="0" xfId="107" applyNumberFormat="1" applyFont="1" applyFill="1" applyBorder="1" applyAlignment="1">
      <alignment horizontal="center" vertical="center"/>
    </xf>
    <xf numFmtId="10" fontId="69" fillId="0" borderId="0" xfId="107" applyNumberFormat="1" applyFont="1" applyBorder="1" applyAlignment="1"/>
    <xf numFmtId="10" fontId="69" fillId="0" borderId="0" xfId="107" applyNumberFormat="1" applyFont="1" applyBorder="1" applyAlignment="1">
      <alignment wrapText="1"/>
    </xf>
    <xf numFmtId="1" fontId="69" fillId="0" borderId="0" xfId="107" applyNumberFormat="1" applyFont="1" applyBorder="1" applyAlignment="1">
      <alignment horizontal="center"/>
    </xf>
    <xf numFmtId="168" fontId="67" fillId="0" borderId="28" xfId="107" applyNumberFormat="1" applyFont="1" applyBorder="1"/>
    <xf numFmtId="167" fontId="67" fillId="0" borderId="28" xfId="107" applyNumberFormat="1" applyFont="1" applyBorder="1"/>
    <xf numFmtId="2" fontId="67" fillId="0" borderId="28" xfId="107" applyNumberFormat="1" applyFont="1" applyFill="1" applyBorder="1" applyAlignment="1">
      <alignment horizontal="center"/>
    </xf>
    <xf numFmtId="167" fontId="68" fillId="0" borderId="29" xfId="107" applyNumberFormat="1" applyFont="1" applyBorder="1"/>
    <xf numFmtId="168" fontId="69" fillId="0" borderId="0" xfId="107" applyNumberFormat="1" applyFont="1" applyFill="1" applyBorder="1" applyAlignment="1">
      <alignment horizontal="center" vertical="center"/>
    </xf>
    <xf numFmtId="167" fontId="66" fillId="0" borderId="12" xfId="107" applyNumberFormat="1" applyFont="1" applyBorder="1"/>
    <xf numFmtId="9" fontId="66" fillId="0" borderId="0" xfId="108" applyFont="1" applyFill="1" applyBorder="1" applyAlignment="1">
      <alignment horizontal="center" vertical="center"/>
    </xf>
    <xf numFmtId="0" fontId="68" fillId="0" borderId="32" xfId="107" applyFont="1" applyBorder="1"/>
    <xf numFmtId="168" fontId="68" fillId="0" borderId="33" xfId="107" applyNumberFormat="1" applyFont="1" applyBorder="1"/>
    <xf numFmtId="167" fontId="68" fillId="0" borderId="33" xfId="107" applyNumberFormat="1" applyFont="1" applyBorder="1"/>
    <xf numFmtId="2" fontId="68" fillId="0" borderId="33" xfId="107" applyNumberFormat="1" applyFont="1" applyBorder="1" applyAlignment="1">
      <alignment horizontal="center"/>
    </xf>
    <xf numFmtId="167" fontId="65" fillId="0" borderId="34" xfId="107" applyNumberFormat="1" applyFont="1" applyBorder="1"/>
    <xf numFmtId="4" fontId="67" fillId="0" borderId="12" xfId="107" applyNumberFormat="1" applyFont="1" applyBorder="1"/>
    <xf numFmtId="2" fontId="68" fillId="0" borderId="0" xfId="107" applyNumberFormat="1" applyFont="1" applyBorder="1" applyAlignment="1">
      <alignment horizontal="center"/>
    </xf>
    <xf numFmtId="164" fontId="67" fillId="0" borderId="12" xfId="107" applyNumberFormat="1" applyFont="1" applyBorder="1"/>
    <xf numFmtId="0" fontId="68" fillId="0" borderId="35" xfId="107" applyFont="1" applyBorder="1"/>
    <xf numFmtId="10" fontId="68" fillId="0" borderId="13" xfId="107" applyNumberFormat="1" applyFont="1" applyBorder="1" applyAlignment="1">
      <alignment horizontal="center"/>
    </xf>
    <xf numFmtId="167" fontId="68" fillId="0" borderId="13" xfId="107" applyNumberFormat="1" applyFont="1" applyBorder="1"/>
    <xf numFmtId="2" fontId="68" fillId="0" borderId="13" xfId="107" applyNumberFormat="1" applyFont="1" applyBorder="1" applyAlignment="1">
      <alignment horizontal="center"/>
    </xf>
    <xf numFmtId="164" fontId="65" fillId="2" borderId="14" xfId="107" applyNumberFormat="1" applyFont="1" applyFill="1" applyBorder="1"/>
    <xf numFmtId="167" fontId="69" fillId="0" borderId="0" xfId="106" applyNumberFormat="1" applyFont="1" applyFill="1" applyBorder="1" applyAlignment="1">
      <alignment horizontal="center"/>
    </xf>
    <xf numFmtId="167" fontId="67" fillId="0" borderId="0" xfId="106" applyNumberFormat="1" applyFont="1" applyFill="1" applyBorder="1" applyAlignment="1">
      <alignment horizontal="center"/>
    </xf>
    <xf numFmtId="10" fontId="67" fillId="0" borderId="0" xfId="106" applyNumberFormat="1" applyFont="1" applyFill="1" applyBorder="1" applyAlignment="1">
      <alignment horizontal="center"/>
    </xf>
    <xf numFmtId="168" fontId="67" fillId="0" borderId="0" xfId="87" applyNumberFormat="1" applyFont="1" applyFill="1" applyBorder="1" applyAlignment="1">
      <alignment horizontal="center"/>
    </xf>
    <xf numFmtId="10" fontId="65" fillId="54" borderId="0" xfId="105" applyNumberFormat="1" applyFont="1" applyFill="1" applyBorder="1" applyAlignment="1">
      <alignment horizontal="center"/>
    </xf>
    <xf numFmtId="3" fontId="67" fillId="0" borderId="26" xfId="106" applyNumberFormat="1" applyFont="1" applyFill="1" applyBorder="1"/>
    <xf numFmtId="0" fontId="67" fillId="56" borderId="35" xfId="107" applyFont="1" applyFill="1" applyBorder="1"/>
    <xf numFmtId="10" fontId="67" fillId="56" borderId="13" xfId="105" applyNumberFormat="1" applyFont="1" applyFill="1" applyBorder="1" applyAlignment="1">
      <alignment horizontal="center"/>
    </xf>
    <xf numFmtId="167" fontId="80" fillId="0" borderId="31" xfId="107" applyNumberFormat="1" applyFont="1" applyBorder="1"/>
    <xf numFmtId="0" fontId="80" fillId="0" borderId="30" xfId="107" applyFont="1" applyBorder="1"/>
    <xf numFmtId="10" fontId="80" fillId="0" borderId="21" xfId="108" applyNumberFormat="1" applyFont="1" applyBorder="1" applyAlignment="1">
      <alignment horizontal="center"/>
    </xf>
    <xf numFmtId="167" fontId="80" fillId="0" borderId="21" xfId="107" applyNumberFormat="1" applyFont="1" applyBorder="1"/>
    <xf numFmtId="2" fontId="80" fillId="0" borderId="21" xfId="107" applyNumberFormat="1" applyFont="1" applyBorder="1" applyAlignment="1">
      <alignment horizontal="center"/>
    </xf>
    <xf numFmtId="172" fontId="4" fillId="0" borderId="26" xfId="109" applyNumberFormat="1" applyFont="1" applyFill="1" applyBorder="1" applyAlignment="1">
      <alignment horizontal="left"/>
    </xf>
    <xf numFmtId="167" fontId="83" fillId="0" borderId="0" xfId="106" applyNumberFormat="1" applyFont="1" applyFill="1" applyBorder="1" applyAlignment="1">
      <alignment horizontal="center"/>
    </xf>
    <xf numFmtId="0" fontId="39" fillId="0" borderId="26" xfId="63" applyFont="1" applyFill="1" applyBorder="1" applyAlignment="1">
      <alignment horizontal="left"/>
    </xf>
    <xf numFmtId="0" fontId="4" fillId="0" borderId="26" xfId="106" applyFont="1" applyFill="1" applyBorder="1"/>
    <xf numFmtId="10" fontId="4" fillId="0" borderId="0" xfId="106" applyNumberFormat="1" applyFont="1" applyFill="1" applyBorder="1" applyAlignment="1">
      <alignment horizontal="center"/>
    </xf>
    <xf numFmtId="167" fontId="4" fillId="0" borderId="0" xfId="106" applyNumberFormat="1" applyFont="1" applyFill="1" applyBorder="1" applyAlignment="1">
      <alignment horizontal="center"/>
    </xf>
    <xf numFmtId="0" fontId="4" fillId="0" borderId="0" xfId="106" applyFont="1" applyFill="1" applyBorder="1"/>
    <xf numFmtId="169" fontId="4" fillId="0" borderId="12" xfId="106" applyNumberFormat="1" applyFont="1" applyBorder="1"/>
    <xf numFmtId="3" fontId="4" fillId="0" borderId="26" xfId="106" applyNumberFormat="1" applyFont="1" applyFill="1" applyBorder="1"/>
    <xf numFmtId="168" fontId="4" fillId="0" borderId="0" xfId="87" applyNumberFormat="1" applyFont="1" applyFill="1" applyBorder="1" applyAlignment="1">
      <alignment horizontal="center"/>
    </xf>
    <xf numFmtId="0" fontId="53" fillId="0" borderId="26" xfId="106" applyFont="1" applyBorder="1"/>
    <xf numFmtId="0" fontId="4" fillId="54" borderId="35" xfId="106" applyFont="1" applyFill="1" applyBorder="1"/>
    <xf numFmtId="10" fontId="39" fillId="54" borderId="13" xfId="105" applyNumberFormat="1" applyFont="1" applyFill="1" applyBorder="1" applyAlignment="1">
      <alignment horizontal="center"/>
    </xf>
    <xf numFmtId="0" fontId="11" fillId="0" borderId="0" xfId="107" applyFont="1"/>
    <xf numFmtId="9" fontId="4" fillId="0" borderId="0" xfId="105" applyFont="1"/>
    <xf numFmtId="0" fontId="67" fillId="0" borderId="10" xfId="107" applyFont="1" applyBorder="1"/>
    <xf numFmtId="0" fontId="39" fillId="0" borderId="37" xfId="107" applyFont="1" applyBorder="1" applyAlignment="1"/>
    <xf numFmtId="0" fontId="39" fillId="0" borderId="11" xfId="107" applyFont="1" applyBorder="1" applyAlignment="1"/>
    <xf numFmtId="0" fontId="96" fillId="0" borderId="0" xfId="107" applyFont="1" applyBorder="1" applyAlignment="1">
      <alignment horizontal="left" wrapText="1"/>
    </xf>
    <xf numFmtId="167" fontId="96" fillId="0" borderId="0" xfId="107" applyNumberFormat="1" applyFont="1" applyBorder="1" applyAlignment="1">
      <alignment wrapText="1"/>
    </xf>
    <xf numFmtId="1" fontId="96" fillId="0" borderId="0" xfId="107" applyNumberFormat="1" applyFont="1" applyBorder="1"/>
    <xf numFmtId="1" fontId="4" fillId="0" borderId="0" xfId="107" applyNumberFormat="1" applyFont="1" applyBorder="1" applyAlignment="1">
      <alignment horizontal="right"/>
    </xf>
    <xf numFmtId="41" fontId="4" fillId="0" borderId="0" xfId="107" applyNumberFormat="1" applyFont="1" applyBorder="1"/>
    <xf numFmtId="2" fontId="4" fillId="0" borderId="0" xfId="107" applyNumberFormat="1" applyFont="1" applyFill="1" applyBorder="1" applyAlignment="1">
      <alignment horizontal="right"/>
    </xf>
    <xf numFmtId="10" fontId="4" fillId="0" borderId="28" xfId="108" applyNumberFormat="1" applyFont="1" applyBorder="1"/>
    <xf numFmtId="2" fontId="39" fillId="0" borderId="28" xfId="107" applyNumberFormat="1" applyFont="1" applyBorder="1"/>
    <xf numFmtId="2" fontId="39" fillId="0" borderId="0" xfId="107" applyNumberFormat="1" applyFont="1" applyBorder="1"/>
    <xf numFmtId="9" fontId="83" fillId="0" borderId="0" xfId="107" applyNumberFormat="1" applyFont="1" applyFill="1" applyBorder="1" applyAlignment="1">
      <alignment vertical="center"/>
    </xf>
    <xf numFmtId="1" fontId="83" fillId="0" borderId="0" xfId="107" applyNumberFormat="1" applyFont="1" applyBorder="1"/>
    <xf numFmtId="2" fontId="4" fillId="0" borderId="28" xfId="107" applyNumberFormat="1" applyFont="1" applyFill="1" applyBorder="1"/>
    <xf numFmtId="2" fontId="4" fillId="0" borderId="0" xfId="107" applyNumberFormat="1" applyFont="1" applyFill="1" applyBorder="1"/>
    <xf numFmtId="168" fontId="4" fillId="0" borderId="0" xfId="107" applyNumberFormat="1" applyFont="1" applyBorder="1"/>
    <xf numFmtId="9" fontId="83" fillId="0" borderId="0" xfId="108" applyNumberFormat="1" applyFont="1" applyBorder="1"/>
    <xf numFmtId="0" fontId="53" fillId="0" borderId="30" xfId="107" applyFont="1" applyBorder="1"/>
    <xf numFmtId="9" fontId="53" fillId="0" borderId="21" xfId="108" applyFont="1" applyBorder="1"/>
    <xf numFmtId="167" fontId="53" fillId="0" borderId="21" xfId="107" applyNumberFormat="1" applyFont="1" applyBorder="1"/>
    <xf numFmtId="10" fontId="53" fillId="0" borderId="21" xfId="105" applyNumberFormat="1" applyFont="1" applyBorder="1"/>
    <xf numFmtId="2" fontId="53" fillId="0" borderId="21" xfId="107" applyNumberFormat="1" applyFont="1" applyBorder="1"/>
    <xf numFmtId="167" fontId="53" fillId="0" borderId="31" xfId="107" applyNumberFormat="1" applyFont="1" applyBorder="1"/>
    <xf numFmtId="2" fontId="96" fillId="0" borderId="33" xfId="107" applyNumberFormat="1" applyFont="1" applyBorder="1"/>
    <xf numFmtId="2" fontId="96" fillId="0" borderId="0" xfId="107" applyNumberFormat="1" applyFont="1" applyBorder="1"/>
    <xf numFmtId="2" fontId="4" fillId="0" borderId="12" xfId="107" applyNumberFormat="1" applyFont="1" applyBorder="1"/>
    <xf numFmtId="10" fontId="96" fillId="0" borderId="13" xfId="107" applyNumberFormat="1" applyFont="1" applyBorder="1"/>
    <xf numFmtId="2" fontId="96" fillId="0" borderId="13" xfId="107" applyNumberFormat="1" applyFont="1" applyBorder="1"/>
    <xf numFmtId="170" fontId="4" fillId="0" borderId="0" xfId="104" applyNumberFormat="1" applyFont="1" applyBorder="1"/>
    <xf numFmtId="168" fontId="2" fillId="0" borderId="0" xfId="108" applyNumberFormat="1" applyFont="1" applyBorder="1"/>
    <xf numFmtId="0" fontId="53" fillId="0" borderId="26" xfId="107" applyFont="1" applyBorder="1"/>
    <xf numFmtId="0" fontId="53" fillId="0" borderId="0" xfId="107" applyFont="1" applyBorder="1"/>
    <xf numFmtId="44" fontId="4" fillId="0" borderId="0" xfId="104" applyFont="1"/>
    <xf numFmtId="44" fontId="39" fillId="47" borderId="14" xfId="104" applyFont="1" applyFill="1" applyBorder="1"/>
    <xf numFmtId="44" fontId="39" fillId="0" borderId="65" xfId="104" applyFont="1" applyFill="1" applyBorder="1"/>
    <xf numFmtId="0" fontId="39" fillId="0" borderId="35" xfId="107" applyFont="1" applyFill="1" applyBorder="1"/>
    <xf numFmtId="0" fontId="39" fillId="0" borderId="13" xfId="107" applyFont="1" applyFill="1" applyBorder="1"/>
    <xf numFmtId="44" fontId="39" fillId="0" borderId="14" xfId="107" applyNumberFormat="1" applyFont="1" applyFill="1" applyBorder="1"/>
    <xf numFmtId="0" fontId="4" fillId="0" borderId="0" xfId="107" applyFont="1" applyFill="1" applyAlignment="1">
      <alignment horizontal="left"/>
    </xf>
    <xf numFmtId="168" fontId="94" fillId="0" borderId="0" xfId="108" applyNumberFormat="1" applyFont="1" applyFill="1" applyBorder="1" applyAlignment="1">
      <alignment horizontal="center" vertical="center"/>
    </xf>
    <xf numFmtId="10" fontId="53" fillId="0" borderId="21" xfId="108" applyNumberFormat="1" applyFont="1" applyBorder="1" applyAlignment="1">
      <alignment horizontal="center"/>
    </xf>
    <xf numFmtId="2" fontId="53" fillId="0" borderId="21" xfId="107" applyNumberFormat="1" applyFont="1" applyBorder="1" applyAlignment="1">
      <alignment horizontal="center"/>
    </xf>
    <xf numFmtId="0" fontId="96" fillId="0" borderId="46" xfId="107" applyFont="1" applyBorder="1"/>
    <xf numFmtId="10" fontId="96" fillId="0" borderId="47" xfId="107" applyNumberFormat="1" applyFont="1" applyBorder="1" applyAlignment="1">
      <alignment horizontal="center"/>
    </xf>
    <xf numFmtId="167" fontId="96" fillId="0" borderId="47" xfId="107" applyNumberFormat="1" applyFont="1" applyBorder="1"/>
    <xf numFmtId="2" fontId="96" fillId="0" borderId="47" xfId="107" applyNumberFormat="1" applyFont="1" applyBorder="1" applyAlignment="1">
      <alignment horizontal="center"/>
    </xf>
    <xf numFmtId="0" fontId="39" fillId="0" borderId="25" xfId="107" applyFont="1" applyBorder="1" applyAlignment="1"/>
    <xf numFmtId="14" fontId="103" fillId="0" borderId="0" xfId="107" applyNumberFormat="1" applyFont="1" applyFill="1" applyAlignment="1">
      <alignment horizontal="left"/>
    </xf>
    <xf numFmtId="44" fontId="0" fillId="0" borderId="0" xfId="104" applyFont="1" applyBorder="1"/>
    <xf numFmtId="44" fontId="82" fillId="0" borderId="13" xfId="104" applyFont="1" applyBorder="1"/>
    <xf numFmtId="44" fontId="0" fillId="0" borderId="13" xfId="104" applyFont="1" applyBorder="1"/>
    <xf numFmtId="0" fontId="0" fillId="0" borderId="0" xfId="0" applyFont="1" applyProtection="1"/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 wrapText="1"/>
    </xf>
    <xf numFmtId="0" fontId="34" fillId="0" borderId="0" xfId="0" applyFont="1" applyBorder="1" applyAlignment="1" applyProtection="1"/>
    <xf numFmtId="0" fontId="86" fillId="0" borderId="0" xfId="0" applyFont="1" applyProtection="1"/>
    <xf numFmtId="0" fontId="0" fillId="0" borderId="52" xfId="0" applyFont="1" applyBorder="1" applyProtection="1"/>
    <xf numFmtId="0" fontId="0" fillId="0" borderId="52" xfId="0" applyFont="1" applyBorder="1" applyAlignment="1" applyProtection="1"/>
    <xf numFmtId="0" fontId="0" fillId="0" borderId="52" xfId="0" applyFont="1" applyBorder="1" applyAlignment="1" applyProtection="1">
      <alignment horizontal="left" wrapText="1"/>
      <protection locked="0"/>
    </xf>
    <xf numFmtId="4" fontId="0" fillId="0" borderId="52" xfId="0" applyNumberFormat="1" applyFont="1" applyBorder="1" applyAlignment="1" applyProtection="1">
      <alignment horizontal="right"/>
      <protection locked="0"/>
    </xf>
    <xf numFmtId="174" fontId="0" fillId="0" borderId="52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Protection="1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wrapText="1"/>
      <protection locked="0"/>
    </xf>
    <xf numFmtId="2" fontId="0" fillId="0" borderId="0" xfId="0" applyNumberFormat="1" applyFont="1" applyBorder="1" applyAlignment="1" applyProtection="1">
      <alignment horizontal="right"/>
      <protection locked="0"/>
    </xf>
    <xf numFmtId="17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52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174" fontId="0" fillId="0" borderId="1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174" fontId="0" fillId="0" borderId="0" xfId="0" applyNumberFormat="1" applyFont="1" applyFill="1" applyBorder="1" applyProtection="1"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0" fontId="0" fillId="0" borderId="52" xfId="0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17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4" fillId="0" borderId="26" xfId="0" applyFont="1" applyBorder="1" applyAlignment="1"/>
    <xf numFmtId="0" fontId="4" fillId="0" borderId="0" xfId="0" applyFont="1" applyBorder="1" applyAlignment="1"/>
    <xf numFmtId="49" fontId="39" fillId="0" borderId="28" xfId="0" quotePrefix="1" applyNumberFormat="1" applyFont="1" applyBorder="1" applyAlignment="1">
      <alignment horizontal="right"/>
    </xf>
    <xf numFmtId="10" fontId="42" fillId="0" borderId="21" xfId="0" applyNumberFormat="1" applyFont="1" applyFill="1" applyBorder="1" applyAlignment="1">
      <alignment horizontal="right" vertical="center"/>
    </xf>
    <xf numFmtId="0" fontId="4" fillId="0" borderId="0" xfId="63" applyFont="1" applyFill="1" applyBorder="1" applyAlignment="1">
      <alignment horizontal="center"/>
    </xf>
    <xf numFmtId="0" fontId="4" fillId="0" borderId="13" xfId="63" applyFont="1" applyFill="1" applyBorder="1" applyAlignment="1">
      <alignment horizontal="center"/>
    </xf>
    <xf numFmtId="7" fontId="4" fillId="0" borderId="0" xfId="63" applyNumberFormat="1" applyFont="1" applyFill="1" applyBorder="1" applyAlignment="1">
      <alignment horizontal="center"/>
    </xf>
    <xf numFmtId="7" fontId="4" fillId="0" borderId="13" xfId="63" applyNumberFormat="1" applyFont="1" applyFill="1" applyBorder="1" applyAlignment="1">
      <alignment horizontal="center"/>
    </xf>
    <xf numFmtId="167" fontId="4" fillId="0" borderId="27" xfId="0" applyNumberFormat="1" applyFont="1" applyBorder="1" applyAlignment="1"/>
    <xf numFmtId="167" fontId="4" fillId="0" borderId="28" xfId="0" applyNumberFormat="1" applyFont="1" applyBorder="1" applyAlignment="1"/>
    <xf numFmtId="2" fontId="106" fillId="0" borderId="0" xfId="63" applyNumberFormat="1" applyFont="1" applyFill="1"/>
    <xf numFmtId="10" fontId="53" fillId="0" borderId="13" xfId="105" applyNumberFormat="1" applyFont="1" applyFill="1" applyBorder="1"/>
    <xf numFmtId="170" fontId="0" fillId="0" borderId="0" xfId="0" applyNumberFormat="1"/>
    <xf numFmtId="170" fontId="0" fillId="0" borderId="0" xfId="104" applyNumberFormat="1" applyFont="1"/>
    <xf numFmtId="0" fontId="107" fillId="0" borderId="0" xfId="65" applyFont="1" applyFill="1" applyBorder="1"/>
    <xf numFmtId="0" fontId="4" fillId="0" borderId="0" xfId="65" applyFont="1" applyFill="1" applyBorder="1"/>
    <xf numFmtId="0" fontId="5" fillId="0" borderId="0" xfId="69" applyFont="1" applyFill="1" applyBorder="1"/>
    <xf numFmtId="37" fontId="5" fillId="0" borderId="0" xfId="46" applyNumberFormat="1" applyFont="1" applyFill="1" applyBorder="1" applyAlignment="1">
      <alignment horizontal="center"/>
    </xf>
    <xf numFmtId="44" fontId="41" fillId="0" borderId="0" xfId="46" applyFont="1" applyFill="1" applyBorder="1"/>
    <xf numFmtId="3" fontId="4" fillId="0" borderId="0" xfId="65" applyNumberFormat="1" applyFont="1" applyFill="1" applyBorder="1"/>
    <xf numFmtId="0" fontId="41" fillId="0" borderId="0" xfId="69" applyFont="1" applyFill="1" applyBorder="1"/>
    <xf numFmtId="0" fontId="41" fillId="0" borderId="46" xfId="69" applyFont="1" applyFill="1" applyBorder="1"/>
    <xf numFmtId="3" fontId="41" fillId="0" borderId="65" xfId="69" applyNumberFormat="1" applyFont="1" applyFill="1" applyBorder="1" applyAlignment="1">
      <alignment horizontal="center"/>
    </xf>
    <xf numFmtId="0" fontId="4" fillId="31" borderId="26" xfId="65" applyFont="1" applyFill="1" applyBorder="1"/>
    <xf numFmtId="6" fontId="109" fillId="31" borderId="0" xfId="46" applyNumberFormat="1" applyFont="1" applyFill="1" applyBorder="1"/>
    <xf numFmtId="0" fontId="4" fillId="31" borderId="18" xfId="65" applyFont="1" applyFill="1" applyBorder="1"/>
    <xf numFmtId="0" fontId="4" fillId="31" borderId="0" xfId="65" applyFont="1" applyFill="1" applyBorder="1"/>
    <xf numFmtId="0" fontId="4" fillId="31" borderId="12" xfId="65" applyFont="1" applyFill="1" applyBorder="1"/>
    <xf numFmtId="0" fontId="41" fillId="0" borderId="30" xfId="69" applyFont="1" applyFill="1" applyBorder="1"/>
    <xf numFmtId="0" fontId="41" fillId="0" borderId="21" xfId="69" applyFont="1" applyFill="1" applyBorder="1" applyAlignment="1">
      <alignment horizontal="center"/>
    </xf>
    <xf numFmtId="0" fontId="41" fillId="0" borderId="31" xfId="69" applyFont="1" applyFill="1" applyBorder="1" applyAlignment="1">
      <alignment horizontal="right"/>
    </xf>
    <xf numFmtId="0" fontId="4" fillId="31" borderId="30" xfId="65" applyFont="1" applyFill="1" applyBorder="1"/>
    <xf numFmtId="6" fontId="109" fillId="31" borderId="21" xfId="46" applyNumberFormat="1" applyFont="1" applyFill="1" applyBorder="1"/>
    <xf numFmtId="0" fontId="4" fillId="31" borderId="21" xfId="65" applyFont="1" applyFill="1" applyBorder="1"/>
    <xf numFmtId="0" fontId="4" fillId="31" borderId="31" xfId="65" applyFont="1" applyFill="1" applyBorder="1"/>
    <xf numFmtId="0" fontId="4" fillId="0" borderId="26" xfId="78" applyFont="1" applyFill="1" applyBorder="1" applyAlignment="1"/>
    <xf numFmtId="6" fontId="110" fillId="0" borderId="0" xfId="69" applyNumberFormat="1" applyFont="1" applyFill="1" applyBorder="1"/>
    <xf numFmtId="4" fontId="111" fillId="0" borderId="0" xfId="69" applyNumberFormat="1" applyFont="1" applyFill="1" applyBorder="1" applyAlignment="1">
      <alignment horizontal="center"/>
    </xf>
    <xf numFmtId="42" fontId="5" fillId="0" borderId="12" xfId="69" applyNumberFormat="1" applyFont="1" applyFill="1" applyBorder="1"/>
    <xf numFmtId="0" fontId="4" fillId="31" borderId="67" xfId="65" applyFont="1" applyFill="1" applyBorder="1"/>
    <xf numFmtId="0" fontId="4" fillId="31" borderId="28" xfId="65" applyFont="1" applyFill="1" applyBorder="1"/>
    <xf numFmtId="0" fontId="4" fillId="31" borderId="29" xfId="65" applyFont="1" applyFill="1" applyBorder="1"/>
    <xf numFmtId="0" fontId="4" fillId="31" borderId="54" xfId="65" applyFont="1" applyFill="1" applyBorder="1"/>
    <xf numFmtId="0" fontId="112" fillId="31" borderId="16" xfId="65" applyFont="1" applyFill="1" applyBorder="1" applyAlignment="1">
      <alignment horizontal="center"/>
    </xf>
    <xf numFmtId="0" fontId="4" fillId="31" borderId="15" xfId="65" applyFont="1" applyFill="1" applyBorder="1"/>
    <xf numFmtId="0" fontId="4" fillId="31" borderId="16" xfId="65" applyFont="1" applyFill="1" applyBorder="1"/>
    <xf numFmtId="0" fontId="4" fillId="31" borderId="66" xfId="65" applyFont="1" applyFill="1" applyBorder="1"/>
    <xf numFmtId="2" fontId="112" fillId="31" borderId="21" xfId="65" applyNumberFormat="1" applyFont="1" applyFill="1" applyBorder="1" applyAlignment="1">
      <alignment horizontal="center"/>
    </xf>
    <xf numFmtId="0" fontId="4" fillId="31" borderId="20" xfId="65" applyFont="1" applyFill="1" applyBorder="1"/>
    <xf numFmtId="0" fontId="41" fillId="0" borderId="27" xfId="69" applyFont="1" applyFill="1" applyBorder="1"/>
    <xf numFmtId="0" fontId="41" fillId="0" borderId="28" xfId="69" applyFont="1" applyFill="1" applyBorder="1"/>
    <xf numFmtId="4" fontId="41" fillId="0" borderId="28" xfId="69" applyNumberFormat="1" applyFont="1" applyFill="1" applyBorder="1" applyAlignment="1">
      <alignment horizontal="center"/>
    </xf>
    <xf numFmtId="42" fontId="41" fillId="0" borderId="29" xfId="69" applyNumberFormat="1" applyFont="1" applyFill="1" applyBorder="1"/>
    <xf numFmtId="0" fontId="41" fillId="0" borderId="26" xfId="69" applyFont="1" applyFill="1" applyBorder="1"/>
    <xf numFmtId="0" fontId="5" fillId="0" borderId="12" xfId="69" applyFont="1" applyFill="1" applyBorder="1"/>
    <xf numFmtId="0" fontId="4" fillId="0" borderId="26" xfId="65" applyFont="1" applyFill="1" applyBorder="1"/>
    <xf numFmtId="170" fontId="4" fillId="31" borderId="0" xfId="46" applyNumberFormat="1" applyFont="1" applyFill="1" applyBorder="1" applyAlignment="1">
      <alignment horizontal="center"/>
    </xf>
    <xf numFmtId="0" fontId="5" fillId="0" borderId="26" xfId="69" applyFont="1" applyFill="1" applyBorder="1"/>
    <xf numFmtId="10" fontId="110" fillId="0" borderId="0" xfId="69" applyNumberFormat="1" applyFont="1" applyFill="1" applyBorder="1"/>
    <xf numFmtId="0" fontId="41" fillId="0" borderId="32" xfId="69" applyFont="1" applyFill="1" applyBorder="1"/>
    <xf numFmtId="0" fontId="41" fillId="0" borderId="33" xfId="69" applyFont="1" applyFill="1" applyBorder="1"/>
    <xf numFmtId="44" fontId="41" fillId="0" borderId="33" xfId="69" applyNumberFormat="1" applyFont="1" applyFill="1" applyBorder="1"/>
    <xf numFmtId="42" fontId="41" fillId="0" borderId="34" xfId="69" applyNumberFormat="1" applyFont="1" applyFill="1" applyBorder="1"/>
    <xf numFmtId="44" fontId="41" fillId="0" borderId="0" xfId="69" applyNumberFormat="1" applyFont="1" applyFill="1" applyBorder="1"/>
    <xf numFmtId="42" fontId="41" fillId="0" borderId="12" xfId="69" applyNumberFormat="1" applyFont="1" applyFill="1" applyBorder="1"/>
    <xf numFmtId="170" fontId="5" fillId="0" borderId="0" xfId="69" applyNumberFormat="1" applyFont="1" applyFill="1" applyBorder="1"/>
    <xf numFmtId="6" fontId="4" fillId="31" borderId="0" xfId="46" applyNumberFormat="1" applyFont="1" applyFill="1" applyBorder="1" applyAlignment="1">
      <alignment horizontal="center"/>
    </xf>
    <xf numFmtId="10" fontId="4" fillId="31" borderId="0" xfId="65" applyNumberFormat="1" applyFont="1" applyFill="1" applyBorder="1" applyAlignment="1">
      <alignment horizontal="center"/>
    </xf>
    <xf numFmtId="0" fontId="53" fillId="31" borderId="26" xfId="65" applyFont="1" applyFill="1" applyBorder="1"/>
    <xf numFmtId="10" fontId="53" fillId="31" borderId="0" xfId="105" applyNumberFormat="1" applyFont="1" applyFill="1" applyBorder="1" applyAlignment="1">
      <alignment horizontal="center"/>
    </xf>
    <xf numFmtId="0" fontId="53" fillId="31" borderId="0" xfId="65" applyFont="1" applyFill="1" applyBorder="1"/>
    <xf numFmtId="166" fontId="4" fillId="0" borderId="26" xfId="65" applyNumberFormat="1" applyFont="1" applyFill="1" applyBorder="1"/>
    <xf numFmtId="44" fontId="4" fillId="0" borderId="0" xfId="65" applyNumberFormat="1" applyFont="1" applyFill="1" applyBorder="1"/>
    <xf numFmtId="0" fontId="4" fillId="56" borderId="23" xfId="65" applyFont="1" applyFill="1" applyBorder="1"/>
    <xf numFmtId="10" fontId="4" fillId="56" borderId="24" xfId="65" applyNumberFormat="1" applyFont="1" applyFill="1" applyBorder="1" applyAlignment="1">
      <alignment horizontal="center"/>
    </xf>
    <xf numFmtId="0" fontId="4" fillId="56" borderId="102" xfId="65" applyFont="1" applyFill="1" applyBorder="1"/>
    <xf numFmtId="0" fontId="4" fillId="56" borderId="24" xfId="65" applyFont="1" applyFill="1" applyBorder="1"/>
    <xf numFmtId="0" fontId="4" fillId="56" borderId="25" xfId="65" applyFont="1" applyFill="1" applyBorder="1"/>
    <xf numFmtId="0" fontId="4" fillId="0" borderId="0" xfId="65" applyFont="1" applyFill="1" applyBorder="1" applyAlignment="1">
      <alignment horizontal="center"/>
    </xf>
    <xf numFmtId="0" fontId="53" fillId="0" borderId="26" xfId="69" applyFont="1" applyFill="1" applyBorder="1"/>
    <xf numFmtId="10" fontId="53" fillId="0" borderId="0" xfId="69" applyNumberFormat="1" applyFont="1" applyFill="1" applyBorder="1"/>
    <xf numFmtId="0" fontId="5" fillId="0" borderId="33" xfId="69" applyFont="1" applyFill="1" applyBorder="1"/>
    <xf numFmtId="0" fontId="108" fillId="45" borderId="37" xfId="65" applyFont="1" applyFill="1" applyBorder="1"/>
    <xf numFmtId="0" fontId="108" fillId="45" borderId="10" xfId="65" applyFont="1" applyFill="1" applyBorder="1"/>
    <xf numFmtId="0" fontId="108" fillId="45" borderId="10" xfId="65" applyFont="1" applyFill="1" applyBorder="1" applyAlignment="1">
      <alignment horizontal="center"/>
    </xf>
    <xf numFmtId="0" fontId="108" fillId="45" borderId="50" xfId="65" applyFont="1" applyFill="1" applyBorder="1" applyAlignment="1">
      <alignment horizontal="center"/>
    </xf>
    <xf numFmtId="3" fontId="108" fillId="45" borderId="89" xfId="65" applyNumberFormat="1" applyFont="1" applyFill="1" applyBorder="1" applyAlignment="1">
      <alignment horizontal="center"/>
    </xf>
    <xf numFmtId="10" fontId="111" fillId="0" borderId="0" xfId="69" applyNumberFormat="1" applyFont="1" applyFill="1" applyBorder="1"/>
    <xf numFmtId="170" fontId="5" fillId="0" borderId="12" xfId="46" applyNumberFormat="1" applyFont="1" applyFill="1" applyBorder="1"/>
    <xf numFmtId="2" fontId="4" fillId="0" borderId="0" xfId="65" applyNumberFormat="1" applyFont="1" applyFill="1" applyBorder="1"/>
    <xf numFmtId="0" fontId="40" fillId="0" borderId="27" xfId="65" applyFont="1" applyFill="1" applyBorder="1" applyAlignment="1">
      <alignment horizontal="center"/>
    </xf>
    <xf numFmtId="0" fontId="40" fillId="0" borderId="28" xfId="65" applyFont="1" applyFill="1" applyBorder="1" applyAlignment="1">
      <alignment horizontal="center"/>
    </xf>
    <xf numFmtId="0" fontId="40" fillId="0" borderId="52" xfId="65" applyFont="1" applyFill="1" applyBorder="1" applyAlignment="1">
      <alignment horizontal="center"/>
    </xf>
    <xf numFmtId="0" fontId="2" fillId="0" borderId="77" xfId="65" applyFont="1" applyFill="1" applyBorder="1" applyAlignment="1">
      <alignment horizontal="center"/>
    </xf>
    <xf numFmtId="1" fontId="2" fillId="0" borderId="28" xfId="65" applyNumberFormat="1" applyFont="1" applyFill="1" applyBorder="1" applyAlignment="1">
      <alignment horizontal="center"/>
    </xf>
    <xf numFmtId="3" fontId="2" fillId="0" borderId="82" xfId="33" applyNumberFormat="1" applyFont="1" applyFill="1" applyBorder="1" applyAlignment="1">
      <alignment horizontal="center"/>
    </xf>
    <xf numFmtId="0" fontId="40" fillId="0" borderId="26" xfId="65" applyFont="1" applyFill="1" applyBorder="1" applyAlignment="1">
      <alignment horizontal="center"/>
    </xf>
    <xf numFmtId="0" fontId="40" fillId="0" borderId="0" xfId="65" applyFont="1" applyFill="1" applyBorder="1" applyAlignment="1">
      <alignment horizontal="center"/>
    </xf>
    <xf numFmtId="0" fontId="40" fillId="0" borderId="59" xfId="65" applyFont="1" applyFill="1" applyBorder="1" applyAlignment="1">
      <alignment horizontal="center"/>
    </xf>
    <xf numFmtId="0" fontId="2" fillId="0" borderId="68" xfId="65" applyFont="1" applyFill="1" applyBorder="1" applyAlignment="1">
      <alignment horizontal="center"/>
    </xf>
    <xf numFmtId="1" fontId="2" fillId="0" borderId="68" xfId="65" applyNumberFormat="1" applyFont="1" applyFill="1" applyBorder="1" applyAlignment="1">
      <alignment horizontal="center"/>
    </xf>
    <xf numFmtId="3" fontId="2" fillId="0" borderId="85" xfId="33" applyNumberFormat="1" applyFont="1" applyFill="1" applyBorder="1" applyAlignment="1">
      <alignment horizontal="center"/>
    </xf>
    <xf numFmtId="0" fontId="5" fillId="0" borderId="35" xfId="69" applyFont="1" applyFill="1" applyBorder="1"/>
    <xf numFmtId="0" fontId="5" fillId="0" borderId="13" xfId="69" applyFont="1" applyFill="1" applyBorder="1"/>
    <xf numFmtId="44" fontId="5" fillId="0" borderId="13" xfId="46" applyFont="1" applyFill="1" applyBorder="1"/>
    <xf numFmtId="44" fontId="5" fillId="0" borderId="14" xfId="46" applyFont="1" applyFill="1" applyBorder="1"/>
    <xf numFmtId="0" fontId="2" fillId="0" borderId="26" xfId="65" applyFont="1" applyFill="1" applyBorder="1" applyAlignment="1">
      <alignment horizontal="left"/>
    </xf>
    <xf numFmtId="0" fontId="2" fillId="0" borderId="0" xfId="65" applyFont="1" applyFill="1" applyBorder="1" applyAlignment="1">
      <alignment horizontal="left"/>
    </xf>
    <xf numFmtId="0" fontId="2" fillId="0" borderId="59" xfId="65" applyFont="1" applyFill="1" applyBorder="1" applyAlignment="1">
      <alignment horizontal="center"/>
    </xf>
    <xf numFmtId="1" fontId="2" fillId="0" borderId="59" xfId="65" applyNumberFormat="1" applyFont="1" applyFill="1" applyBorder="1" applyAlignment="1">
      <alignment horizontal="center"/>
    </xf>
    <xf numFmtId="3" fontId="2" fillId="0" borderId="61" xfId="33" applyNumberFormat="1" applyFont="1" applyFill="1" applyBorder="1" applyAlignment="1">
      <alignment horizontal="center"/>
    </xf>
    <xf numFmtId="44" fontId="41" fillId="2" borderId="38" xfId="46" applyFont="1" applyFill="1" applyBorder="1"/>
    <xf numFmtId="10" fontId="4" fillId="0" borderId="0" xfId="105" applyNumberFormat="1" applyFont="1" applyFill="1" applyBorder="1"/>
    <xf numFmtId="0" fontId="2" fillId="0" borderId="21" xfId="65" applyFont="1" applyFill="1" applyBorder="1" applyAlignment="1">
      <alignment horizontal="center"/>
    </xf>
    <xf numFmtId="0" fontId="40" fillId="0" borderId="21" xfId="65" applyFont="1" applyFill="1" applyBorder="1" applyAlignment="1">
      <alignment horizontal="center"/>
    </xf>
    <xf numFmtId="1" fontId="2" fillId="0" borderId="21" xfId="65" applyNumberFormat="1" applyFont="1" applyFill="1" applyBorder="1" applyAlignment="1">
      <alignment horizontal="center"/>
    </xf>
    <xf numFmtId="3" fontId="40" fillId="0" borderId="51" xfId="33" applyNumberFormat="1" applyFont="1" applyFill="1" applyBorder="1" applyAlignment="1">
      <alignment horizontal="center"/>
    </xf>
    <xf numFmtId="0" fontId="39" fillId="0" borderId="54" xfId="65" applyFont="1" applyFill="1" applyBorder="1"/>
    <xf numFmtId="0" fontId="39" fillId="0" borderId="0" xfId="65" applyFont="1" applyFill="1" applyBorder="1"/>
    <xf numFmtId="0" fontId="2" fillId="0" borderId="0" xfId="65" applyFont="1" applyFill="1" applyBorder="1" applyAlignment="1">
      <alignment horizontal="center"/>
    </xf>
    <xf numFmtId="1" fontId="2" fillId="0" borderId="0" xfId="65" applyNumberFormat="1" applyFont="1" applyFill="1" applyBorder="1" applyAlignment="1">
      <alignment horizontal="center"/>
    </xf>
    <xf numFmtId="3" fontId="39" fillId="0" borderId="51" xfId="33" applyNumberFormat="1" applyFont="1" applyFill="1" applyBorder="1" applyAlignment="1">
      <alignment horizontal="center"/>
    </xf>
    <xf numFmtId="0" fontId="2" fillId="0" borderId="62" xfId="65" applyFont="1" applyBorder="1"/>
    <xf numFmtId="0" fontId="2" fillId="0" borderId="63" xfId="65" applyFont="1" applyBorder="1"/>
    <xf numFmtId="0" fontId="2" fillId="0" borderId="63" xfId="65" applyFont="1" applyBorder="1" applyAlignment="1">
      <alignment horizontal="center"/>
    </xf>
    <xf numFmtId="4" fontId="2" fillId="0" borderId="88" xfId="65" applyNumberFormat="1" applyFont="1" applyBorder="1" applyAlignment="1">
      <alignment horizontal="center"/>
    </xf>
    <xf numFmtId="0" fontId="39" fillId="0" borderId="94" xfId="65" applyFont="1" applyFill="1" applyBorder="1"/>
    <xf numFmtId="0" fontId="39" fillId="0" borderId="95" xfId="65" applyFont="1" applyFill="1" applyBorder="1"/>
    <xf numFmtId="0" fontId="2" fillId="0" borderId="95" xfId="65" applyFont="1" applyBorder="1"/>
    <xf numFmtId="0" fontId="2" fillId="0" borderId="95" xfId="65" applyFont="1" applyBorder="1" applyAlignment="1">
      <alignment horizontal="center"/>
    </xf>
    <xf numFmtId="0" fontId="2" fillId="0" borderId="96" xfId="65" applyFont="1" applyBorder="1" applyAlignment="1">
      <alignment horizontal="center"/>
    </xf>
    <xf numFmtId="3" fontId="40" fillId="0" borderId="97" xfId="65" applyNumberFormat="1" applyFont="1" applyBorder="1" applyAlignment="1">
      <alignment horizontal="center"/>
    </xf>
    <xf numFmtId="166" fontId="0" fillId="0" borderId="42" xfId="0" applyNumberFormat="1" applyFont="1" applyBorder="1"/>
    <xf numFmtId="170" fontId="2" fillId="0" borderId="0" xfId="104" applyNumberFormat="1" applyFont="1" applyFill="1"/>
    <xf numFmtId="170" fontId="2" fillId="0" borderId="12" xfId="0" applyNumberFormat="1" applyFont="1" applyBorder="1"/>
    <xf numFmtId="0" fontId="2" fillId="0" borderId="26" xfId="0" applyFont="1" applyFill="1" applyBorder="1" applyAlignment="1">
      <alignment horizontal="left"/>
    </xf>
    <xf numFmtId="44" fontId="2" fillId="0" borderId="0" xfId="0" applyNumberFormat="1" applyFont="1" applyFill="1" applyBorder="1"/>
    <xf numFmtId="170" fontId="2" fillId="0" borderId="0" xfId="0" applyNumberFormat="1" applyFont="1" applyFill="1" applyBorder="1"/>
    <xf numFmtId="2" fontId="2" fillId="0" borderId="36" xfId="0" applyNumberFormat="1" applyFont="1" applyFill="1" applyBorder="1"/>
    <xf numFmtId="0" fontId="2" fillId="0" borderId="12" xfId="0" applyFont="1" applyFill="1" applyBorder="1"/>
    <xf numFmtId="4" fontId="2" fillId="0" borderId="0" xfId="0" applyNumberFormat="1" applyFont="1" applyFill="1" applyBorder="1"/>
    <xf numFmtId="0" fontId="4" fillId="0" borderId="36" xfId="0" applyFont="1" applyFill="1" applyBorder="1" applyAlignment="1">
      <alignment horizontal="left"/>
    </xf>
    <xf numFmtId="10" fontId="67" fillId="0" borderId="0" xfId="0" applyNumberFormat="1" applyFont="1" applyFill="1" applyBorder="1" applyAlignment="1">
      <alignment horizontal="center" vertical="center"/>
    </xf>
    <xf numFmtId="0" fontId="1" fillId="56" borderId="23" xfId="0" applyFont="1" applyFill="1" applyBorder="1"/>
    <xf numFmtId="10" fontId="67" fillId="56" borderId="24" xfId="89" applyNumberFormat="1" applyFont="1" applyFill="1" applyBorder="1" applyAlignment="1">
      <alignment horizontal="center"/>
    </xf>
    <xf numFmtId="49" fontId="1" fillId="56" borderId="45" xfId="0" applyNumberFormat="1" applyFont="1" applyFill="1" applyBorder="1" applyAlignment="1">
      <alignment wrapText="1"/>
    </xf>
    <xf numFmtId="0" fontId="2" fillId="0" borderId="39" xfId="0" applyFont="1" applyBorder="1" applyAlignment="1">
      <alignment horizontal="left"/>
    </xf>
    <xf numFmtId="0" fontId="53" fillId="0" borderId="26" xfId="0" applyFont="1" applyFill="1" applyBorder="1" applyAlignment="1">
      <alignment horizontal="left"/>
    </xf>
    <xf numFmtId="10" fontId="53" fillId="0" borderId="0" xfId="0" applyNumberFormat="1" applyFont="1" applyFill="1" applyBorder="1" applyAlignment="1">
      <alignment horizontal="right" vertical="center"/>
    </xf>
    <xf numFmtId="10" fontId="5" fillId="0" borderId="0" xfId="105" applyNumberFormat="1" applyFont="1" applyBorder="1" applyAlignment="1">
      <alignment horizontal="right"/>
    </xf>
    <xf numFmtId="0" fontId="113" fillId="0" borderId="40" xfId="0" applyFont="1" applyFill="1" applyBorder="1" applyAlignment="1">
      <alignment horizontal="left"/>
    </xf>
    <xf numFmtId="167" fontId="67" fillId="0" borderId="0" xfId="0" applyNumberFormat="1" applyFont="1" applyBorder="1" applyAlignment="1">
      <alignment horizontal="center"/>
    </xf>
    <xf numFmtId="2" fontId="67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80" fillId="0" borderId="0" xfId="0" applyFont="1" applyBorder="1"/>
    <xf numFmtId="168" fontId="80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168" fontId="68" fillId="0" borderId="0" xfId="0" applyNumberFormat="1" applyFont="1" applyBorder="1" applyAlignment="1">
      <alignment horizontal="center"/>
    </xf>
    <xf numFmtId="0" fontId="34" fillId="0" borderId="0" xfId="0" applyFont="1" applyFill="1" applyBorder="1" applyAlignment="1"/>
    <xf numFmtId="10" fontId="68" fillId="0" borderId="0" xfId="0" applyNumberFormat="1" applyFont="1" applyFill="1" applyBorder="1" applyAlignment="1">
      <alignment horizontal="center"/>
    </xf>
    <xf numFmtId="167" fontId="1" fillId="0" borderId="26" xfId="0" applyNumberFormat="1" applyFont="1" applyBorder="1"/>
    <xf numFmtId="0" fontId="67" fillId="0" borderId="26" xfId="0" applyFont="1" applyBorder="1" applyAlignment="1">
      <alignment horizontal="right"/>
    </xf>
    <xf numFmtId="0" fontId="1" fillId="0" borderId="26" xfId="0" applyFont="1" applyBorder="1"/>
    <xf numFmtId="167" fontId="80" fillId="0" borderId="26" xfId="0" applyNumberFormat="1" applyFont="1" applyBorder="1"/>
    <xf numFmtId="167" fontId="80" fillId="0" borderId="12" xfId="0" applyNumberFormat="1" applyFont="1" applyBorder="1"/>
    <xf numFmtId="0" fontId="34" fillId="0" borderId="26" xfId="0" applyFont="1" applyFill="1" applyBorder="1" applyAlignment="1">
      <alignment horizontal="right"/>
    </xf>
    <xf numFmtId="164" fontId="65" fillId="0" borderId="12" xfId="0" applyNumberFormat="1" applyFont="1" applyFill="1" applyBorder="1"/>
    <xf numFmtId="0" fontId="65" fillId="0" borderId="26" xfId="107" applyFont="1" applyFill="1" applyBorder="1" applyAlignment="1">
      <alignment horizontal="right"/>
    </xf>
    <xf numFmtId="164" fontId="65" fillId="0" borderId="12" xfId="107" applyNumberFormat="1" applyFont="1" applyFill="1" applyBorder="1"/>
    <xf numFmtId="0" fontId="65" fillId="0" borderId="35" xfId="107" applyFont="1" applyFill="1" applyBorder="1" applyAlignment="1">
      <alignment horizontal="right"/>
    </xf>
    <xf numFmtId="0" fontId="65" fillId="0" borderId="13" xfId="107" applyFont="1" applyFill="1" applyBorder="1"/>
    <xf numFmtId="164" fontId="65" fillId="0" borderId="14" xfId="107" applyNumberFormat="1" applyFont="1" applyFill="1" applyBorder="1"/>
    <xf numFmtId="0" fontId="67" fillId="0" borderId="37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3" fontId="67" fillId="0" borderId="10" xfId="0" applyNumberFormat="1" applyFont="1" applyBorder="1" applyAlignment="1">
      <alignment horizontal="center"/>
    </xf>
    <xf numFmtId="3" fontId="67" fillId="0" borderId="11" xfId="0" applyNumberFormat="1" applyFont="1" applyBorder="1" applyAlignment="1">
      <alignment horizontal="center"/>
    </xf>
    <xf numFmtId="0" fontId="66" fillId="0" borderId="35" xfId="0" applyFont="1" applyBorder="1"/>
    <xf numFmtId="167" fontId="97" fillId="0" borderId="13" xfId="0" applyNumberFormat="1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1" fontId="68" fillId="0" borderId="13" xfId="0" applyNumberFormat="1" applyFont="1" applyBorder="1" applyAlignment="1">
      <alignment horizontal="center"/>
    </xf>
    <xf numFmtId="167" fontId="68" fillId="0" borderId="14" xfId="0" applyNumberFormat="1" applyFont="1" applyBorder="1" applyAlignment="1">
      <alignment horizontal="right"/>
    </xf>
    <xf numFmtId="167" fontId="1" fillId="0" borderId="37" xfId="0" applyNumberFormat="1" applyFont="1" applyBorder="1"/>
    <xf numFmtId="0" fontId="97" fillId="0" borderId="10" xfId="0" applyFont="1" applyBorder="1" applyAlignment="1">
      <alignment horizontal="center"/>
    </xf>
    <xf numFmtId="167" fontId="1" fillId="0" borderId="10" xfId="0" applyNumberFormat="1" applyFont="1" applyBorder="1"/>
    <xf numFmtId="2" fontId="67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Border="1"/>
    <xf numFmtId="10" fontId="69" fillId="0" borderId="13" xfId="0" applyNumberFormat="1" applyFont="1" applyBorder="1" applyAlignment="1"/>
    <xf numFmtId="9" fontId="69" fillId="0" borderId="13" xfId="97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7" fontId="66" fillId="0" borderId="14" xfId="0" applyNumberFormat="1" applyFont="1" applyBorder="1"/>
    <xf numFmtId="0" fontId="34" fillId="33" borderId="23" xfId="0" applyFont="1" applyFill="1" applyBorder="1"/>
    <xf numFmtId="10" fontId="34" fillId="33" borderId="24" xfId="0" applyNumberFormat="1" applyFont="1" applyFill="1" applyBorder="1" applyAlignment="1">
      <alignment horizontal="center"/>
    </xf>
    <xf numFmtId="10" fontId="34" fillId="33" borderId="24" xfId="0" applyNumberFormat="1" applyFont="1" applyFill="1" applyBorder="1"/>
    <xf numFmtId="174" fontId="34" fillId="33" borderId="25" xfId="0" applyNumberFormat="1" applyFont="1" applyFill="1" applyBorder="1"/>
    <xf numFmtId="49" fontId="0" fillId="0" borderId="89" xfId="0" applyNumberFormat="1" applyFont="1" applyBorder="1" applyAlignment="1"/>
    <xf numFmtId="9" fontId="34" fillId="0" borderId="24" xfId="0" applyNumberFormat="1" applyFont="1" applyBorder="1" applyAlignment="1">
      <alignment horizontal="center"/>
    </xf>
    <xf numFmtId="10" fontId="34" fillId="0" borderId="24" xfId="105" applyNumberFormat="1" applyFont="1" applyBorder="1"/>
    <xf numFmtId="168" fontId="34" fillId="0" borderId="24" xfId="0" applyNumberFormat="1" applyFont="1" applyBorder="1" applyAlignment="1">
      <alignment horizontal="center"/>
    </xf>
    <xf numFmtId="167" fontId="68" fillId="0" borderId="25" xfId="0" applyNumberFormat="1" applyFont="1" applyBorder="1"/>
    <xf numFmtId="0" fontId="34" fillId="0" borderId="35" xfId="0" applyFont="1" applyBorder="1" applyAlignment="1">
      <alignment horizontal="left"/>
    </xf>
    <xf numFmtId="9" fontId="34" fillId="0" borderId="13" xfId="0" applyNumberFormat="1" applyFont="1" applyBorder="1" applyAlignment="1">
      <alignment horizontal="center"/>
    </xf>
    <xf numFmtId="10" fontId="34" fillId="0" borderId="13" xfId="105" applyNumberFormat="1" applyFont="1" applyBorder="1"/>
    <xf numFmtId="168" fontId="34" fillId="0" borderId="13" xfId="0" applyNumberFormat="1" applyFont="1" applyBorder="1" applyAlignment="1">
      <alignment horizontal="center"/>
    </xf>
    <xf numFmtId="167" fontId="68" fillId="0" borderId="14" xfId="0" applyNumberFormat="1" applyFont="1" applyBorder="1"/>
    <xf numFmtId="0" fontId="67" fillId="0" borderId="55" xfId="0" applyFont="1" applyFill="1" applyBorder="1"/>
    <xf numFmtId="9" fontId="69" fillId="0" borderId="56" xfId="0" applyNumberFormat="1" applyFont="1" applyFill="1" applyBorder="1" applyAlignment="1">
      <alignment horizontal="center" vertical="center"/>
    </xf>
    <xf numFmtId="10" fontId="69" fillId="0" borderId="56" xfId="0" applyNumberFormat="1" applyFont="1" applyBorder="1" applyAlignment="1"/>
    <xf numFmtId="0" fontId="1" fillId="0" borderId="56" xfId="0" applyFont="1" applyBorder="1" applyAlignment="1">
      <alignment horizontal="center"/>
    </xf>
    <xf numFmtId="167" fontId="67" fillId="0" borderId="57" xfId="0" applyNumberFormat="1" applyFont="1" applyBorder="1"/>
    <xf numFmtId="167" fontId="1" fillId="0" borderId="21" xfId="0" applyNumberFormat="1" applyFont="1" applyBorder="1"/>
    <xf numFmtId="167" fontId="1" fillId="0" borderId="31" xfId="0" applyNumberFormat="1" applyFont="1" applyBorder="1"/>
    <xf numFmtId="0" fontId="0" fillId="0" borderId="26" xfId="0" applyFont="1" applyBorder="1" applyAlignment="1">
      <alignment horizontal="left"/>
    </xf>
    <xf numFmtId="9" fontId="0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/>
    <xf numFmtId="168" fontId="1" fillId="0" borderId="28" xfId="0" applyNumberFormat="1" applyFont="1" applyBorder="1" applyAlignment="1">
      <alignment horizontal="center"/>
    </xf>
    <xf numFmtId="0" fontId="1" fillId="0" borderId="27" xfId="0" applyFont="1" applyBorder="1"/>
    <xf numFmtId="167" fontId="68" fillId="0" borderId="29" xfId="0" applyNumberFormat="1" applyFont="1" applyBorder="1"/>
    <xf numFmtId="0" fontId="4" fillId="0" borderId="37" xfId="0" applyFont="1" applyFill="1" applyBorder="1" applyAlignment="1">
      <alignment horizontal="left"/>
    </xf>
    <xf numFmtId="10" fontId="4" fillId="0" borderId="10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/>
    </xf>
    <xf numFmtId="0" fontId="113" fillId="0" borderId="35" xfId="0" applyFont="1" applyFill="1" applyBorder="1" applyAlignment="1">
      <alignment horizontal="left"/>
    </xf>
    <xf numFmtId="10" fontId="114" fillId="0" borderId="13" xfId="0" applyNumberFormat="1" applyFont="1" applyFill="1" applyBorder="1" applyAlignment="1">
      <alignment horizontal="center" vertical="center"/>
    </xf>
    <xf numFmtId="0" fontId="39" fillId="0" borderId="0" xfId="107" applyFont="1" applyFill="1" applyBorder="1" applyAlignment="1">
      <alignment horizontal="left"/>
    </xf>
    <xf numFmtId="4" fontId="4" fillId="0" borderId="0" xfId="107" applyNumberFormat="1" applyFont="1" applyFill="1" applyBorder="1" applyAlignment="1"/>
    <xf numFmtId="4" fontId="4" fillId="0" borderId="0" xfId="107" applyNumberFormat="1" applyFont="1" applyFill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3" fontId="39" fillId="0" borderId="12" xfId="0" applyNumberFormat="1" applyFont="1" applyBorder="1" applyAlignment="1">
      <alignment horizontal="center"/>
    </xf>
    <xf numFmtId="4" fontId="4" fillId="0" borderId="0" xfId="109" applyNumberFormat="1" applyFont="1" applyFill="1" applyBorder="1"/>
    <xf numFmtId="0" fontId="96" fillId="0" borderId="26" xfId="0" applyFont="1" applyBorder="1"/>
    <xf numFmtId="167" fontId="115" fillId="0" borderId="0" xfId="0" applyNumberFormat="1" applyFont="1" applyBorder="1" applyAlignment="1">
      <alignment horizontal="center"/>
    </xf>
    <xf numFmtId="1" fontId="96" fillId="0" borderId="0" xfId="0" applyNumberFormat="1" applyFont="1" applyBorder="1" applyAlignment="1">
      <alignment horizontal="center"/>
    </xf>
    <xf numFmtId="167" fontId="96" fillId="0" borderId="12" xfId="0" applyNumberFormat="1" applyFont="1" applyBorder="1" applyAlignment="1">
      <alignment horizontal="right"/>
    </xf>
    <xf numFmtId="0" fontId="95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9" fillId="0" borderId="26" xfId="0" applyFont="1" applyBorder="1" applyAlignment="1">
      <alignment horizontal="right"/>
    </xf>
    <xf numFmtId="167" fontId="39" fillId="0" borderId="0" xfId="0" applyNumberFormat="1" applyFont="1" applyBorder="1" applyAlignment="1">
      <alignment horizontal="center"/>
    </xf>
    <xf numFmtId="167" fontId="39" fillId="0" borderId="0" xfId="0" applyNumberFormat="1" applyFont="1" applyBorder="1"/>
    <xf numFmtId="2" fontId="39" fillId="0" borderId="0" xfId="0" applyNumberFormat="1" applyFont="1" applyBorder="1" applyAlignment="1">
      <alignment horizontal="center"/>
    </xf>
    <xf numFmtId="167" fontId="39" fillId="0" borderId="12" xfId="0" applyNumberFormat="1" applyFont="1" applyBorder="1"/>
    <xf numFmtId="0" fontId="96" fillId="0" borderId="23" xfId="0" applyFont="1" applyBorder="1"/>
    <xf numFmtId="0" fontId="96" fillId="0" borderId="24" xfId="0" applyFont="1" applyBorder="1" applyAlignment="1">
      <alignment horizontal="center"/>
    </xf>
    <xf numFmtId="0" fontId="96" fillId="0" borderId="24" xfId="0" applyFont="1" applyBorder="1"/>
    <xf numFmtId="167" fontId="96" fillId="0" borderId="25" xfId="0" applyNumberFormat="1" applyFont="1" applyBorder="1"/>
    <xf numFmtId="0" fontId="4" fillId="0" borderId="26" xfId="0" applyFont="1" applyFill="1" applyBorder="1"/>
    <xf numFmtId="9" fontId="83" fillId="0" borderId="0" xfId="0" applyNumberFormat="1" applyFont="1" applyFill="1" applyBorder="1" applyAlignment="1">
      <alignment horizontal="center" vertical="center"/>
    </xf>
    <xf numFmtId="10" fontId="83" fillId="0" borderId="0" xfId="0" applyNumberFormat="1" applyFont="1" applyBorder="1" applyAlignment="1"/>
    <xf numFmtId="167" fontId="4" fillId="0" borderId="12" xfId="0" applyNumberFormat="1" applyFont="1" applyBorder="1"/>
    <xf numFmtId="167" fontId="94" fillId="0" borderId="12" xfId="0" applyNumberFormat="1" applyFont="1" applyBorder="1"/>
    <xf numFmtId="167" fontId="96" fillId="0" borderId="29" xfId="0" applyNumberFormat="1" applyFont="1" applyBorder="1"/>
    <xf numFmtId="9" fontId="83" fillId="0" borderId="0" xfId="97" applyFont="1" applyBorder="1" applyAlignment="1">
      <alignment horizontal="center"/>
    </xf>
    <xf numFmtId="0" fontId="96" fillId="0" borderId="54" xfId="0" applyFont="1" applyBorder="1"/>
    <xf numFmtId="0" fontId="96" fillId="0" borderId="16" xfId="0" applyFont="1" applyBorder="1" applyAlignment="1">
      <alignment horizontal="center"/>
    </xf>
    <xf numFmtId="0" fontId="96" fillId="0" borderId="16" xfId="0" applyFont="1" applyBorder="1"/>
    <xf numFmtId="168" fontId="96" fillId="0" borderId="16" xfId="0" applyNumberFormat="1" applyFont="1" applyBorder="1" applyAlignment="1">
      <alignment horizontal="center"/>
    </xf>
    <xf numFmtId="167" fontId="39" fillId="0" borderId="66" xfId="0" applyNumberFormat="1" applyFont="1" applyBorder="1"/>
    <xf numFmtId="4" fontId="4" fillId="0" borderId="0" xfId="107" applyNumberFormat="1" applyFont="1" applyFill="1" applyBorder="1"/>
    <xf numFmtId="0" fontId="96" fillId="0" borderId="13" xfId="0" applyFont="1" applyBorder="1" applyAlignment="1">
      <alignment horizontal="center"/>
    </xf>
    <xf numFmtId="167" fontId="4" fillId="0" borderId="14" xfId="0" applyNumberFormat="1" applyFont="1" applyBorder="1"/>
    <xf numFmtId="4" fontId="39" fillId="0" borderId="0" xfId="109" applyNumberFormat="1" applyFont="1" applyFill="1" applyBorder="1"/>
    <xf numFmtId="4" fontId="4" fillId="0" borderId="0" xfId="107" applyNumberFormat="1" applyFont="1" applyFill="1"/>
    <xf numFmtId="0" fontId="39" fillId="0" borderId="52" xfId="107" applyFont="1" applyBorder="1" applyAlignment="1"/>
    <xf numFmtId="4" fontId="39" fillId="0" borderId="0" xfId="107" applyNumberFormat="1" applyFont="1" applyFill="1" applyBorder="1" applyAlignment="1"/>
    <xf numFmtId="0" fontId="79" fillId="0" borderId="0" xfId="107" applyFont="1"/>
    <xf numFmtId="172" fontId="39" fillId="0" borderId="37" xfId="109" applyNumberFormat="1" applyFont="1" applyFill="1" applyBorder="1"/>
    <xf numFmtId="172" fontId="4" fillId="0" borderId="10" xfId="109" applyNumberFormat="1" applyFont="1" applyFill="1" applyBorder="1" applyAlignment="1">
      <alignment horizontal="left"/>
    </xf>
    <xf numFmtId="171" fontId="4" fillId="0" borderId="11" xfId="109" applyNumberFormat="1" applyFont="1" applyFill="1" applyBorder="1"/>
    <xf numFmtId="170" fontId="4" fillId="0" borderId="0" xfId="104" applyNumberFormat="1" applyFont="1" applyFill="1" applyBorder="1"/>
    <xf numFmtId="2" fontId="4" fillId="0" borderId="12" xfId="109" applyNumberFormat="1" applyFont="1" applyFill="1" applyBorder="1"/>
    <xf numFmtId="172" fontId="4" fillId="0" borderId="26" xfId="109" applyNumberFormat="1" applyFont="1" applyFill="1" applyBorder="1"/>
    <xf numFmtId="171" fontId="4" fillId="0" borderId="12" xfId="109" applyNumberFormat="1" applyFont="1" applyFill="1" applyBorder="1"/>
    <xf numFmtId="167" fontId="39" fillId="0" borderId="37" xfId="0" applyNumberFormat="1" applyFont="1" applyBorder="1" applyAlignment="1">
      <alignment horizontal="left"/>
    </xf>
    <xf numFmtId="9" fontId="4" fillId="0" borderId="11" xfId="109" applyNumberFormat="1" applyFont="1" applyFill="1" applyBorder="1"/>
    <xf numFmtId="170" fontId="4" fillId="0" borderId="0" xfId="104" applyNumberFormat="1" applyFont="1" applyFill="1" applyBorder="1" applyAlignment="1">
      <alignment horizontal="right"/>
    </xf>
    <xf numFmtId="9" fontId="4" fillId="0" borderId="12" xfId="108" applyFont="1" applyFill="1" applyBorder="1"/>
    <xf numFmtId="0" fontId="40" fillId="0" borderId="23" xfId="0" applyFont="1" applyBorder="1" applyAlignment="1">
      <alignment horizontal="left"/>
    </xf>
    <xf numFmtId="9" fontId="2" fillId="0" borderId="24" xfId="0" applyNumberFormat="1" applyFont="1" applyBorder="1" applyAlignment="1">
      <alignment horizontal="center"/>
    </xf>
    <xf numFmtId="10" fontId="2" fillId="0" borderId="24" xfId="105" applyNumberFormat="1" applyFont="1" applyBorder="1"/>
    <xf numFmtId="168" fontId="2" fillId="0" borderId="24" xfId="0" applyNumberFormat="1" applyFont="1" applyBorder="1" applyAlignment="1">
      <alignment horizontal="center"/>
    </xf>
    <xf numFmtId="10" fontId="53" fillId="0" borderId="0" xfId="105" applyNumberFormat="1" applyFont="1" applyFill="1" applyBorder="1" applyAlignment="1">
      <alignment horizontal="right"/>
    </xf>
    <xf numFmtId="170" fontId="2" fillId="0" borderId="0" xfId="0" applyNumberFormat="1" applyFont="1" applyBorder="1" applyAlignment="1">
      <alignment horizontal="center"/>
    </xf>
    <xf numFmtId="10" fontId="4" fillId="0" borderId="0" xfId="105" applyNumberFormat="1" applyFont="1" applyFill="1" applyBorder="1" applyAlignment="1">
      <alignment horizontal="right"/>
    </xf>
    <xf numFmtId="0" fontId="2" fillId="0" borderId="23" xfId="0" applyFont="1" applyFill="1" applyBorder="1"/>
    <xf numFmtId="10" fontId="2" fillId="0" borderId="24" xfId="0" applyNumberFormat="1" applyFont="1" applyFill="1" applyBorder="1" applyAlignment="1">
      <alignment horizontal="center"/>
    </xf>
    <xf numFmtId="10" fontId="2" fillId="0" borderId="24" xfId="0" applyNumberFormat="1" applyFont="1" applyFill="1" applyBorder="1"/>
    <xf numFmtId="0" fontId="2" fillId="0" borderId="24" xfId="0" applyFont="1" applyBorder="1" applyAlignment="1">
      <alignment horizontal="center"/>
    </xf>
    <xf numFmtId="174" fontId="40" fillId="0" borderId="25" xfId="0" applyNumberFormat="1" applyFont="1" applyBorder="1"/>
    <xf numFmtId="44" fontId="4" fillId="0" borderId="0" xfId="104" applyFont="1" applyFill="1" applyBorder="1"/>
    <xf numFmtId="0" fontId="40" fillId="0" borderId="23" xfId="0" applyFont="1" applyFill="1" applyBorder="1" applyAlignment="1"/>
    <xf numFmtId="0" fontId="40" fillId="0" borderId="24" xfId="0" applyFont="1" applyFill="1" applyBorder="1" applyAlignment="1"/>
    <xf numFmtId="10" fontId="96" fillId="0" borderId="24" xfId="0" applyNumberFormat="1" applyFont="1" applyFill="1" applyBorder="1" applyAlignment="1">
      <alignment horizontal="center"/>
    </xf>
    <xf numFmtId="164" fontId="39" fillId="2" borderId="38" xfId="0" applyNumberFormat="1" applyFont="1" applyFill="1" applyBorder="1"/>
    <xf numFmtId="0" fontId="60" fillId="0" borderId="12" xfId="107" applyFill="1" applyBorder="1"/>
    <xf numFmtId="167" fontId="53" fillId="0" borderId="26" xfId="0" applyNumberFormat="1" applyFont="1" applyBorder="1"/>
    <xf numFmtId="10" fontId="53" fillId="0" borderId="0" xfId="0" applyNumberFormat="1" applyFont="1" applyBorder="1" applyAlignment="1">
      <alignment horizontal="center"/>
    </xf>
    <xf numFmtId="0" fontId="53" fillId="0" borderId="0" xfId="0" applyFont="1" applyBorder="1"/>
    <xf numFmtId="168" fontId="53" fillId="0" borderId="0" xfId="0" applyNumberFormat="1" applyFont="1" applyBorder="1" applyAlignment="1">
      <alignment horizontal="center"/>
    </xf>
    <xf numFmtId="167" fontId="92" fillId="0" borderId="12" xfId="0" applyNumberFormat="1" applyFont="1" applyBorder="1"/>
    <xf numFmtId="0" fontId="107" fillId="0" borderId="0" xfId="107" applyFont="1" applyFill="1"/>
    <xf numFmtId="0" fontId="39" fillId="0" borderId="0" xfId="107" applyFont="1" applyBorder="1" applyAlignment="1"/>
    <xf numFmtId="0" fontId="4" fillId="0" borderId="35" xfId="107" applyFont="1" applyFill="1" applyBorder="1"/>
    <xf numFmtId="10" fontId="53" fillId="0" borderId="0" xfId="107" applyNumberFormat="1" applyFont="1" applyBorder="1" applyAlignment="1">
      <alignment horizontal="center"/>
    </xf>
    <xf numFmtId="0" fontId="53" fillId="0" borderId="0" xfId="107" applyFont="1" applyBorder="1" applyAlignment="1">
      <alignment horizontal="center"/>
    </xf>
    <xf numFmtId="174" fontId="53" fillId="0" borderId="12" xfId="107" applyNumberFormat="1" applyFont="1" applyBorder="1" applyAlignment="1">
      <alignment horizontal="right"/>
    </xf>
    <xf numFmtId="44" fontId="4" fillId="0" borderId="0" xfId="104" applyNumberFormat="1" applyFont="1"/>
    <xf numFmtId="167" fontId="67" fillId="0" borderId="37" xfId="0" applyNumberFormat="1" applyFont="1" applyBorder="1" applyAlignment="1">
      <alignment horizontal="left"/>
    </xf>
    <xf numFmtId="167" fontId="67" fillId="0" borderId="12" xfId="0" applyNumberFormat="1" applyFont="1" applyBorder="1" applyAlignment="1">
      <alignment horizontal="left"/>
    </xf>
    <xf numFmtId="167" fontId="67" fillId="0" borderId="13" xfId="0" applyNumberFormat="1" applyFont="1" applyBorder="1" applyAlignment="1">
      <alignment horizontal="left"/>
    </xf>
    <xf numFmtId="167" fontId="67" fillId="0" borderId="14" xfId="0" applyNumberFormat="1" applyFont="1" applyBorder="1" applyAlignment="1">
      <alignment horizontal="left"/>
    </xf>
    <xf numFmtId="0" fontId="68" fillId="0" borderId="90" xfId="0" applyFont="1" applyBorder="1"/>
    <xf numFmtId="0" fontId="68" fillId="0" borderId="91" xfId="0" applyFont="1" applyBorder="1" applyAlignment="1">
      <alignment horizontal="center"/>
    </xf>
    <xf numFmtId="0" fontId="68" fillId="0" borderId="91" xfId="0" applyFont="1" applyBorder="1"/>
    <xf numFmtId="168" fontId="68" fillId="0" borderId="91" xfId="0" applyNumberFormat="1" applyFont="1" applyBorder="1" applyAlignment="1">
      <alignment horizontal="center"/>
    </xf>
    <xf numFmtId="167" fontId="65" fillId="0" borderId="81" xfId="0" applyNumberFormat="1" applyFont="1" applyBorder="1"/>
    <xf numFmtId="0" fontId="73" fillId="0" borderId="56" xfId="107" applyFont="1" applyFill="1" applyBorder="1"/>
    <xf numFmtId="9" fontId="69" fillId="0" borderId="56" xfId="97" applyFont="1" applyBorder="1" applyAlignment="1">
      <alignment horizontal="center"/>
    </xf>
    <xf numFmtId="168" fontId="1" fillId="0" borderId="56" xfId="0" applyNumberFormat="1" applyFont="1" applyBorder="1" applyAlignment="1">
      <alignment horizontal="center"/>
    </xf>
    <xf numFmtId="9" fontId="69" fillId="0" borderId="10" xfId="0" applyNumberFormat="1" applyFont="1" applyFill="1" applyBorder="1" applyAlignment="1">
      <alignment horizontal="center" vertical="center"/>
    </xf>
    <xf numFmtId="10" fontId="69" fillId="0" borderId="10" xfId="0" applyNumberFormat="1" applyFont="1" applyBorder="1" applyAlignment="1"/>
    <xf numFmtId="170" fontId="1" fillId="0" borderId="10" xfId="0" applyNumberFormat="1" applyFont="1" applyBorder="1" applyAlignment="1">
      <alignment horizontal="center"/>
    </xf>
    <xf numFmtId="167" fontId="66" fillId="0" borderId="11" xfId="0" applyNumberFormat="1" applyFont="1" applyBorder="1"/>
    <xf numFmtId="167" fontId="66" fillId="0" borderId="57" xfId="0" applyNumberFormat="1" applyFont="1" applyBorder="1"/>
    <xf numFmtId="0" fontId="1" fillId="0" borderId="55" xfId="0" applyFont="1" applyBorder="1"/>
    <xf numFmtId="0" fontId="1" fillId="0" borderId="30" xfId="0" applyFont="1" applyBorder="1"/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168" fontId="1" fillId="0" borderId="21" xfId="0" applyNumberFormat="1" applyFont="1" applyBorder="1" applyAlignment="1">
      <alignment horizontal="center"/>
    </xf>
    <xf numFmtId="167" fontId="68" fillId="0" borderId="31" xfId="0" applyNumberFormat="1" applyFont="1" applyBorder="1"/>
    <xf numFmtId="167" fontId="67" fillId="0" borderId="61" xfId="0" applyNumberFormat="1" applyFont="1" applyBorder="1"/>
    <xf numFmtId="2" fontId="67" fillId="0" borderId="107" xfId="0" applyNumberFormat="1" applyFont="1" applyBorder="1" applyAlignment="1">
      <alignment horizontal="center"/>
    </xf>
    <xf numFmtId="167" fontId="65" fillId="0" borderId="108" xfId="0" applyNumberFormat="1" applyFont="1" applyBorder="1"/>
    <xf numFmtId="49" fontId="0" fillId="0" borderId="61" xfId="0" applyNumberFormat="1" applyFont="1" applyBorder="1" applyAlignment="1">
      <alignment wrapText="1"/>
    </xf>
    <xf numFmtId="9" fontId="67" fillId="0" borderId="10" xfId="105" applyFont="1" applyBorder="1" applyAlignment="1">
      <alignment horizontal="center"/>
    </xf>
    <xf numFmtId="167" fontId="67" fillId="0" borderId="92" xfId="0" applyNumberFormat="1" applyFont="1" applyBorder="1" applyAlignment="1">
      <alignment horizontal="left"/>
    </xf>
    <xf numFmtId="49" fontId="1" fillId="0" borderId="61" xfId="0" applyNumberFormat="1" applyFont="1" applyBorder="1" applyAlignment="1">
      <alignment wrapText="1"/>
    </xf>
    <xf numFmtId="172" fontId="75" fillId="0" borderId="41" xfId="109" applyNumberFormat="1" applyFont="1" applyFill="1" applyBorder="1"/>
    <xf numFmtId="172" fontId="75" fillId="0" borderId="22" xfId="109" applyNumberFormat="1" applyFont="1" applyFill="1" applyBorder="1" applyAlignment="1">
      <alignment horizontal="left"/>
    </xf>
    <xf numFmtId="171" fontId="75" fillId="0" borderId="22" xfId="109" applyNumberFormat="1" applyFont="1" applyFill="1" applyBorder="1"/>
    <xf numFmtId="2" fontId="75" fillId="0" borderId="22" xfId="109" applyNumberFormat="1" applyFont="1" applyFill="1" applyBorder="1"/>
    <xf numFmtId="4" fontId="75" fillId="0" borderId="22" xfId="109" applyNumberFormat="1" applyFont="1" applyFill="1" applyBorder="1"/>
    <xf numFmtId="0" fontId="65" fillId="0" borderId="68" xfId="107" applyFont="1" applyBorder="1"/>
    <xf numFmtId="5" fontId="67" fillId="0" borderId="10" xfId="107" applyNumberFormat="1" applyFont="1" applyBorder="1" applyAlignment="1">
      <alignment horizontal="center"/>
    </xf>
    <xf numFmtId="174" fontId="67" fillId="0" borderId="11" xfId="107" applyNumberFormat="1" applyFont="1" applyBorder="1"/>
    <xf numFmtId="174" fontId="67" fillId="0" borderId="12" xfId="107" applyNumberFormat="1" applyFont="1" applyBorder="1"/>
    <xf numFmtId="174" fontId="67" fillId="0" borderId="14" xfId="107" applyNumberFormat="1" applyFont="1" applyBorder="1"/>
    <xf numFmtId="174" fontId="67" fillId="0" borderId="25" xfId="107" applyNumberFormat="1" applyFont="1" applyBorder="1"/>
    <xf numFmtId="174" fontId="67" fillId="0" borderId="57" xfId="107" applyNumberFormat="1" applyFont="1" applyBorder="1"/>
    <xf numFmtId="9" fontId="99" fillId="0" borderId="0" xfId="107" applyNumberFormat="1" applyFont="1" applyBorder="1" applyAlignment="1">
      <alignment horizontal="center"/>
    </xf>
    <xf numFmtId="0" fontId="67" fillId="0" borderId="10" xfId="107" applyFont="1" applyBorder="1" applyAlignment="1">
      <alignment horizontal="center"/>
    </xf>
    <xf numFmtId="0" fontId="67" fillId="0" borderId="26" xfId="107" applyFont="1" applyBorder="1" applyAlignment="1">
      <alignment horizontal="left"/>
    </xf>
    <xf numFmtId="0" fontId="65" fillId="0" borderId="90" xfId="107" applyFont="1" applyBorder="1"/>
    <xf numFmtId="0" fontId="65" fillId="0" borderId="91" xfId="107" applyFont="1" applyBorder="1"/>
    <xf numFmtId="174" fontId="65" fillId="0" borderId="81" xfId="107" applyNumberFormat="1" applyFont="1" applyBorder="1"/>
    <xf numFmtId="174" fontId="65" fillId="0" borderId="12" xfId="107" applyNumberFormat="1" applyFont="1" applyBorder="1"/>
    <xf numFmtId="10" fontId="67" fillId="0" borderId="13" xfId="107" applyNumberFormat="1" applyFont="1" applyBorder="1" applyAlignment="1">
      <alignment horizontal="center"/>
    </xf>
    <xf numFmtId="0" fontId="80" fillId="0" borderId="35" xfId="107" applyFont="1" applyBorder="1"/>
    <xf numFmtId="10" fontId="80" fillId="0" borderId="13" xfId="107" applyNumberFormat="1" applyFont="1" applyBorder="1" applyAlignment="1">
      <alignment horizontal="center"/>
    </xf>
    <xf numFmtId="0" fontId="80" fillId="0" borderId="13" xfId="107" applyFont="1" applyBorder="1"/>
    <xf numFmtId="174" fontId="80" fillId="0" borderId="14" xfId="107" applyNumberFormat="1" applyFont="1" applyBorder="1"/>
    <xf numFmtId="170" fontId="67" fillId="0" borderId="52" xfId="104" applyNumberFormat="1" applyFont="1" applyBorder="1" applyAlignment="1">
      <alignment horizontal="center"/>
    </xf>
    <xf numFmtId="44" fontId="67" fillId="0" borderId="52" xfId="107" applyNumberFormat="1" applyFont="1" applyBorder="1" applyAlignment="1">
      <alignment horizontal="center"/>
    </xf>
    <xf numFmtId="14" fontId="30" fillId="0" borderId="0" xfId="107" applyNumberFormat="1" applyFont="1" applyFill="1" applyAlignment="1">
      <alignment horizontal="left"/>
    </xf>
    <xf numFmtId="2" fontId="53" fillId="0" borderId="35" xfId="63" applyNumberFormat="1" applyFont="1" applyFill="1" applyBorder="1" applyAlignment="1">
      <alignment horizontal="center"/>
    </xf>
    <xf numFmtId="2" fontId="53" fillId="0" borderId="13" xfId="63" applyNumberFormat="1" applyFont="1" applyFill="1" applyBorder="1" applyAlignment="1">
      <alignment horizontal="center"/>
    </xf>
    <xf numFmtId="0" fontId="39" fillId="0" borderId="0" xfId="107" applyFont="1" applyFill="1" applyBorder="1"/>
    <xf numFmtId="167" fontId="69" fillId="0" borderId="0" xfId="106" applyNumberFormat="1" applyFont="1" applyFill="1" applyBorder="1"/>
    <xf numFmtId="167" fontId="67" fillId="0" borderId="12" xfId="106" applyNumberFormat="1" applyFont="1" applyFill="1" applyBorder="1"/>
    <xf numFmtId="0" fontId="2" fillId="0" borderId="37" xfId="0" applyFont="1" applyBorder="1"/>
    <xf numFmtId="0" fontId="2" fillId="0" borderId="10" xfId="0" applyFont="1" applyBorder="1"/>
    <xf numFmtId="0" fontId="2" fillId="0" borderId="10" xfId="0" applyFont="1" applyBorder="1" applyAlignment="1"/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44" fontId="2" fillId="0" borderId="12" xfId="104" applyFont="1" applyBorder="1" applyAlignment="1">
      <alignment horizontal="left"/>
    </xf>
    <xf numFmtId="44" fontId="2" fillId="0" borderId="0" xfId="104" applyFont="1" applyBorder="1" applyAlignment="1">
      <alignment wrapText="1"/>
    </xf>
    <xf numFmtId="44" fontId="2" fillId="0" borderId="12" xfId="104" applyFont="1" applyBorder="1"/>
    <xf numFmtId="44" fontId="2" fillId="0" borderId="0" xfId="104" applyFont="1" applyBorder="1"/>
    <xf numFmtId="0" fontId="2" fillId="0" borderId="35" xfId="0" applyFont="1" applyBorder="1"/>
    <xf numFmtId="0" fontId="2" fillId="0" borderId="13" xfId="0" applyFont="1" applyBorder="1"/>
    <xf numFmtId="44" fontId="2" fillId="0" borderId="13" xfId="104" applyFont="1" applyBorder="1"/>
    <xf numFmtId="44" fontId="2" fillId="0" borderId="14" xfId="104" applyFont="1" applyBorder="1"/>
    <xf numFmtId="0" fontId="72" fillId="0" borderId="0" xfId="107" applyFont="1"/>
    <xf numFmtId="165" fontId="2" fillId="0" borderId="0" xfId="113" applyNumberFormat="1" applyFont="1"/>
    <xf numFmtId="0" fontId="2" fillId="0" borderId="0" xfId="113" applyFont="1"/>
    <xf numFmtId="0" fontId="108" fillId="0" borderId="0" xfId="114" applyFont="1" applyFill="1" applyBorder="1" applyAlignment="1">
      <alignment horizontal="center"/>
    </xf>
    <xf numFmtId="0" fontId="2" fillId="0" borderId="0" xfId="114" applyFont="1" applyFill="1" applyBorder="1"/>
    <xf numFmtId="0" fontId="40" fillId="31" borderId="0" xfId="114" applyFont="1" applyFill="1" applyBorder="1" applyAlignment="1">
      <alignment horizontal="center"/>
    </xf>
    <xf numFmtId="170" fontId="2" fillId="0" borderId="0" xfId="104" applyNumberFormat="1" applyFont="1" applyBorder="1"/>
    <xf numFmtId="0" fontId="2" fillId="0" borderId="26" xfId="114" applyFont="1" applyFill="1" applyBorder="1"/>
    <xf numFmtId="0" fontId="2" fillId="0" borderId="12" xfId="114" applyFont="1" applyFill="1" applyBorder="1"/>
    <xf numFmtId="0" fontId="2" fillId="0" borderId="0" xfId="69" applyFont="1" applyFill="1" applyBorder="1" applyAlignment="1">
      <alignment horizontal="center"/>
    </xf>
    <xf numFmtId="0" fontId="40" fillId="0" borderId="0" xfId="114" applyFont="1" applyFill="1" applyBorder="1"/>
    <xf numFmtId="170" fontId="2" fillId="0" borderId="0" xfId="115" applyNumberFormat="1" applyFont="1" applyFill="1" applyBorder="1"/>
    <xf numFmtId="177" fontId="2" fillId="0" borderId="0" xfId="114" applyNumberFormat="1" applyFont="1" applyFill="1" applyBorder="1" applyAlignment="1">
      <alignment horizontal="center"/>
    </xf>
    <xf numFmtId="0" fontId="2" fillId="0" borderId="12" xfId="114" applyFont="1" applyFill="1" applyBorder="1" applyAlignment="1">
      <alignment horizontal="right"/>
    </xf>
    <xf numFmtId="170" fontId="2" fillId="0" borderId="0" xfId="116" applyNumberFormat="1" applyFont="1" applyFill="1" applyBorder="1" applyAlignment="1">
      <alignment horizontal="center"/>
    </xf>
    <xf numFmtId="2" fontId="2" fillId="0" borderId="0" xfId="114" applyNumberFormat="1" applyFont="1" applyFill="1" applyBorder="1" applyAlignment="1">
      <alignment horizontal="center"/>
    </xf>
    <xf numFmtId="0" fontId="44" fillId="0" borderId="28" xfId="114" applyFont="1" applyFill="1" applyBorder="1"/>
    <xf numFmtId="0" fontId="38" fillId="0" borderId="0" xfId="114" applyFont="1" applyFill="1" applyBorder="1"/>
    <xf numFmtId="10" fontId="38" fillId="0" borderId="0" xfId="114" applyNumberFormat="1" applyFont="1" applyFill="1" applyBorder="1" applyAlignment="1">
      <alignment horizontal="center"/>
    </xf>
    <xf numFmtId="170" fontId="44" fillId="0" borderId="0" xfId="114" applyNumberFormat="1" applyFont="1" applyFill="1" applyBorder="1"/>
    <xf numFmtId="170" fontId="2" fillId="0" borderId="0" xfId="114" applyNumberFormat="1" applyFont="1" applyFill="1" applyBorder="1"/>
    <xf numFmtId="170" fontId="38" fillId="0" borderId="0" xfId="114" applyNumberFormat="1" applyFont="1" applyFill="1" applyBorder="1" applyAlignment="1">
      <alignment horizontal="center"/>
    </xf>
    <xf numFmtId="170" fontId="38" fillId="0" borderId="0" xfId="115" applyNumberFormat="1" applyFont="1" applyFill="1" applyBorder="1"/>
    <xf numFmtId="0" fontId="38" fillId="0" borderId="0" xfId="114" applyFont="1" applyFill="1" applyBorder="1" applyAlignment="1">
      <alignment wrapText="1"/>
    </xf>
    <xf numFmtId="0" fontId="38" fillId="0" borderId="0" xfId="114" applyFont="1" applyFill="1" applyBorder="1" applyAlignment="1">
      <alignment horizontal="left" wrapText="1"/>
    </xf>
    <xf numFmtId="170" fontId="2" fillId="0" borderId="0" xfId="104" applyNumberFormat="1" applyFont="1" applyFill="1" applyBorder="1" applyAlignment="1">
      <alignment horizontal="center"/>
    </xf>
    <xf numFmtId="0" fontId="40" fillId="31" borderId="13" xfId="114" applyFont="1" applyFill="1" applyBorder="1" applyAlignment="1">
      <alignment horizontal="center"/>
    </xf>
    <xf numFmtId="170" fontId="2" fillId="0" borderId="13" xfId="104" applyNumberFormat="1" applyFont="1" applyFill="1" applyBorder="1" applyAlignment="1">
      <alignment horizontal="center"/>
    </xf>
    <xf numFmtId="170" fontId="38" fillId="0" borderId="0" xfId="114" applyNumberFormat="1" applyFont="1" applyFill="1" applyBorder="1"/>
    <xf numFmtId="0" fontId="117" fillId="0" borderId="56" xfId="114" applyFont="1" applyFill="1" applyBorder="1"/>
    <xf numFmtId="10" fontId="117" fillId="0" borderId="56" xfId="114" applyNumberFormat="1" applyFont="1" applyFill="1" applyBorder="1" applyAlignment="1">
      <alignment horizontal="center"/>
    </xf>
    <xf numFmtId="170" fontId="117" fillId="0" borderId="56" xfId="114" applyNumberFormat="1" applyFont="1" applyFill="1" applyBorder="1"/>
    <xf numFmtId="0" fontId="44" fillId="0" borderId="0" xfId="114" applyFont="1" applyFill="1" applyBorder="1"/>
    <xf numFmtId="0" fontId="2" fillId="0" borderId="35" xfId="114" applyFont="1" applyFill="1" applyBorder="1"/>
    <xf numFmtId="0" fontId="2" fillId="0" borderId="14" xfId="114" applyFont="1" applyFill="1" applyBorder="1"/>
    <xf numFmtId="10" fontId="40" fillId="0" borderId="12" xfId="105" applyNumberFormat="1" applyFont="1" applyBorder="1"/>
    <xf numFmtId="9" fontId="2" fillId="0" borderId="0" xfId="105" applyFont="1"/>
    <xf numFmtId="0" fontId="85" fillId="0" borderId="26" xfId="113" applyBorder="1"/>
    <xf numFmtId="0" fontId="85" fillId="0" borderId="12" xfId="113" applyBorder="1"/>
    <xf numFmtId="0" fontId="85" fillId="0" borderId="30" xfId="113" applyBorder="1"/>
    <xf numFmtId="0" fontId="85" fillId="0" borderId="21" xfId="113" applyBorder="1"/>
    <xf numFmtId="0" fontId="85" fillId="0" borderId="31" xfId="113" applyBorder="1"/>
    <xf numFmtId="0" fontId="85" fillId="0" borderId="20" xfId="113" applyBorder="1"/>
    <xf numFmtId="0" fontId="4" fillId="50" borderId="26" xfId="65" applyFont="1" applyFill="1" applyBorder="1"/>
    <xf numFmtId="170" fontId="4" fillId="50" borderId="0" xfId="46" applyNumberFormat="1" applyFont="1" applyFill="1" applyBorder="1" applyAlignment="1">
      <alignment horizontal="center"/>
    </xf>
    <xf numFmtId="0" fontId="4" fillId="50" borderId="18" xfId="65" applyFont="1" applyFill="1" applyBorder="1"/>
    <xf numFmtId="0" fontId="4" fillId="50" borderId="0" xfId="65" applyFont="1" applyFill="1" applyBorder="1"/>
    <xf numFmtId="0" fontId="4" fillId="50" borderId="12" xfId="65" applyFont="1" applyFill="1" applyBorder="1"/>
    <xf numFmtId="0" fontId="85" fillId="50" borderId="26" xfId="113" applyFill="1" applyBorder="1"/>
    <xf numFmtId="0" fontId="85" fillId="50" borderId="0" xfId="113" applyFill="1" applyBorder="1"/>
    <xf numFmtId="0" fontId="85" fillId="50" borderId="12" xfId="113" applyFill="1" applyBorder="1"/>
    <xf numFmtId="168" fontId="38" fillId="0" borderId="0" xfId="114" applyNumberFormat="1" applyFont="1" applyFill="1" applyBorder="1" applyAlignment="1">
      <alignment horizontal="center"/>
    </xf>
    <xf numFmtId="0" fontId="40" fillId="0" borderId="28" xfId="114" applyFont="1" applyFill="1" applyBorder="1"/>
    <xf numFmtId="170" fontId="40" fillId="0" borderId="28" xfId="114" applyNumberFormat="1" applyFont="1" applyFill="1" applyBorder="1"/>
    <xf numFmtId="10" fontId="119" fillId="0" borderId="0" xfId="114" applyNumberFormat="1" applyFont="1" applyFill="1" applyBorder="1" applyAlignment="1">
      <alignment horizontal="center"/>
    </xf>
    <xf numFmtId="0" fontId="44" fillId="0" borderId="0" xfId="114" applyFont="1" applyFill="1" applyBorder="1" applyAlignment="1"/>
    <xf numFmtId="0" fontId="40" fillId="0" borderId="0" xfId="114" applyFont="1" applyFill="1" applyBorder="1" applyAlignment="1">
      <alignment horizontal="center"/>
    </xf>
    <xf numFmtId="170" fontId="40" fillId="0" borderId="0" xfId="114" applyNumberFormat="1" applyFont="1" applyFill="1" applyBorder="1"/>
    <xf numFmtId="0" fontId="119" fillId="0" borderId="0" xfId="113" applyFont="1" applyBorder="1"/>
    <xf numFmtId="170" fontId="119" fillId="0" borderId="0" xfId="113" applyNumberFormat="1" applyFont="1" applyBorder="1"/>
    <xf numFmtId="44" fontId="40" fillId="0" borderId="0" xfId="114" applyNumberFormat="1" applyFont="1" applyFill="1" applyBorder="1"/>
    <xf numFmtId="0" fontId="85" fillId="0" borderId="13" xfId="113" applyBorder="1"/>
    <xf numFmtId="0" fontId="44" fillId="0" borderId="16" xfId="114" applyFont="1" applyFill="1" applyBorder="1"/>
    <xf numFmtId="0" fontId="2" fillId="0" borderId="16" xfId="114" applyFont="1" applyFill="1" applyBorder="1"/>
    <xf numFmtId="170" fontId="44" fillId="0" borderId="16" xfId="114" applyNumberFormat="1" applyFont="1" applyFill="1" applyBorder="1"/>
    <xf numFmtId="165" fontId="44" fillId="0" borderId="16" xfId="114" applyNumberFormat="1" applyFont="1" applyFill="1" applyBorder="1" applyAlignment="1">
      <alignment horizontal="center"/>
    </xf>
    <xf numFmtId="170" fontId="44" fillId="0" borderId="16" xfId="115" applyNumberFormat="1" applyFont="1" applyFill="1" applyBorder="1"/>
    <xf numFmtId="170" fontId="2" fillId="0" borderId="0" xfId="104" applyNumberFormat="1" applyFont="1" applyFill="1" applyBorder="1"/>
    <xf numFmtId="10" fontId="40" fillId="0" borderId="12" xfId="105" applyNumberFormat="1" applyFont="1" applyFill="1" applyBorder="1"/>
    <xf numFmtId="0" fontId="40" fillId="48" borderId="0" xfId="114" applyFont="1" applyFill="1" applyBorder="1" applyAlignment="1">
      <alignment horizontal="center"/>
    </xf>
    <xf numFmtId="170" fontId="2" fillId="48" borderId="0" xfId="104" applyNumberFormat="1" applyFont="1" applyFill="1" applyBorder="1"/>
    <xf numFmtId="10" fontId="40" fillId="48" borderId="12" xfId="105" applyNumberFormat="1" applyFont="1" applyFill="1" applyBorder="1"/>
    <xf numFmtId="0" fontId="106" fillId="0" borderId="0" xfId="113" applyFont="1" applyBorder="1"/>
    <xf numFmtId="0" fontId="67" fillId="0" borderId="12" xfId="65" applyFont="1" applyFill="1" applyBorder="1"/>
    <xf numFmtId="0" fontId="80" fillId="0" borderId="0" xfId="107" applyFont="1" applyFill="1"/>
    <xf numFmtId="0" fontId="80" fillId="0" borderId="0" xfId="107" applyFont="1" applyFill="1" applyAlignment="1">
      <alignment horizontal="center"/>
    </xf>
    <xf numFmtId="0" fontId="117" fillId="0" borderId="0" xfId="107" applyFont="1" applyFill="1" applyAlignment="1">
      <alignment horizontal="center"/>
    </xf>
    <xf numFmtId="0" fontId="117" fillId="0" borderId="0" xfId="107" applyFont="1"/>
    <xf numFmtId="168" fontId="36" fillId="0" borderId="0" xfId="107" applyNumberFormat="1" applyFont="1" applyBorder="1"/>
    <xf numFmtId="10" fontId="83" fillId="0" borderId="0" xfId="108" applyNumberFormat="1" applyFont="1" applyBorder="1"/>
    <xf numFmtId="0" fontId="39" fillId="25" borderId="24" xfId="0" applyFont="1" applyFill="1" applyBorder="1" applyAlignment="1">
      <alignment horizontal="center" vertical="center"/>
    </xf>
    <xf numFmtId="0" fontId="65" fillId="54" borderId="46" xfId="106" applyFont="1" applyFill="1" applyBorder="1" applyAlignment="1">
      <alignment horizontal="center"/>
    </xf>
    <xf numFmtId="0" fontId="65" fillId="54" borderId="47" xfId="106" applyFont="1" applyFill="1" applyBorder="1" applyAlignment="1">
      <alignment horizontal="center"/>
    </xf>
    <xf numFmtId="0" fontId="65" fillId="54" borderId="65" xfId="106" applyFont="1" applyFill="1" applyBorder="1" applyAlignment="1">
      <alignment horizontal="center"/>
    </xf>
    <xf numFmtId="49" fontId="2" fillId="0" borderId="36" xfId="0" applyNumberFormat="1" applyFont="1" applyFill="1" applyBorder="1" applyAlignment="1"/>
    <xf numFmtId="0" fontId="31" fillId="0" borderId="0" xfId="107" applyFont="1" applyFill="1" applyBorder="1" applyAlignment="1"/>
    <xf numFmtId="0" fontId="11" fillId="0" borderId="0" xfId="107" applyFont="1" applyFill="1" applyBorder="1" applyAlignment="1">
      <alignment horizontal="left"/>
    </xf>
    <xf numFmtId="0" fontId="11" fillId="0" borderId="0" xfId="107" applyFont="1" applyFill="1" applyBorder="1" applyAlignment="1">
      <alignment horizontal="center"/>
    </xf>
    <xf numFmtId="2" fontId="11" fillId="0" borderId="0" xfId="107" applyNumberFormat="1" applyFont="1" applyFill="1" applyBorder="1" applyAlignment="1">
      <alignment horizontal="center"/>
    </xf>
    <xf numFmtId="4" fontId="11" fillId="0" borderId="0" xfId="107" applyNumberFormat="1" applyFont="1" applyFill="1" applyBorder="1" applyAlignment="1">
      <alignment horizontal="center"/>
    </xf>
    <xf numFmtId="172" fontId="31" fillId="0" borderId="0" xfId="109" applyNumberFormat="1" applyFont="1" applyFill="1" applyBorder="1"/>
    <xf numFmtId="172" fontId="11" fillId="0" borderId="0" xfId="109" applyNumberFormat="1" applyFont="1" applyFill="1" applyBorder="1" applyAlignment="1">
      <alignment horizontal="left"/>
    </xf>
    <xf numFmtId="171" fontId="11" fillId="0" borderId="0" xfId="109" applyNumberFormat="1" applyFont="1" applyFill="1" applyBorder="1"/>
    <xf numFmtId="2" fontId="11" fillId="0" borderId="0" xfId="109" applyNumberFormat="1" applyFont="1" applyFill="1" applyBorder="1"/>
    <xf numFmtId="4" fontId="11" fillId="0" borderId="0" xfId="109" applyNumberFormat="1" applyFont="1" applyFill="1" applyBorder="1"/>
    <xf numFmtId="0" fontId="31" fillId="0" borderId="0" xfId="107" applyFont="1" applyFill="1" applyBorder="1"/>
    <xf numFmtId="2" fontId="2" fillId="0" borderId="52" xfId="0" applyNumberFormat="1" applyFont="1" applyBorder="1" applyAlignment="1">
      <alignment horizontal="right" wrapText="1"/>
    </xf>
    <xf numFmtId="166" fontId="2" fillId="0" borderId="52" xfId="0" applyNumberFormat="1" applyFont="1" applyBorder="1" applyAlignment="1">
      <alignment horizontal="right" vertical="center" wrapText="1"/>
    </xf>
    <xf numFmtId="166" fontId="2" fillId="0" borderId="50" xfId="0" applyNumberFormat="1" applyFont="1" applyBorder="1" applyAlignment="1">
      <alignment horizontal="right" wrapText="1"/>
    </xf>
    <xf numFmtId="4" fontId="11" fillId="0" borderId="0" xfId="107" applyNumberFormat="1" applyFont="1" applyFill="1"/>
    <xf numFmtId="0" fontId="53" fillId="0" borderId="40" xfId="63" applyFont="1" applyFill="1" applyBorder="1"/>
    <xf numFmtId="174" fontId="80" fillId="0" borderId="12" xfId="106" applyNumberFormat="1" applyFont="1" applyBorder="1"/>
    <xf numFmtId="0" fontId="53" fillId="0" borderId="0" xfId="63" applyFont="1" applyFill="1" applyBorder="1"/>
    <xf numFmtId="0" fontId="4" fillId="0" borderId="37" xfId="107" applyFont="1" applyBorder="1"/>
    <xf numFmtId="0" fontId="4" fillId="0" borderId="10" xfId="107" applyFont="1" applyBorder="1"/>
    <xf numFmtId="0" fontId="4" fillId="0" borderId="11" xfId="107" applyFont="1" applyBorder="1"/>
    <xf numFmtId="10" fontId="4" fillId="0" borderId="13" xfId="105" applyNumberFormat="1" applyFont="1" applyBorder="1"/>
    <xf numFmtId="44" fontId="2" fillId="2" borderId="12" xfId="104" applyFont="1" applyFill="1" applyBorder="1"/>
    <xf numFmtId="0" fontId="53" fillId="0" borderId="18" xfId="63" applyFont="1" applyFill="1" applyBorder="1"/>
    <xf numFmtId="0" fontId="53" fillId="0" borderId="12" xfId="107" applyFont="1" applyBorder="1"/>
    <xf numFmtId="167" fontId="4" fillId="0" borderId="28" xfId="0" applyNumberFormat="1" applyFont="1" applyFill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170" fontId="4" fillId="0" borderId="0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6" fontId="2" fillId="0" borderId="0" xfId="0" applyNumberFormat="1" applyFont="1" applyBorder="1"/>
    <xf numFmtId="39" fontId="2" fillId="0" borderId="0" xfId="0" applyNumberFormat="1" applyFont="1" applyBorder="1"/>
    <xf numFmtId="49" fontId="0" fillId="0" borderId="89" xfId="0" applyNumberFormat="1" applyFont="1" applyFill="1" applyBorder="1" applyAlignment="1"/>
    <xf numFmtId="170" fontId="4" fillId="0" borderId="0" xfId="107" applyNumberFormat="1" applyFont="1" applyBorder="1"/>
    <xf numFmtId="0" fontId="4" fillId="0" borderId="81" xfId="107" applyFont="1" applyFill="1" applyBorder="1"/>
    <xf numFmtId="10" fontId="4" fillId="0" borderId="0" xfId="107" applyNumberFormat="1" applyFont="1" applyFill="1" applyBorder="1" applyAlignment="1">
      <alignment horizontal="center"/>
    </xf>
    <xf numFmtId="10" fontId="53" fillId="0" borderId="0" xfId="105" applyNumberFormat="1" applyFont="1" applyBorder="1" applyAlignment="1">
      <alignment horizontal="center"/>
    </xf>
    <xf numFmtId="0" fontId="53" fillId="0" borderId="12" xfId="63" applyFont="1" applyFill="1" applyBorder="1"/>
    <xf numFmtId="170" fontId="4" fillId="0" borderId="110" xfId="107" applyNumberFormat="1" applyFont="1" applyBorder="1" applyAlignment="1">
      <alignment horizontal="center"/>
    </xf>
    <xf numFmtId="170" fontId="4" fillId="0" borderId="19" xfId="107" applyNumberFormat="1" applyFont="1" applyBorder="1" applyAlignment="1">
      <alignment horizontal="center"/>
    </xf>
    <xf numFmtId="0" fontId="60" fillId="0" borderId="35" xfId="107" applyBorder="1"/>
    <xf numFmtId="0" fontId="60" fillId="0" borderId="101" xfId="107" applyBorder="1"/>
    <xf numFmtId="0" fontId="60" fillId="0" borderId="14" xfId="107" applyBorder="1"/>
    <xf numFmtId="0" fontId="4" fillId="0" borderId="92" xfId="107" applyFont="1" applyBorder="1"/>
    <xf numFmtId="0" fontId="4" fillId="0" borderId="61" xfId="107" applyFont="1" applyBorder="1"/>
    <xf numFmtId="0" fontId="53" fillId="0" borderId="61" xfId="63" applyFont="1" applyFill="1" applyBorder="1"/>
    <xf numFmtId="10" fontId="4" fillId="0" borderId="0" xfId="6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116" fillId="0" borderId="0" xfId="8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0" fontId="65" fillId="0" borderId="0" xfId="104" applyNumberFormat="1" applyFont="1"/>
    <xf numFmtId="170" fontId="65" fillId="0" borderId="0" xfId="104" applyNumberFormat="1" applyFont="1" applyBorder="1"/>
    <xf numFmtId="170" fontId="69" fillId="0" borderId="0" xfId="104" applyNumberFormat="1" applyFont="1" applyBorder="1"/>
    <xf numFmtId="170" fontId="67" fillId="0" borderId="0" xfId="104" applyNumberFormat="1" applyFont="1" applyBorder="1"/>
    <xf numFmtId="10" fontId="65" fillId="0" borderId="0" xfId="105" applyNumberFormat="1" applyFont="1" applyFill="1" applyBorder="1" applyAlignment="1">
      <alignment horizontal="center"/>
    </xf>
    <xf numFmtId="1" fontId="67" fillId="0" borderId="0" xfId="106" applyNumberFormat="1" applyFont="1" applyFill="1" applyBorder="1"/>
    <xf numFmtId="167" fontId="67" fillId="0" borderId="26" xfId="106" applyNumberFormat="1" applyFont="1" applyBorder="1"/>
    <xf numFmtId="0" fontId="67" fillId="0" borderId="12" xfId="106" applyFont="1" applyFill="1" applyBorder="1"/>
    <xf numFmtId="0" fontId="53" fillId="0" borderId="36" xfId="63" applyFont="1" applyFill="1" applyBorder="1"/>
    <xf numFmtId="0" fontId="67" fillId="0" borderId="23" xfId="106" applyFont="1" applyBorder="1"/>
    <xf numFmtId="10" fontId="65" fillId="0" borderId="24" xfId="105" applyNumberFormat="1" applyFont="1" applyBorder="1" applyAlignment="1">
      <alignment horizontal="center"/>
    </xf>
    <xf numFmtId="1" fontId="67" fillId="0" borderId="23" xfId="106" applyNumberFormat="1" applyFont="1" applyBorder="1"/>
    <xf numFmtId="0" fontId="67" fillId="0" borderId="24" xfId="106" applyFont="1" applyBorder="1"/>
    <xf numFmtId="0" fontId="67" fillId="0" borderId="25" xfId="106" applyFont="1" applyBorder="1"/>
    <xf numFmtId="167" fontId="67" fillId="0" borderId="0" xfId="106" applyNumberFormat="1" applyFont="1" applyBorder="1" applyAlignment="1">
      <alignment horizontal="center"/>
    </xf>
    <xf numFmtId="10" fontId="69" fillId="0" borderId="0" xfId="106" applyNumberFormat="1" applyFont="1" applyFill="1" applyBorder="1" applyAlignment="1">
      <alignment horizontal="center"/>
    </xf>
    <xf numFmtId="170" fontId="67" fillId="0" borderId="0" xfId="106" applyNumberFormat="1" applyFont="1" applyBorder="1"/>
    <xf numFmtId="2" fontId="68" fillId="0" borderId="74" xfId="106" applyNumberFormat="1" applyFont="1" applyFill="1" applyBorder="1"/>
    <xf numFmtId="0" fontId="4" fillId="31" borderId="23" xfId="65" applyFont="1" applyFill="1" applyBorder="1"/>
    <xf numFmtId="10" fontId="4" fillId="31" borderId="24" xfId="65" applyNumberFormat="1" applyFont="1" applyFill="1" applyBorder="1" applyAlignment="1">
      <alignment horizontal="center"/>
    </xf>
    <xf numFmtId="0" fontId="4" fillId="31" borderId="102" xfId="65" applyFont="1" applyFill="1" applyBorder="1"/>
    <xf numFmtId="0" fontId="4" fillId="31" borderId="24" xfId="65" applyFont="1" applyFill="1" applyBorder="1"/>
    <xf numFmtId="0" fontId="4" fillId="31" borderId="25" xfId="65" applyFont="1" applyFill="1" applyBorder="1"/>
    <xf numFmtId="0" fontId="40" fillId="0" borderId="90" xfId="0" applyFont="1" applyBorder="1" applyAlignment="1">
      <alignment wrapText="1"/>
    </xf>
    <xf numFmtId="0" fontId="40" fillId="0" borderId="13" xfId="0" applyFont="1" applyBorder="1" applyAlignment="1">
      <alignment horizontal="right" wrapText="1"/>
    </xf>
    <xf numFmtId="0" fontId="40" fillId="0" borderId="91" xfId="0" applyFont="1" applyBorder="1" applyAlignment="1">
      <alignment horizontal="right" wrapText="1"/>
    </xf>
    <xf numFmtId="3" fontId="40" fillId="2" borderId="81" xfId="0" applyNumberFormat="1" applyFont="1" applyFill="1" applyBorder="1"/>
    <xf numFmtId="10" fontId="4" fillId="0" borderId="24" xfId="105" applyNumberFormat="1" applyFont="1" applyFill="1" applyBorder="1" applyAlignment="1">
      <alignment horizontal="right"/>
    </xf>
    <xf numFmtId="171" fontId="4" fillId="0" borderId="25" xfId="109" applyNumberFormat="1" applyFont="1" applyFill="1" applyBorder="1"/>
    <xf numFmtId="167" fontId="4" fillId="0" borderId="0" xfId="0" applyNumberFormat="1" applyFont="1" applyFill="1" applyBorder="1" applyAlignment="1">
      <alignment horizontal="left"/>
    </xf>
    <xf numFmtId="171" fontId="4" fillId="0" borderId="0" xfId="109" applyNumberFormat="1" applyFont="1" applyFill="1" applyBorder="1"/>
    <xf numFmtId="167" fontId="4" fillId="0" borderId="23" xfId="0" applyNumberFormat="1" applyFont="1" applyBorder="1" applyAlignment="1">
      <alignment horizontal="left"/>
    </xf>
    <xf numFmtId="10" fontId="120" fillId="0" borderId="0" xfId="107" applyNumberFormat="1" applyFont="1" applyBorder="1" applyAlignment="1">
      <alignment horizontal="center"/>
    </xf>
    <xf numFmtId="10" fontId="120" fillId="0" borderId="13" xfId="105" applyNumberFormat="1" applyFont="1" applyFill="1" applyBorder="1" applyAlignment="1">
      <alignment horizontal="center"/>
    </xf>
    <xf numFmtId="170" fontId="4" fillId="0" borderId="10" xfId="107" applyNumberFormat="1" applyFont="1" applyBorder="1" applyAlignment="1">
      <alignment horizontal="center"/>
    </xf>
    <xf numFmtId="170" fontId="4" fillId="0" borderId="13" xfId="107" applyNumberFormat="1" applyFont="1" applyBorder="1" applyAlignment="1">
      <alignment horizontal="center"/>
    </xf>
    <xf numFmtId="0" fontId="4" fillId="0" borderId="92" xfId="107" applyFont="1" applyBorder="1" applyAlignment="1">
      <alignment horizontal="left" vertical="top" wrapText="1"/>
    </xf>
    <xf numFmtId="0" fontId="4" fillId="0" borderId="81" xfId="107" applyFont="1" applyBorder="1" applyAlignment="1">
      <alignment horizontal="left" vertical="top" wrapText="1"/>
    </xf>
    <xf numFmtId="0" fontId="67" fillId="0" borderId="26" xfId="63" applyFont="1" applyFill="1" applyBorder="1" applyAlignment="1">
      <alignment horizontal="left"/>
    </xf>
    <xf numFmtId="0" fontId="74" fillId="0" borderId="26" xfId="107" applyFont="1" applyBorder="1"/>
    <xf numFmtId="0" fontId="74" fillId="0" borderId="12" xfId="107" applyFont="1" applyBorder="1"/>
    <xf numFmtId="0" fontId="65" fillId="0" borderId="86" xfId="107" applyFont="1" applyBorder="1"/>
    <xf numFmtId="10" fontId="67" fillId="0" borderId="87" xfId="107" applyNumberFormat="1" applyFont="1" applyBorder="1" applyAlignment="1">
      <alignment horizontal="center"/>
    </xf>
    <xf numFmtId="0" fontId="67" fillId="0" borderId="100" xfId="107" applyFont="1" applyBorder="1"/>
    <xf numFmtId="0" fontId="67" fillId="0" borderId="63" xfId="107" applyFont="1" applyBorder="1"/>
    <xf numFmtId="0" fontId="67" fillId="0" borderId="64" xfId="107" applyFont="1" applyBorder="1"/>
    <xf numFmtId="0" fontId="121" fillId="0" borderId="0" xfId="0" applyFont="1" applyAlignment="1">
      <alignment vertical="center"/>
    </xf>
    <xf numFmtId="0" fontId="0" fillId="0" borderId="0" xfId="0" applyAlignment="1"/>
    <xf numFmtId="0" fontId="121" fillId="0" borderId="0" xfId="0" applyFont="1" applyAlignment="1">
      <alignment horizontal="left" vertical="center"/>
    </xf>
    <xf numFmtId="44" fontId="0" fillId="0" borderId="0" xfId="0" applyNumberFormat="1"/>
    <xf numFmtId="44" fontId="0" fillId="0" borderId="0" xfId="104" applyFont="1"/>
    <xf numFmtId="0" fontId="78" fillId="0" borderId="38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 wrapText="1"/>
    </xf>
    <xf numFmtId="44" fontId="78" fillId="0" borderId="38" xfId="104" applyFont="1" applyFill="1" applyBorder="1" applyAlignment="1">
      <alignment horizontal="center" vertical="center" wrapText="1"/>
    </xf>
    <xf numFmtId="0" fontId="78" fillId="0" borderId="38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8" fontId="5" fillId="0" borderId="14" xfId="0" applyNumberFormat="1" applyFont="1" applyBorder="1" applyAlignment="1">
      <alignment horizontal="center" vertical="center" wrapText="1"/>
    </xf>
    <xf numFmtId="44" fontId="2" fillId="0" borderId="0" xfId="104" applyFont="1"/>
    <xf numFmtId="10" fontId="2" fillId="0" borderId="0" xfId="105" applyNumberFormat="1" applyFont="1"/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123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4" fontId="0" fillId="48" borderId="0" xfId="104" applyFont="1" applyFill="1"/>
    <xf numFmtId="10" fontId="85" fillId="0" borderId="0" xfId="105" applyNumberFormat="1" applyFont="1"/>
    <xf numFmtId="44" fontId="85" fillId="0" borderId="0" xfId="113" applyNumberFormat="1"/>
    <xf numFmtId="170" fontId="2" fillId="0" borderId="13" xfId="104" applyNumberFormat="1" applyFont="1" applyFill="1" applyBorder="1"/>
    <xf numFmtId="10" fontId="40" fillId="0" borderId="14" xfId="105" applyNumberFormat="1" applyFont="1" applyFill="1" applyBorder="1"/>
    <xf numFmtId="44" fontId="2" fillId="0" borderId="0" xfId="114" applyNumberFormat="1" applyFont="1" applyFill="1" applyBorder="1"/>
    <xf numFmtId="0" fontId="117" fillId="0" borderId="0" xfId="114" applyFont="1" applyFill="1" applyBorder="1"/>
    <xf numFmtId="0" fontId="106" fillId="0" borderId="0" xfId="113" applyFont="1"/>
    <xf numFmtId="0" fontId="40" fillId="48" borderId="21" xfId="114" applyFont="1" applyFill="1" applyBorder="1" applyAlignment="1">
      <alignment horizontal="center"/>
    </xf>
    <xf numFmtId="170" fontId="2" fillId="48" borderId="21" xfId="104" applyNumberFormat="1" applyFont="1" applyFill="1" applyBorder="1"/>
    <xf numFmtId="10" fontId="40" fillId="48" borderId="31" xfId="105" applyNumberFormat="1" applyFont="1" applyFill="1" applyBorder="1"/>
    <xf numFmtId="0" fontId="40" fillId="38" borderId="23" xfId="114" applyFont="1" applyFill="1" applyBorder="1" applyAlignment="1">
      <alignment horizontal="center" vertical="center"/>
    </xf>
    <xf numFmtId="0" fontId="40" fillId="38" borderId="24" xfId="114" applyFont="1" applyFill="1" applyBorder="1" applyAlignment="1">
      <alignment horizontal="center" vertical="center"/>
    </xf>
    <xf numFmtId="0" fontId="40" fillId="38" borderId="24" xfId="113" applyFont="1" applyFill="1" applyBorder="1" applyAlignment="1">
      <alignment horizontal="center" vertical="center" wrapText="1"/>
    </xf>
    <xf numFmtId="0" fontId="40" fillId="38" borderId="24" xfId="113" applyFont="1" applyFill="1" applyBorder="1" applyAlignment="1">
      <alignment horizontal="center" vertical="center"/>
    </xf>
    <xf numFmtId="0" fontId="40" fillId="58" borderId="24" xfId="113" applyFont="1" applyFill="1" applyBorder="1" applyAlignment="1">
      <alignment horizontal="center" vertical="center"/>
    </xf>
    <xf numFmtId="0" fontId="40" fillId="37" borderId="25" xfId="113" applyFont="1" applyFill="1" applyBorder="1" applyAlignment="1">
      <alignment horizontal="center" vertical="center"/>
    </xf>
    <xf numFmtId="0" fontId="40" fillId="38" borderId="26" xfId="114" applyFont="1" applyFill="1" applyBorder="1" applyAlignment="1">
      <alignment horizontal="center" vertical="center"/>
    </xf>
    <xf numFmtId="0" fontId="40" fillId="38" borderId="30" xfId="114" applyFont="1" applyFill="1" applyBorder="1" applyAlignment="1">
      <alignment horizontal="center" vertical="center"/>
    </xf>
    <xf numFmtId="0" fontId="40" fillId="38" borderId="35" xfId="114" applyFont="1" applyFill="1" applyBorder="1" applyAlignment="1">
      <alignment horizontal="center" vertical="center"/>
    </xf>
    <xf numFmtId="0" fontId="40" fillId="31" borderId="78" xfId="114" applyFont="1" applyFill="1" applyBorder="1" applyAlignment="1">
      <alignment horizontal="center"/>
    </xf>
    <xf numFmtId="0" fontId="40" fillId="31" borderId="18" xfId="114" applyFont="1" applyFill="1" applyBorder="1" applyAlignment="1">
      <alignment horizontal="center"/>
    </xf>
    <xf numFmtId="0" fontId="40" fillId="48" borderId="20" xfId="114" applyFont="1" applyFill="1" applyBorder="1" applyAlignment="1">
      <alignment horizontal="center"/>
    </xf>
    <xf numFmtId="0" fontId="40" fillId="48" borderId="18" xfId="114" applyFont="1" applyFill="1" applyBorder="1" applyAlignment="1">
      <alignment horizontal="center"/>
    </xf>
    <xf numFmtId="0" fontId="40" fillId="0" borderId="18" xfId="114" applyFont="1" applyFill="1" applyBorder="1" applyAlignment="1">
      <alignment horizontal="center"/>
    </xf>
    <xf numFmtId="0" fontId="40" fillId="31" borderId="93" xfId="114" applyFont="1" applyFill="1" applyBorder="1" applyAlignment="1">
      <alignment horizontal="center"/>
    </xf>
    <xf numFmtId="0" fontId="0" fillId="0" borderId="0" xfId="0" applyFill="1"/>
    <xf numFmtId="44" fontId="0" fillId="0" borderId="0" xfId="104" applyFont="1" applyFill="1"/>
    <xf numFmtId="10" fontId="0" fillId="0" borderId="0" xfId="105" applyNumberFormat="1" applyFont="1" applyFill="1"/>
    <xf numFmtId="0" fontId="34" fillId="0" borderId="0" xfId="0" applyFont="1" applyAlignment="1">
      <alignment horizontal="center" wrapText="1"/>
    </xf>
    <xf numFmtId="44" fontId="0" fillId="48" borderId="93" xfId="104" applyFont="1" applyFill="1" applyBorder="1"/>
    <xf numFmtId="44" fontId="0" fillId="48" borderId="13" xfId="104" applyFont="1" applyFill="1" applyBorder="1"/>
    <xf numFmtId="0" fontId="0" fillId="44" borderId="93" xfId="0" applyFill="1" applyBorder="1"/>
    <xf numFmtId="0" fontId="0" fillId="44" borderId="13" xfId="0" applyFill="1" applyBorder="1"/>
    <xf numFmtId="9" fontId="0" fillId="44" borderId="13" xfId="105" applyFont="1" applyFill="1" applyBorder="1"/>
    <xf numFmtId="44" fontId="0" fillId="48" borderId="18" xfId="104" applyFont="1" applyFill="1" applyBorder="1"/>
    <xf numFmtId="44" fontId="0" fillId="48" borderId="0" xfId="0" applyNumberFormat="1" applyFill="1" applyBorder="1"/>
    <xf numFmtId="10" fontId="0" fillId="48" borderId="0" xfId="105" applyNumberFormat="1" applyFont="1" applyFill="1" applyBorder="1"/>
    <xf numFmtId="44" fontId="0" fillId="44" borderId="18" xfId="0" applyNumberFormat="1" applyFill="1" applyBorder="1"/>
    <xf numFmtId="44" fontId="0" fillId="44" borderId="0" xfId="0" applyNumberFormat="1" applyFill="1" applyBorder="1"/>
    <xf numFmtId="10" fontId="0" fillId="44" borderId="0" xfId="105" applyNumberFormat="1" applyFont="1" applyFill="1" applyBorder="1"/>
    <xf numFmtId="0" fontId="0" fillId="0" borderId="10" xfId="0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0" fontId="34" fillId="0" borderId="0" xfId="104" applyNumberFormat="1" applyFont="1" applyFill="1"/>
    <xf numFmtId="44" fontId="0" fillId="0" borderId="0" xfId="104" applyFont="1" applyFill="1" applyAlignment="1">
      <alignment horizontal="center"/>
    </xf>
    <xf numFmtId="10" fontId="0" fillId="0" borderId="0" xfId="105" applyNumberFormat="1" applyFont="1" applyFill="1" applyAlignment="1">
      <alignment horizontal="center"/>
    </xf>
    <xf numFmtId="0" fontId="34" fillId="0" borderId="10" xfId="0" applyFont="1" applyBorder="1" applyAlignment="1"/>
    <xf numFmtId="44" fontId="0" fillId="0" borderId="13" xfId="104" applyFont="1" applyFill="1" applyBorder="1" applyAlignment="1">
      <alignment horizontal="center"/>
    </xf>
    <xf numFmtId="44" fontId="34" fillId="0" borderId="13" xfId="104" applyFont="1" applyBorder="1" applyAlignment="1">
      <alignment horizontal="center" wrapText="1"/>
    </xf>
    <xf numFmtId="44" fontId="0" fillId="0" borderId="0" xfId="104" applyFont="1" applyFill="1" applyBorder="1" applyAlignment="1">
      <alignment horizontal="center"/>
    </xf>
    <xf numFmtId="170" fontId="34" fillId="0" borderId="0" xfId="104" applyNumberFormat="1" applyFont="1" applyFill="1" applyBorder="1"/>
    <xf numFmtId="170" fontId="34" fillId="0" borderId="12" xfId="104" applyNumberFormat="1" applyFont="1" applyFill="1" applyBorder="1"/>
    <xf numFmtId="170" fontId="34" fillId="60" borderId="52" xfId="104" applyNumberFormat="1" applyFont="1" applyFill="1" applyBorder="1"/>
    <xf numFmtId="0" fontId="0" fillId="44" borderId="37" xfId="0" applyFont="1" applyFill="1" applyBorder="1" applyAlignment="1">
      <alignment horizontal="center"/>
    </xf>
    <xf numFmtId="0" fontId="0" fillId="48" borderId="13" xfId="0" applyFill="1" applyBorder="1"/>
    <xf numFmtId="170" fontId="124" fillId="48" borderId="13" xfId="104" applyNumberFormat="1" applyFont="1" applyFill="1" applyBorder="1" applyAlignment="1">
      <alignment horizontal="center"/>
    </xf>
    <xf numFmtId="170" fontId="124" fillId="44" borderId="35" xfId="104" applyNumberFormat="1" applyFont="1" applyFill="1" applyBorder="1" applyAlignment="1">
      <alignment horizontal="center" wrapText="1"/>
    </xf>
    <xf numFmtId="44" fontId="0" fillId="48" borderId="20" xfId="104" applyFont="1" applyFill="1" applyBorder="1"/>
    <xf numFmtId="44" fontId="0" fillId="48" borderId="21" xfId="0" applyNumberFormat="1" applyFill="1" applyBorder="1"/>
    <xf numFmtId="10" fontId="0" fillId="48" borderId="21" xfId="105" applyNumberFormat="1" applyFont="1" applyFill="1" applyBorder="1"/>
    <xf numFmtId="44" fontId="0" fillId="44" borderId="20" xfId="0" applyNumberFormat="1" applyFill="1" applyBorder="1"/>
    <xf numFmtId="44" fontId="0" fillId="44" borderId="21" xfId="0" applyNumberFormat="1" applyFill="1" applyBorder="1"/>
    <xf numFmtId="10" fontId="0" fillId="44" borderId="21" xfId="105" applyNumberFormat="1" applyFont="1" applyFill="1" applyBorder="1"/>
    <xf numFmtId="0" fontId="0" fillId="48" borderId="0" xfId="0" applyFill="1" applyBorder="1"/>
    <xf numFmtId="170" fontId="0" fillId="48" borderId="0" xfId="104" applyNumberFormat="1" applyFont="1" applyFill="1" applyBorder="1" applyAlignment="1">
      <alignment horizontal="center"/>
    </xf>
    <xf numFmtId="170" fontId="34" fillId="48" borderId="0" xfId="104" applyNumberFormat="1" applyFont="1" applyFill="1" applyBorder="1"/>
    <xf numFmtId="170" fontId="0" fillId="44" borderId="26" xfId="104" applyNumberFormat="1" applyFont="1" applyFill="1" applyBorder="1" applyAlignment="1">
      <alignment horizontal="center"/>
    </xf>
    <xf numFmtId="170" fontId="34" fillId="44" borderId="12" xfId="104" applyNumberFormat="1" applyFont="1" applyFill="1" applyBorder="1"/>
    <xf numFmtId="170" fontId="0" fillId="44" borderId="26" xfId="0" applyNumberFormat="1" applyFill="1" applyBorder="1" applyAlignment="1">
      <alignment horizontal="center"/>
    </xf>
    <xf numFmtId="170" fontId="0" fillId="48" borderId="13" xfId="104" applyNumberFormat="1" applyFont="1" applyFill="1" applyBorder="1" applyAlignment="1">
      <alignment horizontal="center"/>
    </xf>
    <xf numFmtId="170" fontId="34" fillId="48" borderId="13" xfId="104" applyNumberFormat="1" applyFont="1" applyFill="1" applyBorder="1"/>
    <xf numFmtId="170" fontId="0" fillId="44" borderId="35" xfId="0" applyNumberFormat="1" applyFill="1" applyBorder="1" applyAlignment="1">
      <alignment horizontal="center"/>
    </xf>
    <xf numFmtId="170" fontId="34" fillId="44" borderId="14" xfId="104" applyNumberFormat="1" applyFont="1" applyFill="1" applyBorder="1"/>
    <xf numFmtId="0" fontId="53" fillId="0" borderId="0" xfId="0" applyFont="1"/>
    <xf numFmtId="44" fontId="0" fillId="48" borderId="13" xfId="0" applyNumberFormat="1" applyFill="1" applyBorder="1"/>
    <xf numFmtId="10" fontId="0" fillId="48" borderId="13" xfId="105" applyNumberFormat="1" applyFont="1" applyFill="1" applyBorder="1"/>
    <xf numFmtId="44" fontId="0" fillId="44" borderId="93" xfId="0" applyNumberFormat="1" applyFill="1" applyBorder="1"/>
    <xf numFmtId="44" fontId="0" fillId="44" borderId="13" xfId="0" applyNumberFormat="1" applyFill="1" applyBorder="1"/>
    <xf numFmtId="10" fontId="0" fillId="44" borderId="13" xfId="105" applyNumberFormat="1" applyFont="1" applyFill="1" applyBorder="1"/>
    <xf numFmtId="10" fontId="125" fillId="48" borderId="0" xfId="0" applyNumberFormat="1" applyFont="1" applyFill="1"/>
    <xf numFmtId="44" fontId="124" fillId="48" borderId="0" xfId="0" applyNumberFormat="1" applyFont="1" applyFill="1"/>
    <xf numFmtId="44" fontId="124" fillId="44" borderId="0" xfId="0" applyNumberFormat="1" applyFont="1" applyFill="1"/>
    <xf numFmtId="10" fontId="124" fillId="44" borderId="0" xfId="105" applyNumberFormat="1" applyFont="1" applyFill="1"/>
    <xf numFmtId="0" fontId="124" fillId="48" borderId="0" xfId="0" applyFont="1" applyFill="1"/>
    <xf numFmtId="10" fontId="2" fillId="0" borderId="0" xfId="0" applyNumberFormat="1" applyFont="1" applyFill="1" applyBorder="1" applyAlignment="1">
      <alignment horizontal="center"/>
    </xf>
    <xf numFmtId="10" fontId="40" fillId="0" borderId="0" xfId="0" applyNumberFormat="1" applyFont="1" applyFill="1" applyBorder="1" applyAlignment="1">
      <alignment horizontal="center"/>
    </xf>
    <xf numFmtId="10" fontId="40" fillId="0" borderId="0" xfId="0" applyNumberFormat="1" applyFont="1" applyFill="1" applyBorder="1" applyAlignment="1">
      <alignment horizontal="left"/>
    </xf>
    <xf numFmtId="43" fontId="4" fillId="0" borderId="0" xfId="103" applyFont="1" applyFill="1"/>
    <xf numFmtId="0" fontId="96" fillId="0" borderId="37" xfId="0" applyFont="1" applyBorder="1"/>
    <xf numFmtId="0" fontId="96" fillId="0" borderId="10" xfId="0" applyFont="1" applyBorder="1" applyAlignment="1">
      <alignment horizontal="center"/>
    </xf>
    <xf numFmtId="0" fontId="96" fillId="0" borderId="10" xfId="0" applyFont="1" applyBorder="1"/>
    <xf numFmtId="168" fontId="96" fillId="0" borderId="10" xfId="0" applyNumberFormat="1" applyFont="1" applyBorder="1" applyAlignment="1">
      <alignment horizontal="center"/>
    </xf>
    <xf numFmtId="167" fontId="39" fillId="0" borderId="11" xfId="0" applyNumberFormat="1" applyFont="1" applyBorder="1"/>
    <xf numFmtId="167" fontId="0" fillId="0" borderId="30" xfId="0" applyNumberFormat="1" applyFont="1" applyFill="1" applyBorder="1"/>
    <xf numFmtId="167" fontId="0" fillId="0" borderId="21" xfId="0" applyNumberFormat="1" applyFont="1" applyFill="1" applyBorder="1"/>
    <xf numFmtId="170" fontId="65" fillId="0" borderId="22" xfId="104" applyNumberFormat="1" applyFont="1" applyFill="1" applyBorder="1" applyAlignment="1">
      <alignment horizontal="center"/>
    </xf>
    <xf numFmtId="167" fontId="0" fillId="0" borderId="27" xfId="0" applyNumberFormat="1" applyFont="1" applyFill="1" applyBorder="1"/>
    <xf numFmtId="167" fontId="0" fillId="0" borderId="28" xfId="0" applyNumberFormat="1" applyFont="1" applyFill="1" applyBorder="1"/>
    <xf numFmtId="167" fontId="80" fillId="0" borderId="18" xfId="0" applyNumberFormat="1" applyFont="1" applyFill="1" applyBorder="1" applyAlignment="1">
      <alignment vertical="top" wrapText="1"/>
    </xf>
    <xf numFmtId="167" fontId="80" fillId="0" borderId="0" xfId="0" applyNumberFormat="1" applyFont="1" applyFill="1" applyBorder="1" applyAlignment="1">
      <alignment vertical="top" wrapText="1"/>
    </xf>
    <xf numFmtId="167" fontId="80" fillId="0" borderId="12" xfId="0" applyNumberFormat="1" applyFont="1" applyFill="1" applyBorder="1" applyAlignment="1">
      <alignment vertical="top" wrapText="1"/>
    </xf>
    <xf numFmtId="167" fontId="0" fillId="31" borderId="26" xfId="0" applyNumberFormat="1" applyFont="1" applyFill="1" applyBorder="1"/>
    <xf numFmtId="167" fontId="0" fillId="31" borderId="0" xfId="0" applyNumberFormat="1" applyFont="1" applyFill="1" applyBorder="1"/>
    <xf numFmtId="167" fontId="80" fillId="31" borderId="26" xfId="0" applyNumberFormat="1" applyFont="1" applyFill="1" applyBorder="1"/>
    <xf numFmtId="167" fontId="67" fillId="0" borderId="67" xfId="0" applyNumberFormat="1" applyFont="1" applyFill="1" applyBorder="1" applyAlignment="1">
      <alignment horizontal="left"/>
    </xf>
    <xf numFmtId="167" fontId="67" fillId="0" borderId="28" xfId="0" applyNumberFormat="1" applyFont="1" applyFill="1" applyBorder="1" applyAlignment="1">
      <alignment horizontal="left"/>
    </xf>
    <xf numFmtId="167" fontId="67" fillId="0" borderId="29" xfId="0" applyNumberFormat="1" applyFont="1" applyFill="1" applyBorder="1" applyAlignment="1">
      <alignment horizontal="left"/>
    </xf>
    <xf numFmtId="170" fontId="68" fillId="0" borderId="77" xfId="104" applyNumberFormat="1" applyFont="1" applyFill="1" applyBorder="1" applyAlignment="1">
      <alignment horizontal="center"/>
    </xf>
    <xf numFmtId="167" fontId="65" fillId="31" borderId="110" xfId="0" applyNumberFormat="1" applyFont="1" applyFill="1" applyBorder="1" applyAlignment="1">
      <alignment horizontal="center" vertical="center"/>
    </xf>
    <xf numFmtId="167" fontId="0" fillId="0" borderId="46" xfId="0" applyNumberFormat="1" applyFont="1" applyFill="1" applyBorder="1"/>
    <xf numFmtId="167" fontId="0" fillId="0" borderId="47" xfId="0" applyNumberFormat="1" applyFont="1" applyFill="1" applyBorder="1"/>
    <xf numFmtId="170" fontId="65" fillId="0" borderId="98" xfId="104" applyNumberFormat="1" applyFont="1" applyFill="1" applyBorder="1" applyAlignment="1">
      <alignment horizontal="center"/>
    </xf>
    <xf numFmtId="167" fontId="67" fillId="0" borderId="99" xfId="0" applyNumberFormat="1" applyFont="1" applyFill="1" applyBorder="1" applyAlignment="1">
      <alignment horizontal="left"/>
    </xf>
    <xf numFmtId="167" fontId="67" fillId="0" borderId="47" xfId="0" applyNumberFormat="1" applyFont="1" applyFill="1" applyBorder="1" applyAlignment="1">
      <alignment horizontal="left"/>
    </xf>
    <xf numFmtId="167" fontId="67" fillId="0" borderId="65" xfId="0" applyNumberFormat="1" applyFont="1" applyFill="1" applyBorder="1" applyAlignment="1">
      <alignment horizontal="left"/>
    </xf>
    <xf numFmtId="170" fontId="68" fillId="0" borderId="104" xfId="104" applyNumberFormat="1" applyFont="1" applyFill="1" applyBorder="1" applyAlignment="1">
      <alignment horizontal="center"/>
    </xf>
    <xf numFmtId="0" fontId="0" fillId="0" borderId="14" xfId="0" applyFont="1" applyFill="1" applyBorder="1"/>
    <xf numFmtId="167" fontId="0" fillId="0" borderId="26" xfId="0" applyNumberFormat="1" applyFont="1" applyFill="1" applyBorder="1"/>
    <xf numFmtId="167" fontId="0" fillId="0" borderId="0" xfId="0" applyNumberFormat="1" applyFont="1" applyFill="1" applyBorder="1"/>
    <xf numFmtId="170" fontId="65" fillId="0" borderId="19" xfId="104" applyNumberFormat="1" applyFont="1" applyFill="1" applyBorder="1" applyAlignment="1">
      <alignment horizontal="center"/>
    </xf>
    <xf numFmtId="10" fontId="65" fillId="31" borderId="0" xfId="105" applyNumberFormat="1" applyFont="1" applyFill="1" applyBorder="1" applyAlignment="1">
      <alignment horizontal="center"/>
    </xf>
    <xf numFmtId="167" fontId="67" fillId="47" borderId="0" xfId="0" applyNumberFormat="1" applyFont="1" applyFill="1" applyBorder="1" applyAlignment="1">
      <alignment horizontal="left"/>
    </xf>
    <xf numFmtId="167" fontId="80" fillId="31" borderId="0" xfId="0" applyNumberFormat="1" applyFont="1" applyFill="1" applyBorder="1"/>
    <xf numFmtId="167" fontId="0" fillId="31" borderId="37" xfId="0" applyNumberFormat="1" applyFont="1" applyFill="1" applyBorder="1"/>
    <xf numFmtId="167" fontId="0" fillId="31" borderId="10" xfId="0" applyNumberFormat="1" applyFont="1" applyFill="1" applyBorder="1"/>
    <xf numFmtId="10" fontId="65" fillId="31" borderId="10" xfId="105" applyNumberFormat="1" applyFont="1" applyFill="1" applyBorder="1" applyAlignment="1">
      <alignment horizontal="center"/>
    </xf>
    <xf numFmtId="167" fontId="67" fillId="47" borderId="10" xfId="0" applyNumberFormat="1" applyFont="1" applyFill="1" applyBorder="1" applyAlignment="1">
      <alignment horizontal="left"/>
    </xf>
    <xf numFmtId="167" fontId="67" fillId="47" borderId="11" xfId="0" applyNumberFormat="1" applyFont="1" applyFill="1" applyBorder="1" applyAlignment="1">
      <alignment horizontal="left"/>
    </xf>
    <xf numFmtId="167" fontId="67" fillId="47" borderId="12" xfId="0" applyNumberFormat="1" applyFont="1" applyFill="1" applyBorder="1" applyAlignment="1">
      <alignment horizontal="left"/>
    </xf>
    <xf numFmtId="167" fontId="0" fillId="31" borderId="35" xfId="0" applyNumberFormat="1" applyFont="1" applyFill="1" applyBorder="1"/>
    <xf numFmtId="167" fontId="0" fillId="31" borderId="13" xfId="0" applyNumberFormat="1" applyFont="1" applyFill="1" applyBorder="1"/>
    <xf numFmtId="10" fontId="34" fillId="31" borderId="13" xfId="0" applyNumberFormat="1" applyFont="1" applyFill="1" applyBorder="1" applyAlignment="1">
      <alignment horizontal="center"/>
    </xf>
    <xf numFmtId="167" fontId="67" fillId="47" borderId="13" xfId="0" applyNumberFormat="1" applyFont="1" applyFill="1" applyBorder="1" applyAlignment="1">
      <alignment horizontal="left"/>
    </xf>
    <xf numFmtId="167" fontId="67" fillId="47" borderId="14" xfId="0" applyNumberFormat="1" applyFont="1" applyFill="1" applyBorder="1" applyAlignment="1">
      <alignment horizontal="left"/>
    </xf>
    <xf numFmtId="167" fontId="67" fillId="47" borderId="78" xfId="0" applyNumberFormat="1" applyFont="1" applyFill="1" applyBorder="1" applyAlignment="1">
      <alignment horizontal="left"/>
    </xf>
    <xf numFmtId="167" fontId="67" fillId="47" borderId="18" xfId="0" applyNumberFormat="1" applyFont="1" applyFill="1" applyBorder="1" applyAlignment="1">
      <alignment horizontal="left"/>
    </xf>
    <xf numFmtId="167" fontId="67" fillId="47" borderId="93" xfId="0" applyNumberFormat="1" applyFont="1" applyFill="1" applyBorder="1" applyAlignment="1">
      <alignment horizontal="left"/>
    </xf>
    <xf numFmtId="10" fontId="93" fillId="31" borderId="0" xfId="105" applyNumberFormat="1" applyFont="1" applyFill="1" applyBorder="1" applyAlignment="1">
      <alignment horizontal="center"/>
    </xf>
    <xf numFmtId="167" fontId="80" fillId="47" borderId="18" xfId="0" applyNumberFormat="1" applyFont="1" applyFill="1" applyBorder="1" applyAlignment="1">
      <alignment horizontal="left"/>
    </xf>
    <xf numFmtId="167" fontId="126" fillId="31" borderId="26" xfId="0" applyNumberFormat="1" applyFont="1" applyFill="1" applyBorder="1"/>
    <xf numFmtId="167" fontId="126" fillId="31" borderId="0" xfId="0" applyNumberFormat="1" applyFont="1" applyFill="1" applyBorder="1"/>
    <xf numFmtId="10" fontId="114" fillId="31" borderId="0" xfId="105" applyNumberFormat="1" applyFont="1" applyFill="1" applyBorder="1" applyAlignment="1">
      <alignment horizontal="center"/>
    </xf>
    <xf numFmtId="167" fontId="126" fillId="47" borderId="18" xfId="0" applyNumberFormat="1" applyFont="1" applyFill="1" applyBorder="1" applyAlignment="1">
      <alignment horizontal="left"/>
    </xf>
    <xf numFmtId="10" fontId="93" fillId="0" borderId="0" xfId="0" applyNumberFormat="1" applyFont="1" applyBorder="1"/>
    <xf numFmtId="10" fontId="114" fillId="0" borderId="0" xfId="0" applyNumberFormat="1" applyFont="1" applyBorder="1"/>
    <xf numFmtId="164" fontId="68" fillId="0" borderId="12" xfId="0" applyNumberFormat="1" applyFont="1" applyBorder="1"/>
    <xf numFmtId="164" fontId="68" fillId="0" borderId="0" xfId="0" applyNumberFormat="1" applyFont="1" applyBorder="1"/>
    <xf numFmtId="6" fontId="109" fillId="0" borderId="0" xfId="46" applyNumberFormat="1" applyFont="1" applyFill="1" applyBorder="1"/>
    <xf numFmtId="170" fontId="4" fillId="0" borderId="0" xfId="46" applyNumberFormat="1" applyFont="1" applyFill="1" applyBorder="1" applyAlignment="1">
      <alignment horizontal="center"/>
    </xf>
    <xf numFmtId="10" fontId="53" fillId="0" borderId="0" xfId="105" applyNumberFormat="1" applyFont="1" applyFill="1" applyBorder="1" applyAlignment="1">
      <alignment horizontal="center"/>
    </xf>
    <xf numFmtId="0" fontId="53" fillId="0" borderId="0" xfId="65" applyFont="1" applyFill="1" applyBorder="1"/>
    <xf numFmtId="0" fontId="112" fillId="0" borderId="0" xfId="65" applyFont="1" applyFill="1" applyBorder="1" applyAlignment="1">
      <alignment horizontal="center"/>
    </xf>
    <xf numFmtId="2" fontId="112" fillId="0" borderId="0" xfId="65" applyNumberFormat="1" applyFont="1" applyFill="1" applyBorder="1" applyAlignment="1">
      <alignment horizontal="center"/>
    </xf>
    <xf numFmtId="0" fontId="39" fillId="0" borderId="0" xfId="65" applyFont="1" applyFill="1" applyBorder="1" applyAlignment="1"/>
    <xf numFmtId="164" fontId="68" fillId="0" borderId="0" xfId="0" applyNumberFormat="1" applyFont="1" applyFill="1" applyBorder="1"/>
    <xf numFmtId="10" fontId="1" fillId="0" borderId="0" xfId="105" applyNumberFormat="1" applyFont="1" applyFill="1"/>
    <xf numFmtId="164" fontId="68" fillId="0" borderId="14" xfId="0" applyNumberFormat="1" applyFont="1" applyBorder="1"/>
    <xf numFmtId="174" fontId="68" fillId="0" borderId="57" xfId="0" applyNumberFormat="1" applyFont="1" applyBorder="1"/>
    <xf numFmtId="164" fontId="68" fillId="0" borderId="57" xfId="0" applyNumberFormat="1" applyFont="1" applyBorder="1"/>
    <xf numFmtId="10" fontId="0" fillId="0" borderId="0" xfId="0" applyNumberFormat="1" applyFont="1"/>
    <xf numFmtId="44" fontId="34" fillId="0" borderId="0" xfId="104" applyFont="1" applyFill="1"/>
    <xf numFmtId="44" fontId="65" fillId="2" borderId="14" xfId="104" applyFont="1" applyFill="1" applyBorder="1"/>
    <xf numFmtId="0" fontId="0" fillId="62" borderId="13" xfId="0" applyFill="1" applyBorder="1"/>
    <xf numFmtId="44" fontId="0" fillId="62" borderId="13" xfId="104" applyFont="1" applyFill="1" applyBorder="1"/>
    <xf numFmtId="10" fontId="0" fillId="62" borderId="13" xfId="105" applyNumberFormat="1" applyFont="1" applyFill="1" applyBorder="1"/>
    <xf numFmtId="10" fontId="124" fillId="62" borderId="0" xfId="105" applyNumberFormat="1" applyFont="1" applyFill="1" applyBorder="1"/>
    <xf numFmtId="0" fontId="0" fillId="62" borderId="93" xfId="0" applyFill="1" applyBorder="1"/>
    <xf numFmtId="44" fontId="0" fillId="62" borderId="18" xfId="104" applyFont="1" applyFill="1" applyBorder="1"/>
    <xf numFmtId="44" fontId="0" fillId="62" borderId="0" xfId="104" applyFont="1" applyFill="1" applyBorder="1"/>
    <xf numFmtId="10" fontId="0" fillId="62" borderId="0" xfId="105" applyNumberFormat="1" applyFont="1" applyFill="1" applyBorder="1"/>
    <xf numFmtId="44" fontId="0" fillId="62" borderId="93" xfId="104" applyFont="1" applyFill="1" applyBorder="1"/>
    <xf numFmtId="0" fontId="0" fillId="62" borderId="18" xfId="0" applyFill="1" applyBorder="1"/>
    <xf numFmtId="44" fontId="124" fillId="62" borderId="0" xfId="0" applyNumberFormat="1" applyFont="1" applyFill="1" applyBorder="1"/>
    <xf numFmtId="0" fontId="124" fillId="44" borderId="78" xfId="0" applyFont="1" applyFill="1" applyBorder="1"/>
    <xf numFmtId="0" fontId="124" fillId="44" borderId="18" xfId="0" applyFont="1" applyFill="1" applyBorder="1"/>
    <xf numFmtId="2" fontId="0" fillId="0" borderId="68" xfId="0" applyNumberFormat="1" applyFont="1" applyBorder="1" applyAlignment="1">
      <alignment horizontal="center"/>
    </xf>
    <xf numFmtId="166" fontId="0" fillId="0" borderId="111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0" fontId="0" fillId="0" borderId="89" xfId="0" applyFont="1" applyBorder="1"/>
    <xf numFmtId="1" fontId="0" fillId="0" borderId="42" xfId="0" applyNumberFormat="1" applyFont="1" applyBorder="1" applyAlignment="1">
      <alignment horizontal="center"/>
    </xf>
    <xf numFmtId="0" fontId="0" fillId="0" borderId="82" xfId="0" applyFont="1" applyBorder="1"/>
    <xf numFmtId="166" fontId="0" fillId="0" borderId="42" xfId="0" applyNumberFormat="1" applyFont="1" applyBorder="1" applyAlignment="1">
      <alignment horizontal="center"/>
    </xf>
    <xf numFmtId="1" fontId="0" fillId="0" borderId="86" xfId="0" applyNumberFormat="1" applyFont="1" applyBorder="1" applyAlignment="1">
      <alignment horizontal="center"/>
    </xf>
    <xf numFmtId="2" fontId="0" fillId="0" borderId="87" xfId="0" applyNumberFormat="1" applyFont="1" applyBorder="1" applyAlignment="1">
      <alignment horizontal="center"/>
    </xf>
    <xf numFmtId="0" fontId="0" fillId="0" borderId="88" xfId="0" applyFont="1" applyBorder="1"/>
    <xf numFmtId="1" fontId="0" fillId="0" borderId="84" xfId="0" applyNumberFormat="1" applyFont="1" applyBorder="1" applyAlignment="1">
      <alignment horizontal="center"/>
    </xf>
    <xf numFmtId="0" fontId="0" fillId="0" borderId="85" xfId="0" applyFont="1" applyBorder="1"/>
    <xf numFmtId="166" fontId="0" fillId="0" borderId="84" xfId="0" applyNumberFormat="1" applyFont="1" applyBorder="1" applyAlignment="1">
      <alignment horizontal="center"/>
    </xf>
    <xf numFmtId="1" fontId="0" fillId="0" borderId="111" xfId="0" applyNumberFormat="1" applyFont="1" applyBorder="1" applyAlignment="1">
      <alignment horizontal="center"/>
    </xf>
    <xf numFmtId="10" fontId="0" fillId="2" borderId="12" xfId="0" applyNumberFormat="1" applyFont="1" applyFill="1" applyBorder="1"/>
    <xf numFmtId="10" fontId="0" fillId="2" borderId="14" xfId="0" applyNumberFormat="1" applyFont="1" applyFill="1" applyBorder="1"/>
    <xf numFmtId="44" fontId="0" fillId="0" borderId="0" xfId="0" applyNumberFormat="1" applyFont="1" applyBorder="1"/>
    <xf numFmtId="44" fontId="0" fillId="0" borderId="37" xfId="0" applyNumberFormat="1" applyFont="1" applyBorder="1"/>
    <xf numFmtId="44" fontId="0" fillId="0" borderId="26" xfId="0" applyNumberFormat="1" applyFont="1" applyBorder="1"/>
    <xf numFmtId="44" fontId="0" fillId="0" borderId="35" xfId="0" applyNumberFormat="1" applyFont="1" applyBorder="1"/>
    <xf numFmtId="44" fontId="0" fillId="0" borderId="92" xfId="0" applyNumberFormat="1" applyFont="1" applyBorder="1"/>
    <xf numFmtId="44" fontId="0" fillId="0" borderId="61" xfId="0" applyNumberFormat="1" applyFont="1" applyBorder="1"/>
    <xf numFmtId="44" fontId="0" fillId="0" borderId="81" xfId="0" applyNumberFormat="1" applyFont="1" applyBorder="1"/>
    <xf numFmtId="2" fontId="0" fillId="0" borderId="0" xfId="0" applyNumberFormat="1" applyFont="1" applyBorder="1" applyAlignment="1">
      <alignment horizontal="center"/>
    </xf>
    <xf numFmtId="10" fontId="0" fillId="0" borderId="0" xfId="0" applyNumberFormat="1" applyFont="1" applyFill="1" applyBorder="1"/>
    <xf numFmtId="44" fontId="0" fillId="0" borderId="0" xfId="0" applyNumberFormat="1" applyBorder="1"/>
    <xf numFmtId="8" fontId="0" fillId="0" borderId="0" xfId="0" applyNumberFormat="1"/>
    <xf numFmtId="10" fontId="40" fillId="0" borderId="0" xfId="0" applyNumberFormat="1" applyFont="1" applyAlignment="1">
      <alignment horizontal="center"/>
    </xf>
    <xf numFmtId="10" fontId="2" fillId="0" borderId="0" xfId="105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6" fontId="5" fillId="0" borderId="25" xfId="0" applyNumberFormat="1" applyFont="1" applyBorder="1" applyAlignment="1">
      <alignment horizontal="right" vertical="center"/>
    </xf>
    <xf numFmtId="6" fontId="128" fillId="0" borderId="38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6" fontId="5" fillId="0" borderId="14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6" fontId="5" fillId="0" borderId="14" xfId="0" applyNumberFormat="1" applyFont="1" applyFill="1" applyBorder="1" applyAlignment="1">
      <alignment horizontal="right" vertical="center"/>
    </xf>
    <xf numFmtId="6" fontId="128" fillId="0" borderId="3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6" fontId="41" fillId="0" borderId="0" xfId="0" applyNumberFormat="1" applyFont="1" applyBorder="1" applyAlignment="1">
      <alignment horizontal="right" vertical="center"/>
    </xf>
    <xf numFmtId="6" fontId="41" fillId="0" borderId="56" xfId="0" applyNumberFormat="1" applyFont="1" applyBorder="1" applyAlignment="1">
      <alignment horizontal="right" vertical="center"/>
    </xf>
    <xf numFmtId="6" fontId="40" fillId="2" borderId="95" xfId="0" applyNumberFormat="1" applyFont="1" applyFill="1" applyBorder="1"/>
    <xf numFmtId="10" fontId="2" fillId="0" borderId="0" xfId="105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8" xfId="0" applyFont="1" applyBorder="1"/>
    <xf numFmtId="6" fontId="2" fillId="0" borderId="0" xfId="0" applyNumberFormat="1" applyFont="1"/>
    <xf numFmtId="0" fontId="129" fillId="0" borderId="49" xfId="0" applyFont="1" applyFill="1" applyBorder="1" applyAlignment="1">
      <alignment horizontal="center" vertical="center" wrapText="1"/>
    </xf>
    <xf numFmtId="0" fontId="130" fillId="0" borderId="49" xfId="0" applyFont="1" applyFill="1" applyBorder="1" applyAlignment="1">
      <alignment vertical="center" wrapText="1"/>
    </xf>
    <xf numFmtId="174" fontId="2" fillId="0" borderId="49" xfId="0" applyNumberFormat="1" applyFont="1" applyBorder="1"/>
    <xf numFmtId="174" fontId="2" fillId="0" borderId="45" xfId="0" applyNumberFormat="1" applyFont="1" applyBorder="1"/>
    <xf numFmtId="174" fontId="2" fillId="0" borderId="38" xfId="0" applyNumberFormat="1" applyFont="1" applyBorder="1"/>
    <xf numFmtId="0" fontId="2" fillId="0" borderId="49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vertical="center" wrapText="1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/>
    <xf numFmtId="174" fontId="40" fillId="2" borderId="95" xfId="0" applyNumberFormat="1" applyFont="1" applyFill="1" applyBorder="1"/>
    <xf numFmtId="0" fontId="121" fillId="0" borderId="24" xfId="0" applyFont="1" applyFill="1" applyBorder="1" applyAlignment="1">
      <alignment vertical="center" wrapText="1"/>
    </xf>
    <xf numFmtId="6" fontId="2" fillId="0" borderId="49" xfId="0" applyNumberFormat="1" applyFont="1" applyBorder="1" applyAlignment="1">
      <alignment horizontal="right"/>
    </xf>
    <xf numFmtId="6" fontId="2" fillId="0" borderId="38" xfId="0" applyNumberFormat="1" applyFont="1" applyBorder="1"/>
    <xf numFmtId="0" fontId="121" fillId="0" borderId="13" xfId="0" applyFont="1" applyFill="1" applyBorder="1" applyAlignment="1">
      <alignment vertical="center" wrapText="1"/>
    </xf>
    <xf numFmtId="0" fontId="121" fillId="57" borderId="13" xfId="0" applyFont="1" applyFill="1" applyBorder="1" applyAlignment="1">
      <alignment vertical="center" wrapText="1"/>
    </xf>
    <xf numFmtId="6" fontId="2" fillId="57" borderId="49" xfId="0" applyNumberFormat="1" applyFont="1" applyFill="1" applyBorder="1" applyAlignment="1">
      <alignment horizontal="right"/>
    </xf>
    <xf numFmtId="0" fontId="133" fillId="57" borderId="23" xfId="0" applyFont="1" applyFill="1" applyBorder="1" applyAlignment="1">
      <alignment vertical="center" wrapText="1"/>
    </xf>
    <xf numFmtId="6" fontId="128" fillId="57" borderId="38" xfId="0" applyNumberFormat="1" applyFont="1" applyFill="1" applyBorder="1" applyAlignment="1">
      <alignment horizontal="right" vertical="center"/>
    </xf>
    <xf numFmtId="6" fontId="128" fillId="57" borderId="25" xfId="0" applyNumberFormat="1" applyFont="1" applyFill="1" applyBorder="1" applyAlignment="1">
      <alignment horizontal="right" vertical="center"/>
    </xf>
    <xf numFmtId="6" fontId="40" fillId="0" borderId="0" xfId="0" applyNumberFormat="1" applyFont="1"/>
    <xf numFmtId="0" fontId="40" fillId="0" borderId="0" xfId="0" applyFont="1" applyAlignment="1">
      <alignment horizontal="right"/>
    </xf>
    <xf numFmtId="0" fontId="134" fillId="0" borderId="0" xfId="0" applyFont="1" applyAlignment="1">
      <alignment horizontal="center"/>
    </xf>
    <xf numFmtId="44" fontId="40" fillId="0" borderId="0" xfId="104" applyFont="1" applyBorder="1"/>
    <xf numFmtId="0" fontId="96" fillId="0" borderId="26" xfId="66" applyFont="1" applyBorder="1"/>
    <xf numFmtId="0" fontId="96" fillId="0" borderId="0" xfId="66" applyFont="1" applyBorder="1" applyAlignment="1">
      <alignment horizontal="center" vertical="center"/>
    </xf>
    <xf numFmtId="0" fontId="96" fillId="0" borderId="0" xfId="66" applyFont="1" applyBorder="1"/>
    <xf numFmtId="3" fontId="96" fillId="0" borderId="12" xfId="66" applyNumberFormat="1" applyFont="1" applyBorder="1" applyAlignment="1">
      <alignment horizontal="center"/>
    </xf>
    <xf numFmtId="0" fontId="40" fillId="0" borderId="0" xfId="66" applyFont="1" applyBorder="1"/>
    <xf numFmtId="0" fontId="96" fillId="0" borderId="12" xfId="66" applyFont="1" applyBorder="1"/>
    <xf numFmtId="0" fontId="96" fillId="0" borderId="30" xfId="66" applyFont="1" applyBorder="1"/>
    <xf numFmtId="0" fontId="96" fillId="0" borderId="21" xfId="66" applyFont="1" applyBorder="1" applyAlignment="1">
      <alignment horizontal="center"/>
    </xf>
    <xf numFmtId="0" fontId="96" fillId="0" borderId="31" xfId="66" applyFont="1" applyBorder="1" applyAlignment="1">
      <alignment horizontal="center"/>
    </xf>
    <xf numFmtId="167" fontId="39" fillId="0" borderId="26" xfId="66" applyNumberFormat="1" applyFont="1" applyBorder="1"/>
    <xf numFmtId="42" fontId="109" fillId="0" borderId="0" xfId="66" applyNumberFormat="1" applyFont="1" applyBorder="1"/>
    <xf numFmtId="42" fontId="96" fillId="0" borderId="12" xfId="66" applyNumberFormat="1" applyFont="1" applyBorder="1"/>
    <xf numFmtId="0" fontId="39" fillId="0" borderId="26" xfId="66" applyFont="1" applyBorder="1"/>
    <xf numFmtId="170" fontId="109" fillId="0" borderId="0" xfId="66" applyNumberFormat="1" applyFont="1" applyBorder="1"/>
    <xf numFmtId="179" fontId="113" fillId="0" borderId="0" xfId="1139" applyNumberFormat="1" applyFont="1" applyBorder="1"/>
    <xf numFmtId="170" fontId="40" fillId="0" borderId="12" xfId="66" applyNumberFormat="1" applyFont="1" applyBorder="1"/>
    <xf numFmtId="44" fontId="2" fillId="0" borderId="0" xfId="104" applyFont="1" applyFill="1" applyBorder="1" applyAlignment="1">
      <alignment horizontal="center"/>
    </xf>
    <xf numFmtId="0" fontId="2" fillId="0" borderId="78" xfId="0" applyFont="1" applyFill="1" applyBorder="1" applyAlignment="1">
      <alignment horizontal="left"/>
    </xf>
    <xf numFmtId="0" fontId="40" fillId="0" borderId="12" xfId="0" applyFont="1" applyFill="1" applyBorder="1" applyAlignment="1">
      <alignment horizontal="center"/>
    </xf>
    <xf numFmtId="0" fontId="96" fillId="0" borderId="27" xfId="66" applyFont="1" applyBorder="1"/>
    <xf numFmtId="0" fontId="96" fillId="0" borderId="28" xfId="66" applyFont="1" applyBorder="1"/>
    <xf numFmtId="42" fontId="96" fillId="0" borderId="29" xfId="66" applyNumberFormat="1" applyFont="1" applyBorder="1"/>
    <xf numFmtId="4" fontId="96" fillId="0" borderId="0" xfId="66" applyNumberFormat="1" applyFont="1" applyBorder="1"/>
    <xf numFmtId="0" fontId="2" fillId="0" borderId="18" xfId="0" applyFont="1" applyFill="1" applyBorder="1" applyAlignment="1">
      <alignment horizontal="left"/>
    </xf>
    <xf numFmtId="10" fontId="109" fillId="0" borderId="0" xfId="66" applyNumberFormat="1" applyFont="1" applyBorder="1"/>
    <xf numFmtId="0" fontId="2" fillId="0" borderId="26" xfId="0" applyFont="1" applyFill="1" applyBorder="1" applyAlignment="1">
      <alignment horizontal="center"/>
    </xf>
    <xf numFmtId="44" fontId="96" fillId="0" borderId="28" xfId="66" applyNumberFormat="1" applyFont="1" applyBorder="1"/>
    <xf numFmtId="9" fontId="2" fillId="0" borderId="0" xfId="105" applyNumberFormat="1" applyFont="1" applyBorder="1"/>
    <xf numFmtId="0" fontId="2" fillId="0" borderId="18" xfId="0" applyFont="1" applyBorder="1"/>
    <xf numFmtId="0" fontId="39" fillId="0" borderId="26" xfId="66" applyFont="1" applyBorder="1" applyAlignment="1">
      <alignment horizontal="left"/>
    </xf>
    <xf numFmtId="174" fontId="53" fillId="0" borderId="26" xfId="0" applyNumberFormat="1" applyFont="1" applyBorder="1"/>
    <xf numFmtId="0" fontId="53" fillId="0" borderId="18" xfId="0" applyFont="1" applyBorder="1"/>
    <xf numFmtId="0" fontId="2" fillId="0" borderId="93" xfId="0" applyFont="1" applyBorder="1"/>
    <xf numFmtId="0" fontId="112" fillId="0" borderId="23" xfId="0" applyFont="1" applyBorder="1"/>
    <xf numFmtId="10" fontId="112" fillId="0" borderId="24" xfId="105" applyNumberFormat="1" applyFont="1" applyBorder="1"/>
    <xf numFmtId="0" fontId="112" fillId="0" borderId="24" xfId="0" applyFont="1" applyBorder="1"/>
    <xf numFmtId="0" fontId="2" fillId="0" borderId="24" xfId="0" applyFont="1" applyBorder="1"/>
    <xf numFmtId="0" fontId="2" fillId="0" borderId="25" xfId="0" applyFont="1" applyBorder="1"/>
    <xf numFmtId="0" fontId="96" fillId="0" borderId="55" xfId="66" applyFont="1" applyBorder="1"/>
    <xf numFmtId="10" fontId="96" fillId="0" borderId="56" xfId="66" applyNumberFormat="1" applyFont="1" applyBorder="1"/>
    <xf numFmtId="0" fontId="96" fillId="0" borderId="56" xfId="66" applyFont="1" applyBorder="1"/>
    <xf numFmtId="170" fontId="96" fillId="0" borderId="57" xfId="66" applyNumberFormat="1" applyFont="1" applyBorder="1"/>
    <xf numFmtId="10" fontId="135" fillId="0" borderId="56" xfId="66" applyNumberFormat="1" applyFont="1" applyBorder="1"/>
    <xf numFmtId="170" fontId="96" fillId="0" borderId="57" xfId="295" applyNumberFormat="1" applyFont="1" applyBorder="1"/>
    <xf numFmtId="44" fontId="96" fillId="0" borderId="0" xfId="295" applyFont="1" applyBorder="1"/>
    <xf numFmtId="170" fontId="96" fillId="0" borderId="12" xfId="295" applyNumberFormat="1" applyFont="1" applyBorder="1"/>
    <xf numFmtId="169" fontId="39" fillId="0" borderId="23" xfId="66" applyNumberFormat="1" applyFont="1" applyFill="1" applyBorder="1" applyAlignment="1"/>
    <xf numFmtId="167" fontId="39" fillId="0" borderId="24" xfId="66" applyNumberFormat="1" applyFont="1" applyFill="1" applyBorder="1" applyAlignment="1"/>
    <xf numFmtId="44" fontId="39" fillId="0" borderId="24" xfId="295" applyFont="1" applyFill="1" applyBorder="1" applyAlignment="1"/>
    <xf numFmtId="44" fontId="39" fillId="2" borderId="38" xfId="295" applyFont="1" applyFill="1" applyBorder="1" applyAlignment="1"/>
    <xf numFmtId="0" fontId="2" fillId="0" borderId="78" xfId="0" applyFont="1" applyBorder="1"/>
    <xf numFmtId="179" fontId="135" fillId="0" borderId="0" xfId="66" applyNumberFormat="1" applyFont="1" applyBorder="1"/>
    <xf numFmtId="179" fontId="96" fillId="0" borderId="28" xfId="66" applyNumberFormat="1" applyFont="1" applyBorder="1"/>
    <xf numFmtId="164" fontId="109" fillId="0" borderId="0" xfId="66" applyNumberFormat="1" applyFont="1" applyBorder="1"/>
    <xf numFmtId="178" fontId="2" fillId="0" borderId="0" xfId="103" applyNumberFormat="1" applyFont="1" applyBorder="1"/>
    <xf numFmtId="0" fontId="123" fillId="64" borderId="14" xfId="0" applyFont="1" applyFill="1" applyBorder="1" applyAlignment="1">
      <alignment horizontal="center" vertical="center"/>
    </xf>
    <xf numFmtId="0" fontId="5" fillId="64" borderId="14" xfId="0" applyFont="1" applyFill="1" applyBorder="1" applyAlignment="1">
      <alignment vertical="center"/>
    </xf>
    <xf numFmtId="6" fontId="5" fillId="64" borderId="14" xfId="0" applyNumberFormat="1" applyFont="1" applyFill="1" applyBorder="1" applyAlignment="1">
      <alignment horizontal="right" vertical="center"/>
    </xf>
    <xf numFmtId="6" fontId="5" fillId="64" borderId="25" xfId="0" applyNumberFormat="1" applyFont="1" applyFill="1" applyBorder="1" applyAlignment="1">
      <alignment horizontal="right" vertical="center"/>
    </xf>
    <xf numFmtId="6" fontId="128" fillId="64" borderId="38" xfId="0" applyNumberFormat="1" applyFont="1" applyFill="1" applyBorder="1" applyAlignment="1">
      <alignment horizontal="right" vertical="center"/>
    </xf>
    <xf numFmtId="171" fontId="0" fillId="0" borderId="0" xfId="103" applyNumberFormat="1" applyFont="1"/>
    <xf numFmtId="43" fontId="0" fillId="0" borderId="0" xfId="0" applyNumberFormat="1"/>
    <xf numFmtId="10" fontId="40" fillId="0" borderId="11" xfId="105" applyNumberFormat="1" applyFont="1" applyBorder="1"/>
    <xf numFmtId="10" fontId="40" fillId="0" borderId="14" xfId="105" applyNumberFormat="1" applyFont="1" applyBorder="1"/>
    <xf numFmtId="0" fontId="40" fillId="0" borderId="37" xfId="0" applyFont="1" applyBorder="1" applyAlignment="1">
      <alignment horizontal="left"/>
    </xf>
    <xf numFmtId="0" fontId="40" fillId="0" borderId="35" xfId="0" applyFont="1" applyBorder="1" applyAlignment="1">
      <alignment horizontal="left"/>
    </xf>
    <xf numFmtId="0" fontId="34" fillId="48" borderId="24" xfId="0" applyFont="1" applyFill="1" applyBorder="1" applyAlignment="1">
      <alignment horizontal="center"/>
    </xf>
    <xf numFmtId="0" fontId="34" fillId="48" borderId="2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44" fontId="128" fillId="0" borderId="38" xfId="0" applyNumberFormat="1" applyFont="1" applyBorder="1" applyAlignment="1">
      <alignment horizontal="right" vertical="center"/>
    </xf>
    <xf numFmtId="0" fontId="2" fillId="0" borderId="11" xfId="0" applyFont="1" applyBorder="1"/>
    <xf numFmtId="0" fontId="2" fillId="37" borderId="26" xfId="0" applyFont="1" applyFill="1" applyBorder="1"/>
    <xf numFmtId="0" fontId="2" fillId="37" borderId="0" xfId="0" applyFont="1" applyFill="1" applyBorder="1"/>
    <xf numFmtId="44" fontId="2" fillId="37" borderId="0" xfId="104" applyFont="1" applyFill="1" applyBorder="1"/>
    <xf numFmtId="0" fontId="2" fillId="37" borderId="12" xfId="0" applyFont="1" applyFill="1" applyBorder="1"/>
    <xf numFmtId="0" fontId="2" fillId="0" borderId="23" xfId="0" applyFont="1" applyBorder="1"/>
    <xf numFmtId="44" fontId="2" fillId="0" borderId="24" xfId="104" applyFont="1" applyBorder="1"/>
    <xf numFmtId="170" fontId="68" fillId="2" borderId="77" xfId="104" applyNumberFormat="1" applyFont="1" applyFill="1" applyBorder="1" applyAlignment="1">
      <alignment horizontal="center"/>
    </xf>
    <xf numFmtId="167" fontId="0" fillId="2" borderId="26" xfId="0" applyNumberFormat="1" applyFont="1" applyFill="1" applyBorder="1"/>
    <xf numFmtId="167" fontId="0" fillId="2" borderId="0" xfId="0" applyNumberFormat="1" applyFont="1" applyFill="1" applyBorder="1"/>
    <xf numFmtId="170" fontId="65" fillId="2" borderId="19" xfId="104" applyNumberFormat="1" applyFont="1" applyFill="1" applyBorder="1" applyAlignment="1">
      <alignment horizontal="center"/>
    </xf>
    <xf numFmtId="167" fontId="66" fillId="0" borderId="30" xfId="0" applyNumberFormat="1" applyFont="1" applyBorder="1"/>
    <xf numFmtId="167" fontId="66" fillId="0" borderId="21" xfId="0" applyNumberFormat="1" applyFont="1" applyBorder="1"/>
    <xf numFmtId="9" fontId="1" fillId="0" borderId="21" xfId="105" applyFont="1" applyFill="1" applyBorder="1"/>
    <xf numFmtId="174" fontId="67" fillId="0" borderId="31" xfId="0" applyNumberFormat="1" applyFont="1" applyBorder="1"/>
    <xf numFmtId="0" fontId="0" fillId="2" borderId="89" xfId="0" applyFont="1" applyFill="1" applyBorder="1" applyAlignment="1">
      <alignment horizontal="center"/>
    </xf>
    <xf numFmtId="10" fontId="0" fillId="0" borderId="12" xfId="0" applyNumberFormat="1" applyFont="1" applyFill="1" applyBorder="1"/>
    <xf numFmtId="164" fontId="65" fillId="0" borderId="0" xfId="0" applyNumberFormat="1" applyFont="1" applyFill="1" applyBorder="1"/>
    <xf numFmtId="0" fontId="0" fillId="2" borderId="82" xfId="0" applyFont="1" applyFill="1" applyBorder="1" applyAlignment="1">
      <alignment horizontal="center"/>
    </xf>
    <xf numFmtId="0" fontId="0" fillId="2" borderId="85" xfId="0" applyFont="1" applyFill="1" applyBorder="1" applyAlignment="1">
      <alignment horizontal="center"/>
    </xf>
    <xf numFmtId="10" fontId="0" fillId="0" borderId="11" xfId="0" applyNumberFormat="1" applyFont="1" applyFill="1" applyBorder="1"/>
    <xf numFmtId="2" fontId="0" fillId="2" borderId="82" xfId="0" applyNumberFormat="1" applyFont="1" applyFill="1" applyBorder="1" applyAlignment="1">
      <alignment horizontal="center"/>
    </xf>
    <xf numFmtId="166" fontId="0" fillId="0" borderId="86" xfId="0" applyNumberFormat="1" applyFont="1" applyBorder="1" applyAlignment="1">
      <alignment horizontal="center"/>
    </xf>
    <xf numFmtId="2" fontId="0" fillId="2" borderId="88" xfId="0" applyNumberFormat="1" applyFont="1" applyFill="1" applyBorder="1" applyAlignment="1">
      <alignment horizontal="center"/>
    </xf>
    <xf numFmtId="10" fontId="0" fillId="0" borderId="14" xfId="0" applyNumberFormat="1" applyFont="1" applyFill="1" applyBorder="1"/>
    <xf numFmtId="2" fontId="0" fillId="2" borderId="89" xfId="0" applyNumberFormat="1" applyFont="1" applyFill="1" applyBorder="1" applyAlignment="1">
      <alignment horizontal="center"/>
    </xf>
    <xf numFmtId="2" fontId="0" fillId="2" borderId="51" xfId="0" applyNumberFormat="1" applyFont="1" applyFill="1" applyBorder="1" applyAlignment="1">
      <alignment horizontal="center"/>
    </xf>
    <xf numFmtId="2" fontId="0" fillId="2" borderId="81" xfId="0" applyNumberFormat="1" applyFont="1" applyFill="1" applyBorder="1" applyAlignment="1">
      <alignment horizontal="center"/>
    </xf>
    <xf numFmtId="44" fontId="0" fillId="0" borderId="10" xfId="0" applyNumberFormat="1" applyFont="1" applyBorder="1"/>
    <xf numFmtId="44" fontId="0" fillId="0" borderId="13" xfId="0" applyNumberFormat="1" applyFont="1" applyBorder="1"/>
    <xf numFmtId="164" fontId="127" fillId="0" borderId="0" xfId="0" applyNumberFormat="1" applyFont="1" applyFill="1" applyBorder="1" applyAlignment="1">
      <alignment wrapText="1"/>
    </xf>
    <xf numFmtId="174" fontId="2" fillId="0" borderId="25" xfId="0" applyNumberFormat="1" applyFont="1" applyBorder="1"/>
    <xf numFmtId="6" fontId="2" fillId="0" borderId="24" xfId="0" applyNumberFormat="1" applyFont="1" applyBorder="1" applyAlignment="1">
      <alignment horizontal="right"/>
    </xf>
    <xf numFmtId="6" fontId="128" fillId="57" borderId="0" xfId="0" applyNumberFormat="1" applyFont="1" applyFill="1" applyBorder="1" applyAlignment="1">
      <alignment horizontal="right" vertical="center"/>
    </xf>
    <xf numFmtId="10" fontId="11" fillId="0" borderId="0" xfId="63" applyNumberFormat="1" applyFill="1"/>
    <xf numFmtId="10" fontId="128" fillId="0" borderId="3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6" fontId="5" fillId="0" borderId="12" xfId="0" applyNumberFormat="1" applyFont="1" applyBorder="1" applyAlignment="1">
      <alignment horizontal="right" vertical="center"/>
    </xf>
    <xf numFmtId="44" fontId="128" fillId="0" borderId="39" xfId="0" applyNumberFormat="1" applyFont="1" applyBorder="1" applyAlignment="1">
      <alignment horizontal="right" vertical="center"/>
    </xf>
    <xf numFmtId="6" fontId="128" fillId="0" borderId="39" xfId="0" applyNumberFormat="1" applyFont="1" applyBorder="1" applyAlignment="1">
      <alignment horizontal="right" vertical="center"/>
    </xf>
    <xf numFmtId="44" fontId="128" fillId="0" borderId="40" xfId="0" applyNumberFormat="1" applyFont="1" applyBorder="1" applyAlignment="1">
      <alignment horizontal="right" vertical="center"/>
    </xf>
    <xf numFmtId="6" fontId="128" fillId="0" borderId="40" xfId="0" applyNumberFormat="1" applyFont="1" applyBorder="1" applyAlignment="1">
      <alignment horizontal="right" vertical="center"/>
    </xf>
    <xf numFmtId="10" fontId="128" fillId="0" borderId="38" xfId="105" applyNumberFormat="1" applyFont="1" applyBorder="1" applyAlignment="1">
      <alignment horizontal="right" vertical="center"/>
    </xf>
    <xf numFmtId="10" fontId="74" fillId="0" borderId="0" xfId="105" applyNumberFormat="1" applyFont="1"/>
    <xf numFmtId="10" fontId="128" fillId="0" borderId="40" xfId="0" applyNumberFormat="1" applyFont="1" applyBorder="1" applyAlignment="1">
      <alignment horizontal="right" vertical="center"/>
    </xf>
    <xf numFmtId="0" fontId="5" fillId="0" borderId="113" xfId="0" applyFont="1" applyBorder="1" applyAlignment="1">
      <alignment vertical="center"/>
    </xf>
    <xf numFmtId="0" fontId="5" fillId="0" borderId="114" xfId="0" applyFont="1" applyBorder="1" applyAlignment="1">
      <alignment vertical="center"/>
    </xf>
    <xf numFmtId="44" fontId="41" fillId="0" borderId="56" xfId="0" applyNumberFormat="1" applyFont="1" applyBorder="1" applyAlignment="1">
      <alignment horizontal="right" vertical="center"/>
    </xf>
    <xf numFmtId="44" fontId="0" fillId="0" borderId="0" xfId="105" applyNumberFormat="1" applyFont="1"/>
    <xf numFmtId="10" fontId="5" fillId="64" borderId="14" xfId="0" applyNumberFormat="1" applyFont="1" applyFill="1" applyBorder="1" applyAlignment="1">
      <alignment horizontal="right" vertical="center"/>
    </xf>
    <xf numFmtId="10" fontId="5" fillId="0" borderId="14" xfId="0" applyNumberFormat="1" applyFont="1" applyBorder="1" applyAlignment="1">
      <alignment horizontal="right" vertical="center"/>
    </xf>
    <xf numFmtId="44" fontId="5" fillId="0" borderId="14" xfId="0" applyNumberFormat="1" applyFont="1" applyBorder="1" applyAlignment="1">
      <alignment horizontal="right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2" fontId="106" fillId="0" borderId="0" xfId="63" applyNumberFormat="1" applyFont="1" applyFill="1" applyAlignment="1">
      <alignment wrapText="1"/>
    </xf>
    <xf numFmtId="0" fontId="107" fillId="0" borderId="0" xfId="65" applyFont="1" applyFill="1" applyBorder="1" applyAlignment="1">
      <alignment wrapText="1"/>
    </xf>
    <xf numFmtId="10" fontId="128" fillId="0" borderId="38" xfId="0" applyNumberFormat="1" applyFont="1" applyFill="1" applyBorder="1" applyAlignment="1">
      <alignment horizontal="right" vertical="center"/>
    </xf>
    <xf numFmtId="10" fontId="128" fillId="0" borderId="39" xfId="0" applyNumberFormat="1" applyFont="1" applyFill="1" applyBorder="1" applyAlignment="1">
      <alignment horizontal="right" vertical="center"/>
    </xf>
    <xf numFmtId="6" fontId="2" fillId="0" borderId="39" xfId="0" applyNumberFormat="1" applyFont="1" applyBorder="1"/>
    <xf numFmtId="6" fontId="2" fillId="0" borderId="40" xfId="0" applyNumberFormat="1" applyFont="1" applyBorder="1"/>
    <xf numFmtId="6" fontId="128" fillId="0" borderId="0" xfId="0" applyNumberFormat="1" applyFont="1" applyBorder="1" applyAlignment="1">
      <alignment horizontal="right" vertical="center"/>
    </xf>
    <xf numFmtId="6" fontId="5" fillId="0" borderId="115" xfId="0" applyNumberFormat="1" applyFont="1" applyBorder="1" applyAlignment="1">
      <alignment horizontal="right" vertical="center"/>
    </xf>
    <xf numFmtId="6" fontId="5" fillId="0" borderId="13" xfId="0" applyNumberFormat="1" applyFont="1" applyBorder="1" applyAlignment="1">
      <alignment horizontal="right" vertical="center"/>
    </xf>
    <xf numFmtId="6" fontId="5" fillId="0" borderId="116" xfId="0" applyNumberFormat="1" applyFont="1" applyBorder="1" applyAlignment="1">
      <alignment horizontal="right" vertical="center"/>
    </xf>
    <xf numFmtId="44" fontId="128" fillId="0" borderId="117" xfId="0" applyNumberFormat="1" applyFont="1" applyBorder="1" applyAlignment="1">
      <alignment horizontal="right" vertical="center"/>
    </xf>
    <xf numFmtId="6" fontId="128" fillId="0" borderId="118" xfId="0" applyNumberFormat="1" applyFont="1" applyBorder="1" applyAlignment="1">
      <alignment horizontal="right" vertical="center"/>
    </xf>
    <xf numFmtId="44" fontId="128" fillId="0" borderId="119" xfId="0" applyNumberFormat="1" applyFont="1" applyBorder="1" applyAlignment="1">
      <alignment horizontal="right" vertical="center"/>
    </xf>
    <xf numFmtId="44" fontId="128" fillId="0" borderId="120" xfId="0" applyNumberFormat="1" applyFont="1" applyBorder="1" applyAlignment="1">
      <alignment horizontal="right" vertical="center"/>
    </xf>
    <xf numFmtId="6" fontId="128" fillId="0" borderId="116" xfId="0" applyNumberFormat="1" applyFont="1" applyBorder="1" applyAlignment="1">
      <alignment horizontal="right" vertical="center"/>
    </xf>
    <xf numFmtId="44" fontId="2" fillId="0" borderId="0" xfId="0" applyNumberFormat="1" applyFont="1"/>
    <xf numFmtId="6" fontId="2" fillId="0" borderId="122" xfId="0" applyNumberFormat="1" applyFont="1" applyBorder="1"/>
    <xf numFmtId="6" fontId="2" fillId="0" borderId="114" xfId="0" applyNumberFormat="1" applyFont="1" applyBorder="1"/>
    <xf numFmtId="0" fontId="2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0" fontId="40" fillId="0" borderId="0" xfId="0" applyNumberFormat="1" applyFont="1" applyBorder="1"/>
    <xf numFmtId="170" fontId="2" fillId="0" borderId="0" xfId="104" applyNumberFormat="1" applyFont="1" applyBorder="1" applyAlignment="1">
      <alignment horizontal="center"/>
    </xf>
    <xf numFmtId="170" fontId="2" fillId="0" borderId="21" xfId="104" applyNumberFormat="1" applyFont="1" applyBorder="1" applyAlignment="1">
      <alignment horizontal="center"/>
    </xf>
    <xf numFmtId="170" fontId="2" fillId="0" borderId="0" xfId="105" applyNumberFormat="1" applyFont="1" applyBorder="1" applyAlignment="1">
      <alignment horizontal="center"/>
    </xf>
    <xf numFmtId="6" fontId="40" fillId="0" borderId="95" xfId="0" applyNumberFormat="1" applyFont="1" applyFill="1" applyBorder="1"/>
    <xf numFmtId="6" fontId="39" fillId="0" borderId="95" xfId="0" applyNumberFormat="1" applyFont="1" applyFill="1" applyBorder="1"/>
    <xf numFmtId="0" fontId="92" fillId="0" borderId="0" xfId="0" applyFont="1" applyBorder="1"/>
    <xf numFmtId="0" fontId="39" fillId="0" borderId="0" xfId="0" applyFont="1" applyBorder="1"/>
    <xf numFmtId="6" fontId="40" fillId="0" borderId="0" xfId="0" applyNumberFormat="1" applyFont="1" applyFill="1" applyBorder="1"/>
    <xf numFmtId="6" fontId="40" fillId="2" borderId="38" xfId="0" applyNumberFormat="1" applyFont="1" applyFill="1" applyBorder="1"/>
    <xf numFmtId="170" fontId="2" fillId="0" borderId="0" xfId="0" applyNumberFormat="1" applyFont="1"/>
    <xf numFmtId="170" fontId="2" fillId="0" borderId="0" xfId="0" applyNumberFormat="1" applyFont="1" applyBorder="1"/>
    <xf numFmtId="170" fontId="2" fillId="0" borderId="0" xfId="104" applyNumberFormat="1" applyFont="1"/>
    <xf numFmtId="6" fontId="41" fillId="0" borderId="13" xfId="0" applyNumberFormat="1" applyFont="1" applyBorder="1" applyAlignment="1">
      <alignment horizontal="right" vertical="center"/>
    </xf>
    <xf numFmtId="6" fontId="2" fillId="0" borderId="13" xfId="0" applyNumberFormat="1" applyFont="1" applyBorder="1"/>
    <xf numFmtId="170" fontId="41" fillId="0" borderId="0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6" fontId="5" fillId="0" borderId="10" xfId="0" applyNumberFormat="1" applyFont="1" applyBorder="1" applyAlignment="1">
      <alignment horizontal="right" vertical="center"/>
    </xf>
    <xf numFmtId="0" fontId="40" fillId="0" borderId="26" xfId="0" applyFont="1" applyBorder="1" applyAlignment="1">
      <alignment vertical="center"/>
    </xf>
    <xf numFmtId="6" fontId="40" fillId="0" borderId="24" xfId="0" applyNumberFormat="1" applyFont="1" applyBorder="1"/>
    <xf numFmtId="6" fontId="40" fillId="2" borderId="24" xfId="0" applyNumberFormat="1" applyFont="1" applyFill="1" applyBorder="1"/>
    <xf numFmtId="8" fontId="2" fillId="0" borderId="14" xfId="0" applyNumberFormat="1" applyFont="1" applyBorder="1"/>
    <xf numFmtId="6" fontId="92" fillId="0" borderId="12" xfId="0" applyNumberFormat="1" applyFont="1" applyBorder="1"/>
    <xf numFmtId="6" fontId="2" fillId="0" borderId="0" xfId="104" applyNumberFormat="1" applyFont="1" applyBorder="1" applyAlignment="1">
      <alignment horizontal="center"/>
    </xf>
    <xf numFmtId="6" fontId="128" fillId="0" borderId="0" xfId="0" applyNumberFormat="1" applyFont="1" applyFill="1" applyBorder="1" applyAlignment="1">
      <alignment horizontal="right" vertical="center"/>
    </xf>
    <xf numFmtId="6" fontId="40" fillId="0" borderId="13" xfId="0" applyNumberFormat="1" applyFont="1" applyBorder="1"/>
    <xf numFmtId="6" fontId="128" fillId="0" borderId="13" xfId="0" applyNumberFormat="1" applyFont="1" applyBorder="1" applyAlignment="1">
      <alignment horizontal="right" vertical="center"/>
    </xf>
    <xf numFmtId="44" fontId="67" fillId="0" borderId="0" xfId="104" applyFont="1"/>
    <xf numFmtId="8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8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8" fontId="5" fillId="0" borderId="24" xfId="0" applyNumberFormat="1" applyFont="1" applyBorder="1" applyAlignment="1">
      <alignment horizontal="center" vertical="center" wrapText="1"/>
    </xf>
    <xf numFmtId="8" fontId="2" fillId="0" borderId="24" xfId="0" applyNumberFormat="1" applyFont="1" applyBorder="1" applyAlignment="1">
      <alignment horizontal="center" vertical="center" wrapText="1"/>
    </xf>
    <xf numFmtId="6" fontId="5" fillId="0" borderId="13" xfId="0" applyNumberFormat="1" applyFont="1" applyBorder="1" applyAlignment="1">
      <alignment horizontal="center" vertical="center" wrapText="1"/>
    </xf>
    <xf numFmtId="8" fontId="2" fillId="0" borderId="37" xfId="0" applyNumberFormat="1" applyFont="1" applyBorder="1" applyAlignment="1">
      <alignment horizontal="center" vertical="center" wrapText="1"/>
    </xf>
    <xf numFmtId="44" fontId="2" fillId="0" borderId="36" xfId="104" applyFont="1" applyBorder="1"/>
    <xf numFmtId="44" fontId="2" fillId="0" borderId="36" xfId="104" applyNumberFormat="1" applyFont="1" applyBorder="1"/>
    <xf numFmtId="44" fontId="2" fillId="0" borderId="38" xfId="104" applyFont="1" applyBorder="1"/>
    <xf numFmtId="8" fontId="2" fillId="0" borderId="38" xfId="104" applyNumberFormat="1" applyFont="1" applyBorder="1"/>
    <xf numFmtId="44" fontId="2" fillId="0" borderId="38" xfId="104" applyNumberFormat="1" applyFont="1" applyBorder="1"/>
    <xf numFmtId="0" fontId="5" fillId="0" borderId="24" xfId="69" applyFont="1" applyFill="1" applyBorder="1"/>
    <xf numFmtId="37" fontId="5" fillId="0" borderId="24" xfId="46" applyNumberFormat="1" applyFont="1" applyFill="1" applyBorder="1" applyAlignment="1">
      <alignment horizontal="center"/>
    </xf>
    <xf numFmtId="10" fontId="67" fillId="0" borderId="0" xfId="107" applyNumberFormat="1" applyFont="1" applyFill="1" applyAlignment="1">
      <alignment horizontal="center"/>
    </xf>
    <xf numFmtId="44" fontId="67" fillId="0" borderId="0" xfId="104" applyFont="1" applyFill="1"/>
    <xf numFmtId="2" fontId="2" fillId="0" borderId="0" xfId="105" applyNumberFormat="1" applyFont="1" applyFill="1"/>
    <xf numFmtId="0" fontId="29" fillId="26" borderId="10" xfId="63" applyFont="1" applyFill="1" applyBorder="1" applyAlignment="1">
      <alignment horizontal="left"/>
    </xf>
    <xf numFmtId="0" fontId="29" fillId="26" borderId="11" xfId="63" applyFont="1" applyFill="1" applyBorder="1" applyAlignment="1">
      <alignment horizontal="left"/>
    </xf>
    <xf numFmtId="0" fontId="30" fillId="2" borderId="0" xfId="63" applyFont="1" applyFill="1" applyBorder="1" applyAlignment="1">
      <alignment horizontal="left"/>
    </xf>
    <xf numFmtId="0" fontId="30" fillId="2" borderId="12" xfId="63" applyFont="1" applyFill="1" applyBorder="1" applyAlignment="1">
      <alignment horizontal="left"/>
    </xf>
    <xf numFmtId="0" fontId="32" fillId="26" borderId="13" xfId="63" applyFont="1" applyFill="1" applyBorder="1" applyAlignment="1">
      <alignment horizontal="left"/>
    </xf>
    <xf numFmtId="0" fontId="32" fillId="26" borderId="14" xfId="63" applyFont="1" applyFill="1" applyBorder="1" applyAlignment="1">
      <alignment horizontal="left"/>
    </xf>
    <xf numFmtId="0" fontId="39" fillId="25" borderId="23" xfId="0" applyFont="1" applyFill="1" applyBorder="1" applyAlignment="1">
      <alignment horizontal="center" vertical="center"/>
    </xf>
    <xf numFmtId="0" fontId="39" fillId="25" borderId="24" xfId="0" applyFont="1" applyFill="1" applyBorder="1" applyAlignment="1">
      <alignment horizontal="center" vertical="center"/>
    </xf>
    <xf numFmtId="0" fontId="39" fillId="25" borderId="25" xfId="0" applyFont="1" applyFill="1" applyBorder="1" applyAlignment="1">
      <alignment horizontal="center" vertical="center"/>
    </xf>
    <xf numFmtId="0" fontId="39" fillId="25" borderId="23" xfId="0" applyFont="1" applyFill="1" applyBorder="1" applyAlignment="1">
      <alignment horizontal="center"/>
    </xf>
    <xf numFmtId="0" fontId="39" fillId="25" borderId="24" xfId="0" applyFont="1" applyFill="1" applyBorder="1" applyAlignment="1">
      <alignment horizontal="center"/>
    </xf>
    <xf numFmtId="0" fontId="39" fillId="25" borderId="25" xfId="0" applyFont="1" applyFill="1" applyBorder="1" applyAlignment="1">
      <alignment horizontal="center"/>
    </xf>
    <xf numFmtId="167" fontId="4" fillId="0" borderId="27" xfId="0" applyNumberFormat="1" applyFont="1" applyBorder="1" applyAlignment="1">
      <alignment horizontal="center"/>
    </xf>
    <xf numFmtId="167" fontId="4" fillId="0" borderId="2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7" fontId="4" fillId="0" borderId="30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1" fillId="0" borderId="30" xfId="0" applyNumberFormat="1" applyFont="1" applyBorder="1" applyAlignment="1">
      <alignment horizontal="center" vertical="center"/>
    </xf>
    <xf numFmtId="167" fontId="41" fillId="0" borderId="21" xfId="0" applyNumberFormat="1" applyFont="1" applyBorder="1" applyAlignment="1">
      <alignment horizontal="center" vertical="center"/>
    </xf>
    <xf numFmtId="167" fontId="41" fillId="0" borderId="31" xfId="0" applyNumberFormat="1" applyFont="1" applyBorder="1" applyAlignment="1">
      <alignment horizontal="center" vertical="center"/>
    </xf>
    <xf numFmtId="0" fontId="65" fillId="38" borderId="37" xfId="0" applyFont="1" applyFill="1" applyBorder="1" applyAlignment="1">
      <alignment horizontal="center" wrapText="1"/>
    </xf>
    <xf numFmtId="0" fontId="65" fillId="38" borderId="10" xfId="0" applyFont="1" applyFill="1" applyBorder="1" applyAlignment="1">
      <alignment horizontal="center" wrapText="1"/>
    </xf>
    <xf numFmtId="0" fontId="65" fillId="38" borderId="11" xfId="0" applyFont="1" applyFill="1" applyBorder="1" applyAlignment="1">
      <alignment horizontal="center" wrapText="1"/>
    </xf>
    <xf numFmtId="0" fontId="65" fillId="41" borderId="37" xfId="0" applyFont="1" applyFill="1" applyBorder="1" applyAlignment="1">
      <alignment horizontal="center" wrapText="1"/>
    </xf>
    <xf numFmtId="0" fontId="65" fillId="41" borderId="10" xfId="0" applyFont="1" applyFill="1" applyBorder="1" applyAlignment="1">
      <alignment horizontal="center" wrapText="1"/>
    </xf>
    <xf numFmtId="0" fontId="65" fillId="41" borderId="11" xfId="0" applyFont="1" applyFill="1" applyBorder="1" applyAlignment="1">
      <alignment horizontal="center" wrapText="1"/>
    </xf>
    <xf numFmtId="0" fontId="46" fillId="35" borderId="23" xfId="69" applyFont="1" applyFill="1" applyBorder="1" applyAlignment="1">
      <alignment horizontal="center"/>
    </xf>
    <xf numFmtId="0" fontId="46" fillId="35" borderId="24" xfId="69" applyFont="1" applyFill="1" applyBorder="1" applyAlignment="1">
      <alignment horizontal="center"/>
    </xf>
    <xf numFmtId="0" fontId="46" fillId="35" borderId="25" xfId="69" applyFont="1" applyFill="1" applyBorder="1" applyAlignment="1">
      <alignment horizontal="center"/>
    </xf>
    <xf numFmtId="0" fontId="46" fillId="0" borderId="47" xfId="69" applyFont="1" applyFill="1" applyBorder="1" applyAlignment="1">
      <alignment horizontal="right"/>
    </xf>
    <xf numFmtId="0" fontId="30" fillId="2" borderId="37" xfId="65" applyFont="1" applyFill="1" applyBorder="1" applyAlignment="1">
      <alignment horizontal="center"/>
    </xf>
    <xf numFmtId="0" fontId="30" fillId="2" borderId="10" xfId="65" applyFont="1" applyFill="1" applyBorder="1" applyAlignment="1">
      <alignment horizontal="center"/>
    </xf>
    <xf numFmtId="0" fontId="30" fillId="2" borderId="11" xfId="65" applyFont="1" applyFill="1" applyBorder="1" applyAlignment="1">
      <alignment horizontal="center"/>
    </xf>
    <xf numFmtId="0" fontId="31" fillId="2" borderId="13" xfId="65" applyFont="1" applyFill="1" applyBorder="1" applyAlignment="1">
      <alignment horizontal="right"/>
    </xf>
    <xf numFmtId="0" fontId="39" fillId="25" borderId="10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0" fillId="0" borderId="0" xfId="63" applyFont="1" applyFill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34" fillId="48" borderId="23" xfId="0" applyFont="1" applyFill="1" applyBorder="1" applyAlignment="1">
      <alignment horizontal="center"/>
    </xf>
    <xf numFmtId="0" fontId="34" fillId="48" borderId="24" xfId="0" applyFont="1" applyFill="1" applyBorder="1" applyAlignment="1">
      <alignment horizontal="center"/>
    </xf>
    <xf numFmtId="0" fontId="34" fillId="48" borderId="25" xfId="0" applyFont="1" applyFill="1" applyBorder="1" applyAlignment="1">
      <alignment horizontal="center"/>
    </xf>
    <xf numFmtId="167" fontId="67" fillId="0" borderId="18" xfId="0" applyNumberFormat="1" applyFont="1" applyFill="1" applyBorder="1" applyAlignment="1">
      <alignment horizontal="left" wrapText="1"/>
    </xf>
    <xf numFmtId="167" fontId="67" fillId="0" borderId="0" xfId="0" applyNumberFormat="1" applyFont="1" applyFill="1" applyBorder="1" applyAlignment="1">
      <alignment horizontal="left" wrapText="1"/>
    </xf>
    <xf numFmtId="167" fontId="67" fillId="0" borderId="12" xfId="0" applyNumberFormat="1" applyFont="1" applyFill="1" applyBorder="1" applyAlignment="1">
      <alignment horizontal="left" wrapText="1"/>
    </xf>
    <xf numFmtId="0" fontId="34" fillId="2" borderId="39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40" xfId="0" applyFont="1" applyFill="1" applyBorder="1" applyAlignment="1">
      <alignment horizontal="center" vertical="center" wrapText="1"/>
    </xf>
    <xf numFmtId="0" fontId="34" fillId="48" borderId="37" xfId="0" applyFont="1" applyFill="1" applyBorder="1" applyAlignment="1">
      <alignment horizontal="center"/>
    </xf>
    <xf numFmtId="0" fontId="34" fillId="48" borderId="10" xfId="0" applyFont="1" applyFill="1" applyBorder="1" applyAlignment="1">
      <alignment horizontal="center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 wrapText="1"/>
    </xf>
    <xf numFmtId="164" fontId="127" fillId="0" borderId="0" xfId="0" applyNumberFormat="1" applyFont="1" applyFill="1" applyBorder="1" applyAlignment="1">
      <alignment horizontal="center" wrapText="1"/>
    </xf>
    <xf numFmtId="3" fontId="81" fillId="47" borderId="78" xfId="0" applyNumberFormat="1" applyFont="1" applyFill="1" applyBorder="1" applyAlignment="1">
      <alignment horizontal="center" vertical="center"/>
    </xf>
    <xf numFmtId="3" fontId="81" fillId="47" borderId="10" xfId="0" applyNumberFormat="1" applyFont="1" applyFill="1" applyBorder="1" applyAlignment="1">
      <alignment horizontal="center" vertical="center"/>
    </xf>
    <xf numFmtId="3" fontId="81" fillId="47" borderId="11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167" fontId="65" fillId="48" borderId="23" xfId="0" applyNumberFormat="1" applyFont="1" applyFill="1" applyBorder="1" applyAlignment="1">
      <alignment horizontal="center" vertical="center"/>
    </xf>
    <xf numFmtId="167" fontId="65" fillId="48" borderId="24" xfId="0" applyNumberFormat="1" applyFont="1" applyFill="1" applyBorder="1" applyAlignment="1">
      <alignment horizontal="center" vertical="center"/>
    </xf>
    <xf numFmtId="167" fontId="65" fillId="48" borderId="25" xfId="0" applyNumberFormat="1" applyFont="1" applyFill="1" applyBorder="1" applyAlignment="1">
      <alignment horizontal="center" vertical="center"/>
    </xf>
    <xf numFmtId="0" fontId="39" fillId="31" borderId="27" xfId="65" applyFont="1" applyFill="1" applyBorder="1" applyAlignment="1">
      <alignment horizontal="center"/>
    </xf>
    <xf numFmtId="0" fontId="39" fillId="31" borderId="77" xfId="65" applyFont="1" applyFill="1" applyBorder="1" applyAlignment="1">
      <alignment horizontal="center"/>
    </xf>
    <xf numFmtId="0" fontId="39" fillId="31" borderId="54" xfId="65" applyFont="1" applyFill="1" applyBorder="1" applyAlignment="1">
      <alignment horizontal="center"/>
    </xf>
    <xf numFmtId="0" fontId="39" fillId="31" borderId="16" xfId="65" applyFont="1" applyFill="1" applyBorder="1" applyAlignment="1">
      <alignment horizontal="center"/>
    </xf>
    <xf numFmtId="0" fontId="118" fillId="0" borderId="0" xfId="113" applyFont="1" applyAlignment="1">
      <alignment horizontal="center" vertical="center"/>
    </xf>
    <xf numFmtId="0" fontId="39" fillId="38" borderId="37" xfId="114" applyFont="1" applyFill="1" applyBorder="1" applyAlignment="1">
      <alignment horizontal="center" vertical="center"/>
    </xf>
    <xf numFmtId="0" fontId="39" fillId="38" borderId="10" xfId="114" applyFont="1" applyFill="1" applyBorder="1" applyAlignment="1">
      <alignment horizontal="center" vertical="center"/>
    </xf>
    <xf numFmtId="0" fontId="39" fillId="38" borderId="11" xfId="114" applyFont="1" applyFill="1" applyBorder="1" applyAlignment="1">
      <alignment horizontal="center" vertical="center"/>
    </xf>
    <xf numFmtId="0" fontId="44" fillId="0" borderId="0" xfId="114" applyFont="1" applyFill="1" applyBorder="1" applyAlignment="1">
      <alignment horizontal="center"/>
    </xf>
    <xf numFmtId="0" fontId="108" fillId="45" borderId="23" xfId="65" applyFont="1" applyFill="1" applyBorder="1" applyAlignment="1">
      <alignment horizontal="center"/>
    </xf>
    <xf numFmtId="0" fontId="108" fillId="45" borderId="24" xfId="65" applyFont="1" applyFill="1" applyBorder="1" applyAlignment="1">
      <alignment horizontal="center"/>
    </xf>
    <xf numFmtId="0" fontId="108" fillId="45" borderId="25" xfId="65" applyFont="1" applyFill="1" applyBorder="1" applyAlignment="1">
      <alignment horizontal="center"/>
    </xf>
    <xf numFmtId="0" fontId="39" fillId="31" borderId="46" xfId="65" applyFont="1" applyFill="1" applyBorder="1" applyAlignment="1">
      <alignment horizontal="center"/>
    </xf>
    <xf numFmtId="0" fontId="39" fillId="31" borderId="98" xfId="65" applyFont="1" applyFill="1" applyBorder="1" applyAlignment="1">
      <alignment horizontal="center"/>
    </xf>
    <xf numFmtId="0" fontId="39" fillId="31" borderId="99" xfId="65" applyFont="1" applyFill="1" applyBorder="1" applyAlignment="1">
      <alignment horizontal="center"/>
    </xf>
    <xf numFmtId="0" fontId="39" fillId="31" borderId="47" xfId="65" applyFont="1" applyFill="1" applyBorder="1" applyAlignment="1">
      <alignment horizontal="center"/>
    </xf>
    <xf numFmtId="0" fontId="39" fillId="31" borderId="65" xfId="65" applyFont="1" applyFill="1" applyBorder="1" applyAlignment="1">
      <alignment horizontal="center"/>
    </xf>
    <xf numFmtId="44" fontId="0" fillId="0" borderId="0" xfId="104" applyFont="1" applyAlignment="1">
      <alignment horizontal="center"/>
    </xf>
    <xf numFmtId="0" fontId="0" fillId="48" borderId="18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4" borderId="18" xfId="0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0" fillId="62" borderId="18" xfId="0" applyFill="1" applyBorder="1" applyAlignment="1">
      <alignment horizontal="center"/>
    </xf>
    <xf numFmtId="0" fontId="0" fillId="62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34" fillId="48" borderId="0" xfId="0" applyFont="1" applyFill="1" applyBorder="1" applyAlignment="1">
      <alignment horizontal="center" wrapText="1"/>
    </xf>
    <xf numFmtId="0" fontId="34" fillId="48" borderId="13" xfId="0" applyFont="1" applyFill="1" applyBorder="1" applyAlignment="1">
      <alignment horizontal="center" wrapText="1"/>
    </xf>
    <xf numFmtId="0" fontId="34" fillId="44" borderId="12" xfId="0" applyFont="1" applyFill="1" applyBorder="1" applyAlignment="1">
      <alignment horizontal="center" wrapText="1"/>
    </xf>
    <xf numFmtId="0" fontId="34" fillId="44" borderId="14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167" fontId="67" fillId="2" borderId="18" xfId="0" applyNumberFormat="1" applyFont="1" applyFill="1" applyBorder="1" applyAlignment="1">
      <alignment horizontal="left" wrapText="1"/>
    </xf>
    <xf numFmtId="167" fontId="67" fillId="2" borderId="0" xfId="0" applyNumberFormat="1" applyFont="1" applyFill="1" applyBorder="1" applyAlignment="1">
      <alignment horizontal="left" wrapText="1"/>
    </xf>
    <xf numFmtId="167" fontId="67" fillId="2" borderId="12" xfId="0" applyNumberFormat="1" applyFont="1" applyFill="1" applyBorder="1" applyAlignment="1">
      <alignment horizontal="left" wrapText="1"/>
    </xf>
    <xf numFmtId="0" fontId="108" fillId="46" borderId="23" xfId="69" applyFont="1" applyFill="1" applyBorder="1" applyAlignment="1">
      <alignment horizontal="center"/>
    </xf>
    <xf numFmtId="0" fontId="108" fillId="46" borderId="24" xfId="69" applyFont="1" applyFill="1" applyBorder="1" applyAlignment="1">
      <alignment horizontal="center"/>
    </xf>
    <xf numFmtId="0" fontId="108" fillId="46" borderId="25" xfId="69" applyFont="1" applyFill="1" applyBorder="1" applyAlignment="1">
      <alignment horizontal="center"/>
    </xf>
    <xf numFmtId="0" fontId="41" fillId="0" borderId="47" xfId="69" applyFont="1" applyFill="1" applyBorder="1" applyAlignment="1">
      <alignment horizontal="right"/>
    </xf>
    <xf numFmtId="0" fontId="4" fillId="0" borderId="0" xfId="65" applyFont="1" applyFill="1" applyBorder="1" applyAlignment="1">
      <alignment horizontal="center"/>
    </xf>
    <xf numFmtId="0" fontId="39" fillId="0" borderId="0" xfId="65" applyFont="1" applyFill="1" applyBorder="1" applyAlignment="1">
      <alignment horizontal="center" vertical="center"/>
    </xf>
    <xf numFmtId="0" fontId="39" fillId="0" borderId="13" xfId="65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2" fontId="40" fillId="0" borderId="0" xfId="0" applyNumberFormat="1" applyFont="1" applyFill="1" applyAlignment="1">
      <alignment horizontal="center"/>
    </xf>
    <xf numFmtId="0" fontId="39" fillId="29" borderId="23" xfId="0" applyFont="1" applyFill="1" applyBorder="1" applyAlignment="1">
      <alignment horizontal="center"/>
    </xf>
    <xf numFmtId="0" fontId="39" fillId="29" borderId="24" xfId="0" applyFont="1" applyFill="1" applyBorder="1" applyAlignment="1">
      <alignment horizontal="center"/>
    </xf>
    <xf numFmtId="0" fontId="39" fillId="29" borderId="25" xfId="0" applyFont="1" applyFill="1" applyBorder="1" applyAlignment="1">
      <alignment horizontal="center"/>
    </xf>
    <xf numFmtId="0" fontId="39" fillId="34" borderId="23" xfId="0" applyFont="1" applyFill="1" applyBorder="1" applyAlignment="1">
      <alignment horizontal="center"/>
    </xf>
    <xf numFmtId="0" fontId="39" fillId="34" borderId="24" xfId="0" applyFont="1" applyFill="1" applyBorder="1" applyAlignment="1">
      <alignment horizontal="center"/>
    </xf>
    <xf numFmtId="0" fontId="39" fillId="34" borderId="25" xfId="0" applyFont="1" applyFill="1" applyBorder="1" applyAlignment="1">
      <alignment horizontal="center"/>
    </xf>
    <xf numFmtId="0" fontId="39" fillId="29" borderId="23" xfId="0" applyFont="1" applyFill="1" applyBorder="1" applyAlignment="1">
      <alignment horizontal="center" vertical="center"/>
    </xf>
    <xf numFmtId="0" fontId="39" fillId="29" borderId="24" xfId="0" applyFont="1" applyFill="1" applyBorder="1" applyAlignment="1">
      <alignment horizontal="center" vertical="center"/>
    </xf>
    <xf numFmtId="0" fontId="39" fillId="29" borderId="25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4" fillId="30" borderId="37" xfId="0" applyFont="1" applyFill="1" applyBorder="1" applyAlignment="1">
      <alignment horizontal="center" vertical="center"/>
    </xf>
    <xf numFmtId="0" fontId="34" fillId="30" borderId="10" xfId="0" applyFont="1" applyFill="1" applyBorder="1" applyAlignment="1">
      <alignment horizontal="center" vertical="center"/>
    </xf>
    <xf numFmtId="0" fontId="34" fillId="30" borderId="11" xfId="0" applyFont="1" applyFill="1" applyBorder="1" applyAlignment="1">
      <alignment horizontal="center" vertical="center"/>
    </xf>
    <xf numFmtId="0" fontId="34" fillId="33" borderId="23" xfId="0" applyNumberFormat="1" applyFont="1" applyFill="1" applyBorder="1" applyAlignment="1" applyProtection="1">
      <alignment horizontal="center"/>
    </xf>
    <xf numFmtId="0" fontId="34" fillId="33" borderId="24" xfId="0" applyNumberFormat="1" applyFont="1" applyFill="1" applyBorder="1" applyAlignment="1" applyProtection="1">
      <alignment horizontal="center"/>
    </xf>
    <xf numFmtId="0" fontId="34" fillId="33" borderId="25" xfId="0" applyNumberFormat="1" applyFont="1" applyFill="1" applyBorder="1" applyAlignment="1" applyProtection="1">
      <alignment horizontal="center"/>
    </xf>
    <xf numFmtId="167" fontId="78" fillId="0" borderId="23" xfId="0" applyNumberFormat="1" applyFont="1" applyBorder="1" applyAlignment="1">
      <alignment horizontal="center" vertical="center"/>
    </xf>
    <xf numFmtId="167" fontId="78" fillId="0" borderId="24" xfId="0" applyNumberFormat="1" applyFont="1" applyBorder="1" applyAlignment="1">
      <alignment horizontal="center" vertical="center"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46" xfId="0" applyFont="1" applyBorder="1" applyAlignment="1">
      <alignment horizontal="center"/>
    </xf>
    <xf numFmtId="0" fontId="78" fillId="0" borderId="47" xfId="0" applyFont="1" applyBorder="1" applyAlignment="1">
      <alignment horizontal="center"/>
    </xf>
    <xf numFmtId="0" fontId="78" fillId="0" borderId="65" xfId="0" applyFont="1" applyBorder="1" applyAlignment="1">
      <alignment horizontal="center"/>
    </xf>
    <xf numFmtId="0" fontId="40" fillId="30" borderId="23" xfId="0" applyFont="1" applyFill="1" applyBorder="1" applyAlignment="1">
      <alignment horizontal="center" vertical="center"/>
    </xf>
    <xf numFmtId="0" fontId="40" fillId="30" borderId="24" xfId="0" applyFont="1" applyFill="1" applyBorder="1" applyAlignment="1">
      <alignment horizontal="center" vertical="center"/>
    </xf>
    <xf numFmtId="0" fontId="40" fillId="30" borderId="25" xfId="0" applyFont="1" applyFill="1" applyBorder="1" applyAlignment="1">
      <alignment horizontal="center" vertical="center"/>
    </xf>
    <xf numFmtId="0" fontId="4" fillId="0" borderId="0" xfId="107" applyFont="1" applyFill="1" applyBorder="1" applyAlignment="1">
      <alignment horizontal="center"/>
    </xf>
    <xf numFmtId="0" fontId="96" fillId="63" borderId="23" xfId="66" applyFont="1" applyFill="1" applyBorder="1" applyAlignment="1">
      <alignment horizontal="center"/>
    </xf>
    <xf numFmtId="0" fontId="96" fillId="63" borderId="24" xfId="66" applyFont="1" applyFill="1" applyBorder="1" applyAlignment="1">
      <alignment horizontal="center"/>
    </xf>
    <xf numFmtId="0" fontId="96" fillId="63" borderId="25" xfId="66" applyFont="1" applyFill="1" applyBorder="1" applyAlignment="1">
      <alignment horizontal="center"/>
    </xf>
    <xf numFmtId="0" fontId="96" fillId="63" borderId="62" xfId="66" applyFont="1" applyFill="1" applyBorder="1" applyAlignment="1">
      <alignment horizontal="center"/>
    </xf>
    <xf numFmtId="0" fontId="96" fillId="63" borderId="63" xfId="66" applyFont="1" applyFill="1" applyBorder="1" applyAlignment="1">
      <alignment horizontal="center"/>
    </xf>
    <xf numFmtId="0" fontId="96" fillId="63" borderId="64" xfId="66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0" fillId="50" borderId="23" xfId="0" applyFont="1" applyFill="1" applyBorder="1" applyAlignment="1">
      <alignment horizontal="center"/>
    </xf>
    <xf numFmtId="0" fontId="40" fillId="50" borderId="24" xfId="0" applyFont="1" applyFill="1" applyBorder="1" applyAlignment="1">
      <alignment horizontal="center"/>
    </xf>
    <xf numFmtId="0" fontId="40" fillId="50" borderId="25" xfId="0" applyFont="1" applyFill="1" applyBorder="1" applyAlignment="1">
      <alignment horizontal="center"/>
    </xf>
    <xf numFmtId="0" fontId="4" fillId="0" borderId="26" xfId="107" applyFont="1" applyBorder="1" applyAlignment="1">
      <alignment horizontal="center"/>
    </xf>
    <xf numFmtId="0" fontId="4" fillId="0" borderId="19" xfId="107" applyFont="1" applyBorder="1" applyAlignment="1">
      <alignment horizontal="center"/>
    </xf>
    <xf numFmtId="0" fontId="4" fillId="0" borderId="46" xfId="107" applyFont="1" applyBorder="1" applyAlignment="1">
      <alignment horizontal="right" wrapText="1"/>
    </xf>
    <xf numFmtId="0" fontId="4" fillId="0" borderId="47" xfId="107" applyFont="1" applyBorder="1" applyAlignment="1">
      <alignment horizontal="right" wrapText="1"/>
    </xf>
    <xf numFmtId="0" fontId="4" fillId="0" borderId="0" xfId="107" applyFont="1" applyBorder="1" applyAlignment="1">
      <alignment horizontal="center"/>
    </xf>
    <xf numFmtId="0" fontId="4" fillId="0" borderId="12" xfId="107" applyFont="1" applyBorder="1" applyAlignment="1">
      <alignment horizontal="center"/>
    </xf>
    <xf numFmtId="0" fontId="39" fillId="0" borderId="23" xfId="107" applyFont="1" applyBorder="1" applyAlignment="1">
      <alignment horizontal="center"/>
    </xf>
    <xf numFmtId="0" fontId="39" fillId="0" borderId="24" xfId="107" applyFont="1" applyBorder="1" applyAlignment="1">
      <alignment horizontal="center"/>
    </xf>
    <xf numFmtId="0" fontId="39" fillId="0" borderId="25" xfId="107" applyFont="1" applyBorder="1" applyAlignment="1">
      <alignment horizontal="center"/>
    </xf>
    <xf numFmtId="0" fontId="65" fillId="0" borderId="24" xfId="107" applyFont="1" applyBorder="1" applyAlignment="1">
      <alignment horizontal="center"/>
    </xf>
    <xf numFmtId="0" fontId="65" fillId="0" borderId="25" xfId="107" applyFont="1" applyBorder="1" applyAlignment="1">
      <alignment horizontal="center"/>
    </xf>
    <xf numFmtId="0" fontId="65" fillId="0" borderId="23" xfId="107" applyFont="1" applyBorder="1" applyAlignment="1">
      <alignment horizontal="right"/>
    </xf>
    <xf numFmtId="0" fontId="65" fillId="0" borderId="24" xfId="107" applyFont="1" applyBorder="1" applyAlignment="1">
      <alignment horizontal="right"/>
    </xf>
    <xf numFmtId="0" fontId="67" fillId="33" borderId="23" xfId="107" applyFont="1" applyFill="1" applyBorder="1" applyAlignment="1">
      <alignment horizontal="center"/>
    </xf>
    <xf numFmtId="0" fontId="67" fillId="33" borderId="24" xfId="107" applyFont="1" applyFill="1" applyBorder="1" applyAlignment="1">
      <alignment horizontal="center"/>
    </xf>
    <xf numFmtId="0" fontId="67" fillId="33" borderId="25" xfId="107" applyFont="1" applyFill="1" applyBorder="1" applyAlignment="1">
      <alignment horizontal="center"/>
    </xf>
    <xf numFmtId="0" fontId="98" fillId="0" borderId="0" xfId="107" applyFont="1" applyAlignment="1">
      <alignment horizontal="center"/>
    </xf>
    <xf numFmtId="0" fontId="65" fillId="53" borderId="46" xfId="106" applyFont="1" applyFill="1" applyBorder="1" applyAlignment="1">
      <alignment horizontal="center"/>
    </xf>
    <xf numFmtId="0" fontId="65" fillId="53" borderId="47" xfId="106" applyFont="1" applyFill="1" applyBorder="1" applyAlignment="1">
      <alignment horizontal="center"/>
    </xf>
    <xf numFmtId="0" fontId="65" fillId="53" borderId="65" xfId="106" applyFont="1" applyFill="1" applyBorder="1" applyAlignment="1">
      <alignment horizontal="center"/>
    </xf>
    <xf numFmtId="2" fontId="65" fillId="0" borderId="26" xfId="106" applyNumberFormat="1" applyFont="1" applyBorder="1" applyAlignment="1">
      <alignment horizontal="center"/>
    </xf>
    <xf numFmtId="2" fontId="65" fillId="0" borderId="0" xfId="106" applyNumberFormat="1" applyFont="1" applyBorder="1" applyAlignment="1">
      <alignment horizontal="center"/>
    </xf>
    <xf numFmtId="0" fontId="68" fillId="0" borderId="37" xfId="106" applyFont="1" applyBorder="1" applyAlignment="1">
      <alignment horizontal="center"/>
    </xf>
    <xf numFmtId="0" fontId="68" fillId="0" borderId="10" xfId="106" applyFont="1" applyBorder="1" applyAlignment="1">
      <alignment horizontal="center"/>
    </xf>
    <xf numFmtId="167" fontId="65" fillId="0" borderId="26" xfId="106" applyNumberFormat="1" applyFont="1" applyBorder="1" applyAlignment="1">
      <alignment horizontal="center"/>
    </xf>
    <xf numFmtId="167" fontId="65" fillId="0" borderId="0" xfId="106" applyNumberFormat="1" applyFont="1" applyBorder="1" applyAlignment="1">
      <alignment horizontal="center"/>
    </xf>
    <xf numFmtId="0" fontId="84" fillId="0" borderId="23" xfId="106" applyFont="1" applyFill="1" applyBorder="1" applyAlignment="1">
      <alignment horizontal="center"/>
    </xf>
    <xf numFmtId="0" fontId="84" fillId="0" borderId="25" xfId="106" applyFont="1" applyFill="1" applyBorder="1" applyAlignment="1">
      <alignment horizontal="center"/>
    </xf>
    <xf numFmtId="0" fontId="31" fillId="49" borderId="23" xfId="0" applyFont="1" applyFill="1" applyBorder="1" applyAlignment="1">
      <alignment horizontal="center"/>
    </xf>
    <xf numFmtId="0" fontId="31" fillId="49" borderId="24" xfId="0" applyFont="1" applyFill="1" applyBorder="1" applyAlignment="1">
      <alignment horizontal="center"/>
    </xf>
    <xf numFmtId="0" fontId="31" fillId="49" borderId="25" xfId="0" applyFont="1" applyFill="1" applyBorder="1" applyAlignment="1">
      <alignment horizontal="center"/>
    </xf>
    <xf numFmtId="0" fontId="0" fillId="49" borderId="24" xfId="0" applyFill="1" applyBorder="1" applyAlignment="1">
      <alignment horizontal="center"/>
    </xf>
    <xf numFmtId="0" fontId="0" fillId="49" borderId="25" xfId="0" applyFill="1" applyBorder="1" applyAlignment="1">
      <alignment horizontal="center"/>
    </xf>
    <xf numFmtId="0" fontId="27" fillId="49" borderId="23" xfId="0" applyFont="1" applyFill="1" applyBorder="1" applyAlignment="1">
      <alignment horizontal="center"/>
    </xf>
    <xf numFmtId="0" fontId="27" fillId="49" borderId="24" xfId="0" applyFont="1" applyFill="1" applyBorder="1" applyAlignment="1">
      <alignment horizontal="center"/>
    </xf>
    <xf numFmtId="0" fontId="27" fillId="49" borderId="25" xfId="0" applyFont="1" applyFill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49" borderId="23" xfId="0" applyFont="1" applyFill="1" applyBorder="1" applyAlignment="1">
      <alignment horizontal="center"/>
    </xf>
    <xf numFmtId="0" fontId="34" fillId="49" borderId="24" xfId="0" applyFont="1" applyFill="1" applyBorder="1" applyAlignment="1">
      <alignment horizontal="center"/>
    </xf>
    <xf numFmtId="0" fontId="34" fillId="49" borderId="25" xfId="0" applyFont="1" applyFill="1" applyBorder="1" applyAlignment="1">
      <alignment horizontal="center"/>
    </xf>
    <xf numFmtId="0" fontId="31" fillId="33" borderId="37" xfId="107" applyFont="1" applyFill="1" applyBorder="1" applyAlignment="1">
      <alignment horizontal="center" vertical="center" wrapText="1"/>
    </xf>
    <xf numFmtId="0" fontId="31" fillId="33" borderId="11" xfId="107" applyFont="1" applyFill="1" applyBorder="1" applyAlignment="1">
      <alignment horizontal="center" vertical="center" wrapText="1"/>
    </xf>
    <xf numFmtId="0" fontId="31" fillId="33" borderId="26" xfId="107" applyFont="1" applyFill="1" applyBorder="1" applyAlignment="1">
      <alignment horizontal="center" vertical="center" wrapText="1"/>
    </xf>
    <xf numFmtId="0" fontId="31" fillId="33" borderId="12" xfId="107" applyFont="1" applyFill="1" applyBorder="1" applyAlignment="1">
      <alignment horizontal="center" vertical="center" wrapText="1"/>
    </xf>
    <xf numFmtId="0" fontId="4" fillId="58" borderId="23" xfId="107" applyFont="1" applyFill="1" applyBorder="1" applyAlignment="1">
      <alignment horizontal="center"/>
    </xf>
    <xf numFmtId="0" fontId="4" fillId="58" borderId="24" xfId="107" applyFont="1" applyFill="1" applyBorder="1" applyAlignment="1">
      <alignment horizontal="center"/>
    </xf>
    <xf numFmtId="0" fontId="4" fillId="58" borderId="25" xfId="107" applyFont="1" applyFill="1" applyBorder="1" applyAlignment="1">
      <alignment horizontal="center"/>
    </xf>
    <xf numFmtId="0" fontId="4" fillId="0" borderId="23" xfId="107" applyFont="1" applyBorder="1" applyAlignment="1">
      <alignment horizontal="center"/>
    </xf>
    <xf numFmtId="0" fontId="4" fillId="0" borderId="25" xfId="107" applyFont="1" applyBorder="1" applyAlignment="1">
      <alignment horizontal="center"/>
    </xf>
    <xf numFmtId="0" fontId="4" fillId="0" borderId="24" xfId="107" applyFont="1" applyBorder="1" applyAlignment="1">
      <alignment horizontal="center"/>
    </xf>
    <xf numFmtId="0" fontId="11" fillId="0" borderId="18" xfId="75" applyBorder="1" applyAlignment="1">
      <alignment horizontal="right"/>
    </xf>
    <xf numFmtId="0" fontId="11" fillId="0" borderId="0" xfId="75" applyBorder="1" applyAlignment="1">
      <alignment horizontal="right"/>
    </xf>
    <xf numFmtId="0" fontId="0" fillId="30" borderId="23" xfId="0" applyFont="1" applyFill="1" applyBorder="1" applyAlignment="1">
      <alignment horizontal="center"/>
    </xf>
    <xf numFmtId="0" fontId="0" fillId="30" borderId="24" xfId="0" applyFont="1" applyFill="1" applyBorder="1" applyAlignment="1">
      <alignment horizontal="center"/>
    </xf>
    <xf numFmtId="0" fontId="0" fillId="30" borderId="25" xfId="0" applyFont="1" applyFill="1" applyBorder="1" applyAlignment="1">
      <alignment horizontal="center"/>
    </xf>
    <xf numFmtId="0" fontId="66" fillId="32" borderId="39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65" fillId="0" borderId="23" xfId="107" applyFont="1" applyBorder="1" applyAlignment="1">
      <alignment horizontal="center"/>
    </xf>
    <xf numFmtId="0" fontId="104" fillId="0" borderId="0" xfId="107" applyFont="1" applyAlignment="1">
      <alignment horizontal="center" vertical="center"/>
    </xf>
    <xf numFmtId="4" fontId="31" fillId="33" borderId="37" xfId="107" applyNumberFormat="1" applyFont="1" applyFill="1" applyBorder="1" applyAlignment="1">
      <alignment horizontal="center" vertical="center" wrapText="1"/>
    </xf>
    <xf numFmtId="4" fontId="31" fillId="33" borderId="11" xfId="107" applyNumberFormat="1" applyFont="1" applyFill="1" applyBorder="1" applyAlignment="1">
      <alignment horizontal="center" vertical="center" wrapText="1"/>
    </xf>
    <xf numFmtId="4" fontId="31" fillId="33" borderId="26" xfId="107" applyNumberFormat="1" applyFont="1" applyFill="1" applyBorder="1" applyAlignment="1">
      <alignment horizontal="center" vertical="center" wrapText="1"/>
    </xf>
    <xf numFmtId="4" fontId="31" fillId="33" borderId="12" xfId="107" applyNumberFormat="1" applyFont="1" applyFill="1" applyBorder="1" applyAlignment="1">
      <alignment horizontal="center" vertical="center" wrapText="1"/>
    </xf>
    <xf numFmtId="0" fontId="96" fillId="0" borderId="37" xfId="106" applyFont="1" applyBorder="1" applyAlignment="1">
      <alignment horizontal="center"/>
    </xf>
    <xf numFmtId="0" fontId="96" fillId="0" borderId="10" xfId="106" applyFont="1" applyBorder="1" applyAlignment="1">
      <alignment horizontal="center"/>
    </xf>
    <xf numFmtId="167" fontId="39" fillId="0" borderId="26" xfId="106" applyNumberFormat="1" applyFont="1" applyBorder="1" applyAlignment="1">
      <alignment horizontal="center"/>
    </xf>
    <xf numFmtId="167" fontId="39" fillId="0" borderId="0" xfId="106" applyNumberFormat="1" applyFont="1" applyBorder="1" applyAlignment="1">
      <alignment horizontal="center"/>
    </xf>
    <xf numFmtId="2" fontId="39" fillId="0" borderId="26" xfId="106" applyNumberFormat="1" applyFont="1" applyBorder="1" applyAlignment="1">
      <alignment horizontal="center"/>
    </xf>
    <xf numFmtId="2" fontId="39" fillId="0" borderId="0" xfId="106" applyNumberFormat="1" applyFont="1" applyBorder="1" applyAlignment="1">
      <alignment horizontal="center"/>
    </xf>
    <xf numFmtId="2" fontId="31" fillId="0" borderId="21" xfId="106" applyNumberFormat="1" applyFont="1" applyBorder="1" applyAlignment="1">
      <alignment horizontal="center"/>
    </xf>
    <xf numFmtId="0" fontId="31" fillId="0" borderId="46" xfId="106" applyFont="1" applyBorder="1" applyAlignment="1">
      <alignment horizontal="center"/>
    </xf>
    <xf numFmtId="0" fontId="31" fillId="0" borderId="47" xfId="106" applyFont="1" applyBorder="1" applyAlignment="1">
      <alignment horizontal="center"/>
    </xf>
    <xf numFmtId="166" fontId="31" fillId="0" borderId="0" xfId="107" applyNumberFormat="1" applyFont="1" applyFill="1" applyBorder="1" applyAlignment="1">
      <alignment horizontal="center" vertical="center"/>
    </xf>
    <xf numFmtId="0" fontId="0" fillId="58" borderId="23" xfId="0" applyFill="1" applyBorder="1" applyAlignment="1">
      <alignment horizontal="center"/>
    </xf>
    <xf numFmtId="0" fontId="0" fillId="58" borderId="24" xfId="0" applyFill="1" applyBorder="1" applyAlignment="1">
      <alignment horizontal="center"/>
    </xf>
    <xf numFmtId="0" fontId="0" fillId="58" borderId="2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quotePrefix="1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left" vertical="top" wrapText="1"/>
    </xf>
    <xf numFmtId="0" fontId="40" fillId="0" borderId="2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3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0" fontId="128" fillId="0" borderId="118" xfId="105" applyNumberFormat="1" applyFont="1" applyBorder="1" applyAlignment="1">
      <alignment horizontal="center" vertical="center"/>
    </xf>
    <xf numFmtId="10" fontId="128" fillId="0" borderId="0" xfId="105" applyNumberFormat="1" applyFont="1" applyBorder="1" applyAlignment="1">
      <alignment horizontal="center" vertical="center"/>
    </xf>
    <xf numFmtId="10" fontId="128" fillId="0" borderId="116" xfId="105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0" fontId="2" fillId="0" borderId="121" xfId="105" applyNumberFormat="1" applyFont="1" applyBorder="1" applyAlignment="1">
      <alignment horizontal="center"/>
    </xf>
  </cellXfs>
  <cellStyles count="11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ad 3" xfId="1140"/>
    <cellStyle name="Calculation 2" xfId="26"/>
    <cellStyle name="Calculation 2 2" xfId="119"/>
    <cellStyle name="Calculation 2 3" xfId="120"/>
    <cellStyle name="Calculation 3" xfId="121"/>
    <cellStyle name="Check Cell 2" xfId="27"/>
    <cellStyle name="Comma" xfId="103" builtinId="3"/>
    <cellStyle name="Comma [0] 2" xfId="1141"/>
    <cellStyle name="Comma 10" xfId="122"/>
    <cellStyle name="Comma 10 2" xfId="123"/>
    <cellStyle name="Comma 10 2 2" xfId="124"/>
    <cellStyle name="Comma 10 3" xfId="125"/>
    <cellStyle name="Comma 11" xfId="117"/>
    <cellStyle name="Comma 2" xfId="28"/>
    <cellStyle name="Comma 2 2" xfId="126"/>
    <cellStyle name="Comma 2 2 2" xfId="1132"/>
    <cellStyle name="Comma 2 3" xfId="127"/>
    <cellStyle name="Comma 2 3 2" xfId="1139"/>
    <cellStyle name="Comma 3" xfId="29"/>
    <cellStyle name="Comma 3 2" xfId="30"/>
    <cellStyle name="Comma 3 2 2" xfId="128"/>
    <cellStyle name="Comma 3 2 2 2" xfId="129"/>
    <cellStyle name="Comma 3 2 2 2 2" xfId="130"/>
    <cellStyle name="Comma 3 2 2 2 2 2" xfId="131"/>
    <cellStyle name="Comma 3 2 2 2 3" xfId="132"/>
    <cellStyle name="Comma 3 2 2 3" xfId="133"/>
    <cellStyle name="Comma 3 2 2 3 2" xfId="134"/>
    <cellStyle name="Comma 3 2 2 4" xfId="135"/>
    <cellStyle name="Comma 3 2 3" xfId="136"/>
    <cellStyle name="Comma 3 2 4" xfId="137"/>
    <cellStyle name="Comma 3 2 4 2" xfId="138"/>
    <cellStyle name="Comma 3 2 4 2 2" xfId="139"/>
    <cellStyle name="Comma 3 2 4 3" xfId="140"/>
    <cellStyle name="Comma 3 2 5" xfId="141"/>
    <cellStyle name="Comma 3 2 5 2" xfId="142"/>
    <cellStyle name="Comma 3 2 6" xfId="143"/>
    <cellStyle name="Comma 3 3" xfId="31"/>
    <cellStyle name="Comma 3 3 2" xfId="144"/>
    <cellStyle name="Comma 3 3 2 2" xfId="145"/>
    <cellStyle name="Comma 3 3 2 2 2" xfId="146"/>
    <cellStyle name="Comma 3 3 2 3" xfId="147"/>
    <cellStyle name="Comma 3 3 3" xfId="148"/>
    <cellStyle name="Comma 3 3 3 2" xfId="149"/>
    <cellStyle name="Comma 3 3 4" xfId="150"/>
    <cellStyle name="Comma 3 4" xfId="151"/>
    <cellStyle name="Comma 3 4 2" xfId="152"/>
    <cellStyle name="Comma 3 4 2 2" xfId="153"/>
    <cellStyle name="Comma 3 4 2 2 2" xfId="154"/>
    <cellStyle name="Comma 3 4 2 3" xfId="155"/>
    <cellStyle name="Comma 3 4 3" xfId="156"/>
    <cellStyle name="Comma 3 4 3 2" xfId="157"/>
    <cellStyle name="Comma 3 4 4" xfId="158"/>
    <cellStyle name="Comma 3 5" xfId="159"/>
    <cellStyle name="Comma 3 5 2" xfId="160"/>
    <cellStyle name="Comma 3 5 2 2" xfId="161"/>
    <cellStyle name="Comma 3 5 2 2 2" xfId="162"/>
    <cellStyle name="Comma 3 5 2 3" xfId="163"/>
    <cellStyle name="Comma 3 5 3" xfId="164"/>
    <cellStyle name="Comma 3 5 3 2" xfId="165"/>
    <cellStyle name="Comma 3 5 4" xfId="166"/>
    <cellStyle name="Comma 4" xfId="32"/>
    <cellStyle name="Comma 4 2" xfId="33"/>
    <cellStyle name="Comma 5" xfId="34"/>
    <cellStyle name="Comma 6" xfId="35"/>
    <cellStyle name="Comma 6 2" xfId="36"/>
    <cellStyle name="Comma 6 3" xfId="167"/>
    <cellStyle name="Comma 6 3 2" xfId="168"/>
    <cellStyle name="Comma 6 3 2 2" xfId="169"/>
    <cellStyle name="Comma 6 3 2 2 2" xfId="170"/>
    <cellStyle name="Comma 6 3 2 3" xfId="171"/>
    <cellStyle name="Comma 6 3 3" xfId="172"/>
    <cellStyle name="Comma 6 3 3 2" xfId="173"/>
    <cellStyle name="Comma 6 3 4" xfId="174"/>
    <cellStyle name="Comma 7" xfId="37"/>
    <cellStyle name="Comma 7 2" xfId="175"/>
    <cellStyle name="Comma 7 3" xfId="176"/>
    <cellStyle name="Comma 7 3 2" xfId="177"/>
    <cellStyle name="Comma 7 3 2 2" xfId="178"/>
    <cellStyle name="Comma 7 3 3" xfId="179"/>
    <cellStyle name="Comma 7 4" xfId="180"/>
    <cellStyle name="Comma 7 4 2" xfId="181"/>
    <cellStyle name="Comma 7 5" xfId="182"/>
    <cellStyle name="Comma 8" xfId="109"/>
    <cellStyle name="Comma 8 2" xfId="183"/>
    <cellStyle name="Comma 8 2 2" xfId="184"/>
    <cellStyle name="Comma 8 2 2 2" xfId="185"/>
    <cellStyle name="Comma 8 2 3" xfId="186"/>
    <cellStyle name="Comma 8 3" xfId="187"/>
    <cellStyle name="Comma 8 3 2" xfId="188"/>
    <cellStyle name="Comma 8 4" xfId="189"/>
    <cellStyle name="Comma 9" xfId="190"/>
    <cellStyle name="Comma 9 2" xfId="191"/>
    <cellStyle name="Comma 9 2 2" xfId="192"/>
    <cellStyle name="Comma 9 2 2 2" xfId="193"/>
    <cellStyle name="Comma 9 2 3" xfId="194"/>
    <cellStyle name="Comma 9 3" xfId="195"/>
    <cellStyle name="Comma 9 3 2" xfId="196"/>
    <cellStyle name="Comma 9 4" xfId="197"/>
    <cellStyle name="Currency" xfId="104" builtinId="4"/>
    <cellStyle name="Currency [0] 2" xfId="112"/>
    <cellStyle name="Currency 10" xfId="198"/>
    <cellStyle name="Currency 10 2" xfId="199"/>
    <cellStyle name="Currency 10 2 2" xfId="200"/>
    <cellStyle name="Currency 10 3" xfId="201"/>
    <cellStyle name="Currency 11" xfId="202"/>
    <cellStyle name="Currency 11 2" xfId="203"/>
    <cellStyle name="Currency 11 2 2" xfId="204"/>
    <cellStyle name="Currency 11 3" xfId="205"/>
    <cellStyle name="Currency 12" xfId="206"/>
    <cellStyle name="Currency 12 2" xfId="207"/>
    <cellStyle name="Currency 13" xfId="208"/>
    <cellStyle name="Currency 14" xfId="209"/>
    <cellStyle name="Currency 15" xfId="210"/>
    <cellStyle name="Currency 16" xfId="116"/>
    <cellStyle name="Currency 2" xfId="38"/>
    <cellStyle name="Currency 2 2" xfId="39"/>
    <cellStyle name="Currency 2 2 2" xfId="211"/>
    <cellStyle name="Currency 2 3" xfId="40"/>
    <cellStyle name="Currency 2 3 2" xfId="212"/>
    <cellStyle name="Currency 2 3 2 2" xfId="213"/>
    <cellStyle name="Currency 2 3 2 2 2" xfId="214"/>
    <cellStyle name="Currency 2 3 2 2 2 2" xfId="215"/>
    <cellStyle name="Currency 2 3 2 2 3" xfId="216"/>
    <cellStyle name="Currency 2 3 2 3" xfId="217"/>
    <cellStyle name="Currency 2 3 2 3 2" xfId="218"/>
    <cellStyle name="Currency 2 3 2 4" xfId="219"/>
    <cellStyle name="Currency 2 3 3" xfId="220"/>
    <cellStyle name="Currency 2 3 4" xfId="221"/>
    <cellStyle name="Currency 2 3 4 2" xfId="222"/>
    <cellStyle name="Currency 2 3 4 2 2" xfId="223"/>
    <cellStyle name="Currency 2 3 4 3" xfId="224"/>
    <cellStyle name="Currency 2 3 5" xfId="225"/>
    <cellStyle name="Currency 2 3 5 2" xfId="226"/>
    <cellStyle name="Currency 2 3 6" xfId="227"/>
    <cellStyle name="Currency 2 4" xfId="228"/>
    <cellStyle name="Currency 2 4 2" xfId="229"/>
    <cellStyle name="Currency 2 4 2 2" xfId="230"/>
    <cellStyle name="Currency 2 4 2 2 2" xfId="231"/>
    <cellStyle name="Currency 2 4 2 3" xfId="232"/>
    <cellStyle name="Currency 2 4 3" xfId="233"/>
    <cellStyle name="Currency 2 4 3 2" xfId="234"/>
    <cellStyle name="Currency 2 4 4" xfId="235"/>
    <cellStyle name="Currency 2 4 5" xfId="1142"/>
    <cellStyle name="Currency 2 5" xfId="236"/>
    <cellStyle name="Currency 2 5 2" xfId="237"/>
    <cellStyle name="Currency 2 5 2 2" xfId="238"/>
    <cellStyle name="Currency 2 5 2 2 2" xfId="239"/>
    <cellStyle name="Currency 2 5 2 3" xfId="240"/>
    <cellStyle name="Currency 2 5 3" xfId="241"/>
    <cellStyle name="Currency 2 5 3 2" xfId="242"/>
    <cellStyle name="Currency 2 5 4" xfId="243"/>
    <cellStyle name="Currency 2 6" xfId="244"/>
    <cellStyle name="Currency 2 6 2" xfId="245"/>
    <cellStyle name="Currency 2 6 2 2" xfId="246"/>
    <cellStyle name="Currency 2 6 2 2 2" xfId="247"/>
    <cellStyle name="Currency 2 6 2 3" xfId="248"/>
    <cellStyle name="Currency 2 6 3" xfId="249"/>
    <cellStyle name="Currency 2 6 3 2" xfId="250"/>
    <cellStyle name="Currency 2 6 4" xfId="251"/>
    <cellStyle name="Currency 3" xfId="41"/>
    <cellStyle name="Currency 3 2" xfId="42"/>
    <cellStyle name="Currency 3 2 2" xfId="252"/>
    <cellStyle name="Currency 3 2 2 2" xfId="253"/>
    <cellStyle name="Currency 3 2 2 2 2" xfId="254"/>
    <cellStyle name="Currency 3 2 2 2 2 2" xfId="255"/>
    <cellStyle name="Currency 3 2 2 2 3" xfId="256"/>
    <cellStyle name="Currency 3 2 2 3" xfId="257"/>
    <cellStyle name="Currency 3 2 2 3 2" xfId="258"/>
    <cellStyle name="Currency 3 2 2 4" xfId="259"/>
    <cellStyle name="Currency 3 2 3" xfId="260"/>
    <cellStyle name="Currency 3 2 4" xfId="261"/>
    <cellStyle name="Currency 3 2 4 2" xfId="262"/>
    <cellStyle name="Currency 3 2 4 2 2" xfId="263"/>
    <cellStyle name="Currency 3 2 4 3" xfId="264"/>
    <cellStyle name="Currency 3 2 5" xfId="265"/>
    <cellStyle name="Currency 3 2 5 2" xfId="266"/>
    <cellStyle name="Currency 3 2 6" xfId="267"/>
    <cellStyle name="Currency 3 3" xfId="43"/>
    <cellStyle name="Currency 3 3 2" xfId="268"/>
    <cellStyle name="Currency 3 3 2 2" xfId="269"/>
    <cellStyle name="Currency 3 3 2 2 2" xfId="270"/>
    <cellStyle name="Currency 3 3 2 3" xfId="271"/>
    <cellStyle name="Currency 3 3 3" xfId="272"/>
    <cellStyle name="Currency 3 3 3 2" xfId="273"/>
    <cellStyle name="Currency 3 3 4" xfId="274"/>
    <cellStyle name="Currency 3 4" xfId="275"/>
    <cellStyle name="Currency 3 4 2" xfId="276"/>
    <cellStyle name="Currency 3 4 2 2" xfId="277"/>
    <cellStyle name="Currency 3 4 2 2 2" xfId="278"/>
    <cellStyle name="Currency 3 4 2 3" xfId="279"/>
    <cellStyle name="Currency 3 4 3" xfId="280"/>
    <cellStyle name="Currency 3 4 3 2" xfId="281"/>
    <cellStyle name="Currency 3 4 4" xfId="282"/>
    <cellStyle name="Currency 3 5" xfId="283"/>
    <cellStyle name="Currency 3 5 2" xfId="284"/>
    <cellStyle name="Currency 3 5 2 2" xfId="285"/>
    <cellStyle name="Currency 3 5 2 2 2" xfId="286"/>
    <cellStyle name="Currency 3 5 2 3" xfId="287"/>
    <cellStyle name="Currency 3 5 3" xfId="288"/>
    <cellStyle name="Currency 3 5 3 2" xfId="289"/>
    <cellStyle name="Currency 3 5 4" xfId="290"/>
    <cellStyle name="Currency 3 6" xfId="115"/>
    <cellStyle name="Currency 3 7" xfId="291"/>
    <cellStyle name="Currency 3 8" xfId="292"/>
    <cellStyle name="Currency 4" xfId="44"/>
    <cellStyle name="Currency 4 10" xfId="293"/>
    <cellStyle name="Currency 4 11" xfId="294"/>
    <cellStyle name="Currency 4 2" xfId="45"/>
    <cellStyle name="Currency 4 2 2" xfId="46"/>
    <cellStyle name="Currency 4 2 2 2" xfId="295"/>
    <cellStyle name="Currency 4 2 2 2 2" xfId="296"/>
    <cellStyle name="Currency 4 2 2 2 2 2" xfId="297"/>
    <cellStyle name="Currency 4 2 2 2 3" xfId="298"/>
    <cellStyle name="Currency 4 2 2 3" xfId="299"/>
    <cellStyle name="Currency 4 2 2 3 2" xfId="300"/>
    <cellStyle name="Currency 4 2 2 4" xfId="301"/>
    <cellStyle name="Currency 4 2 3" xfId="302"/>
    <cellStyle name="Currency 4 2 4" xfId="303"/>
    <cellStyle name="Currency 4 2 4 2" xfId="304"/>
    <cellStyle name="Currency 4 2 4 2 2" xfId="305"/>
    <cellStyle name="Currency 4 2 4 2 2 2" xfId="306"/>
    <cellStyle name="Currency 4 2 4 2 3" xfId="307"/>
    <cellStyle name="Currency 4 2 4 3" xfId="308"/>
    <cellStyle name="Currency 4 2 4 3 2" xfId="309"/>
    <cellStyle name="Currency 4 2 4 4" xfId="310"/>
    <cellStyle name="Currency 4 2 5" xfId="311"/>
    <cellStyle name="Currency 4 2 5 2" xfId="312"/>
    <cellStyle name="Currency 4 2 5 2 2" xfId="313"/>
    <cellStyle name="Currency 4 2 5 3" xfId="314"/>
    <cellStyle name="Currency 4 2 6" xfId="315"/>
    <cellStyle name="Currency 4 2 6 2" xfId="316"/>
    <cellStyle name="Currency 4 2 7" xfId="317"/>
    <cellStyle name="Currency 4 3" xfId="47"/>
    <cellStyle name="Currency 4 3 2" xfId="318"/>
    <cellStyle name="Currency 4 3 2 2" xfId="319"/>
    <cellStyle name="Currency 4 3 2 2 2" xfId="320"/>
    <cellStyle name="Currency 4 3 2 2 2 2" xfId="321"/>
    <cellStyle name="Currency 4 3 2 2 3" xfId="322"/>
    <cellStyle name="Currency 4 3 2 3" xfId="323"/>
    <cellStyle name="Currency 4 3 2 3 2" xfId="324"/>
    <cellStyle name="Currency 4 3 2 4" xfId="325"/>
    <cellStyle name="Currency 4 3 3" xfId="326"/>
    <cellStyle name="Currency 4 3 3 2" xfId="327"/>
    <cellStyle name="Currency 4 3 3 2 2" xfId="328"/>
    <cellStyle name="Currency 4 3 3 3" xfId="329"/>
    <cellStyle name="Currency 4 3 4" xfId="330"/>
    <cellStyle name="Currency 4 3 4 2" xfId="331"/>
    <cellStyle name="Currency 4 3 5" xfId="332"/>
    <cellStyle name="Currency 4 4" xfId="48"/>
    <cellStyle name="Currency 4 4 2" xfId="333"/>
    <cellStyle name="Currency 4 4 2 2" xfId="334"/>
    <cellStyle name="Currency 4 4 2 2 2" xfId="335"/>
    <cellStyle name="Currency 4 4 2 2 2 2" xfId="336"/>
    <cellStyle name="Currency 4 4 2 2 3" xfId="337"/>
    <cellStyle name="Currency 4 4 2 3" xfId="338"/>
    <cellStyle name="Currency 4 4 2 3 2" xfId="339"/>
    <cellStyle name="Currency 4 4 2 4" xfId="340"/>
    <cellStyle name="Currency 4 4 3" xfId="341"/>
    <cellStyle name="Currency 4 4 3 2" xfId="342"/>
    <cellStyle name="Currency 4 4 3 2 2" xfId="343"/>
    <cellStyle name="Currency 4 4 3 3" xfId="344"/>
    <cellStyle name="Currency 4 4 4" xfId="345"/>
    <cellStyle name="Currency 4 4 4 2" xfId="346"/>
    <cellStyle name="Currency 4 4 5" xfId="347"/>
    <cellStyle name="Currency 4 5" xfId="348"/>
    <cellStyle name="Currency 4 5 2" xfId="349"/>
    <cellStyle name="Currency 4 5 2 2" xfId="350"/>
    <cellStyle name="Currency 4 5 2 2 2" xfId="351"/>
    <cellStyle name="Currency 4 5 2 3" xfId="352"/>
    <cellStyle name="Currency 4 5 3" xfId="353"/>
    <cellStyle name="Currency 4 5 3 2" xfId="354"/>
    <cellStyle name="Currency 4 5 4" xfId="355"/>
    <cellStyle name="Currency 4 6" xfId="356"/>
    <cellStyle name="Currency 4 6 2" xfId="357"/>
    <cellStyle name="Currency 4 6 2 2" xfId="358"/>
    <cellStyle name="Currency 4 6 2 2 2" xfId="359"/>
    <cellStyle name="Currency 4 6 2 3" xfId="360"/>
    <cellStyle name="Currency 4 6 3" xfId="361"/>
    <cellStyle name="Currency 4 6 3 2" xfId="362"/>
    <cellStyle name="Currency 4 6 4" xfId="363"/>
    <cellStyle name="Currency 4 7" xfId="364"/>
    <cellStyle name="Currency 4 7 2" xfId="365"/>
    <cellStyle name="Currency 4 7 2 2" xfId="366"/>
    <cellStyle name="Currency 4 7 2 2 2" xfId="367"/>
    <cellStyle name="Currency 4 7 2 3" xfId="368"/>
    <cellStyle name="Currency 4 7 3" xfId="369"/>
    <cellStyle name="Currency 4 7 3 2" xfId="370"/>
    <cellStyle name="Currency 4 7 4" xfId="371"/>
    <cellStyle name="Currency 4 8" xfId="372"/>
    <cellStyle name="Currency 4 8 2" xfId="373"/>
    <cellStyle name="Currency 4 8 2 2" xfId="374"/>
    <cellStyle name="Currency 4 8 3" xfId="375"/>
    <cellStyle name="Currency 4 9" xfId="376"/>
    <cellStyle name="Currency 4 9 2" xfId="377"/>
    <cellStyle name="Currency 46" xfId="378"/>
    <cellStyle name="Currency 47" xfId="379"/>
    <cellStyle name="Currency 49" xfId="380"/>
    <cellStyle name="Currency 5" xfId="49"/>
    <cellStyle name="Currency 5 2" xfId="50"/>
    <cellStyle name="Currency 5 3" xfId="51"/>
    <cellStyle name="Currency 6" xfId="52"/>
    <cellStyle name="Currency 6 2" xfId="381"/>
    <cellStyle name="Currency 6 2 2" xfId="382"/>
    <cellStyle name="Currency 6 2 2 2" xfId="383"/>
    <cellStyle name="Currency 6 2 3" xfId="384"/>
    <cellStyle name="Currency 6 3" xfId="385"/>
    <cellStyle name="Currency 6 3 2" xfId="386"/>
    <cellStyle name="Currency 6 4" xfId="387"/>
    <cellStyle name="Currency 7" xfId="53"/>
    <cellStyle name="Currency 7 2" xfId="388"/>
    <cellStyle name="Currency 7 2 2" xfId="389"/>
    <cellStyle name="Currency 7 2 2 2" xfId="390"/>
    <cellStyle name="Currency 7 2 3" xfId="391"/>
    <cellStyle name="Currency 7 3" xfId="392"/>
    <cellStyle name="Currency 7 3 2" xfId="393"/>
    <cellStyle name="Currency 7 4" xfId="394"/>
    <cellStyle name="Currency 8" xfId="110"/>
    <cellStyle name="Currency 8 2" xfId="395"/>
    <cellStyle name="Currency 8 2 2" xfId="396"/>
    <cellStyle name="Currency 8 3" xfId="397"/>
    <cellStyle name="Currency 9" xfId="398"/>
    <cellStyle name="Currency 9 2" xfId="399"/>
    <cellStyle name="Currency 9 2 2" xfId="400"/>
    <cellStyle name="Currency 9 3" xfId="401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Input 2" xfId="60"/>
    <cellStyle name="Input 2 2" xfId="402"/>
    <cellStyle name="Input 2 3" xfId="403"/>
    <cellStyle name="Linked Cell 2" xfId="61"/>
    <cellStyle name="Neutral 2" xfId="62"/>
    <cellStyle name="Normal" xfId="0" builtinId="0"/>
    <cellStyle name="Normal 10" xfId="63"/>
    <cellStyle name="Normal 10 2" xfId="404"/>
    <cellStyle name="Normal 10 2 2" xfId="405"/>
    <cellStyle name="Normal 10 2 2 2" xfId="406"/>
    <cellStyle name="Normal 10 2 2 2 2" xfId="407"/>
    <cellStyle name="Normal 10 2 2 3" xfId="408"/>
    <cellStyle name="Normal 10 2 3" xfId="409"/>
    <cellStyle name="Normal 10 2 3 2" xfId="410"/>
    <cellStyle name="Normal 10 2 4" xfId="411"/>
    <cellStyle name="Normal 10 3" xfId="412"/>
    <cellStyle name="Normal 10 4" xfId="413"/>
    <cellStyle name="Normal 10 4 2" xfId="414"/>
    <cellStyle name="Normal 10 4 2 2" xfId="415"/>
    <cellStyle name="Normal 10 4 3" xfId="416"/>
    <cellStyle name="Normal 10 5" xfId="417"/>
    <cellStyle name="Normal 10 5 2" xfId="418"/>
    <cellStyle name="Normal 10 6" xfId="419"/>
    <cellStyle name="Normal 11" xfId="64"/>
    <cellStyle name="Normal 12" xfId="107"/>
    <cellStyle name="Normal 12 2" xfId="420"/>
    <cellStyle name="Normal 12 2 2" xfId="421"/>
    <cellStyle name="Normal 12 2 2 2" xfId="422"/>
    <cellStyle name="Normal 12 2 3" xfId="423"/>
    <cellStyle name="Normal 12 3" xfId="424"/>
    <cellStyle name="Normal 12 3 2" xfId="425"/>
    <cellStyle name="Normal 12 4" xfId="426"/>
    <cellStyle name="Normal 13" xfId="113"/>
    <cellStyle name="Normal 13 2" xfId="427"/>
    <cellStyle name="Normal 13 2 2" xfId="428"/>
    <cellStyle name="Normal 13 2 2 2" xfId="429"/>
    <cellStyle name="Normal 13 2 3" xfId="430"/>
    <cellStyle name="Normal 13 3" xfId="431"/>
    <cellStyle name="Normal 13 3 2" xfId="432"/>
    <cellStyle name="Normal 13 4" xfId="433"/>
    <cellStyle name="Normal 14" xfId="434"/>
    <cellStyle name="Normal 15" xfId="435"/>
    <cellStyle name="Normal 15 2" xfId="436"/>
    <cellStyle name="Normal 15 2 2" xfId="437"/>
    <cellStyle name="Normal 15 2 2 2" xfId="438"/>
    <cellStyle name="Normal 15 2 3" xfId="439"/>
    <cellStyle name="Normal 15 2 4" xfId="1138"/>
    <cellStyle name="Normal 15 3" xfId="440"/>
    <cellStyle name="Normal 15 3 2" xfId="441"/>
    <cellStyle name="Normal 15 4" xfId="442"/>
    <cellStyle name="Normal 16" xfId="443"/>
    <cellStyle name="Normal 16 2" xfId="444"/>
    <cellStyle name="Normal 16 2 2" xfId="445"/>
    <cellStyle name="Normal 16 3" xfId="446"/>
    <cellStyle name="Normal 17" xfId="447"/>
    <cellStyle name="Normal 17 2" xfId="448"/>
    <cellStyle name="Normal 17 2 2" xfId="449"/>
    <cellStyle name="Normal 17 3" xfId="450"/>
    <cellStyle name="Normal 18" xfId="451"/>
    <cellStyle name="Normal 18 2" xfId="452"/>
    <cellStyle name="Normal 18 2 2" xfId="453"/>
    <cellStyle name="Normal 18 3" xfId="454"/>
    <cellStyle name="Normal 19" xfId="455"/>
    <cellStyle name="Normal 19 2" xfId="456"/>
    <cellStyle name="Normal 19 2 2" xfId="457"/>
    <cellStyle name="Normal 19 3" xfId="458"/>
    <cellStyle name="Normal 2" xfId="65"/>
    <cellStyle name="Normal 2 2" xfId="66"/>
    <cellStyle name="Normal 2 2 2" xfId="67"/>
    <cellStyle name="Normal 2 2 3" xfId="459"/>
    <cellStyle name="Normal 2 3" xfId="68"/>
    <cellStyle name="Normal 2 3 2" xfId="460"/>
    <cellStyle name="Normal 2 3 2 2" xfId="461"/>
    <cellStyle name="Normal 2 3 2 2 2" xfId="462"/>
    <cellStyle name="Normal 2 3 2 2 2 2" xfId="463"/>
    <cellStyle name="Normal 2 3 2 2 2 2 2" xfId="464"/>
    <cellStyle name="Normal 2 3 2 2 2 3" xfId="465"/>
    <cellStyle name="Normal 2 3 2 2 3" xfId="466"/>
    <cellStyle name="Normal 2 3 2 2 3 2" xfId="467"/>
    <cellStyle name="Normal 2 3 2 2 4" xfId="468"/>
    <cellStyle name="Normal 2 3 2 3" xfId="469"/>
    <cellStyle name="Normal 2 3 2 3 2" xfId="470"/>
    <cellStyle name="Normal 2 3 2 3 2 2" xfId="471"/>
    <cellStyle name="Normal 2 3 2 3 3" xfId="472"/>
    <cellStyle name="Normal 2 3 2 4" xfId="473"/>
    <cellStyle name="Normal 2 3 2 4 2" xfId="474"/>
    <cellStyle name="Normal 2 3 2 5" xfId="475"/>
    <cellStyle name="Normal 2 3 3" xfId="476"/>
    <cellStyle name="Normal 2 3 3 2" xfId="477"/>
    <cellStyle name="Normal 2 3 3 2 2" xfId="478"/>
    <cellStyle name="Normal 2 3 3 2 2 2" xfId="479"/>
    <cellStyle name="Normal 2 3 3 2 3" xfId="480"/>
    <cellStyle name="Normal 2 3 3 3" xfId="481"/>
    <cellStyle name="Normal 2 3 3 3 2" xfId="482"/>
    <cellStyle name="Normal 2 3 3 4" xfId="483"/>
    <cellStyle name="Normal 2 3 4" xfId="484"/>
    <cellStyle name="Normal 2 3 4 2" xfId="485"/>
    <cellStyle name="Normal 2 3 4 2 2" xfId="486"/>
    <cellStyle name="Normal 2 3 4 2 2 2" xfId="487"/>
    <cellStyle name="Normal 2 3 4 2 3" xfId="488"/>
    <cellStyle name="Normal 2 3 4 3" xfId="489"/>
    <cellStyle name="Normal 2 3 4 3 2" xfId="490"/>
    <cellStyle name="Normal 2 3 4 4" xfId="491"/>
    <cellStyle name="Normal 2 3 5" xfId="492"/>
    <cellStyle name="Normal 2 3 5 2" xfId="493"/>
    <cellStyle name="Normal 2 3 5 2 2" xfId="494"/>
    <cellStyle name="Normal 2 3 5 3" xfId="495"/>
    <cellStyle name="Normal 2 3 6" xfId="496"/>
    <cellStyle name="Normal 2 3 6 2" xfId="497"/>
    <cellStyle name="Normal 2 3 7" xfId="498"/>
    <cellStyle name="Normal 2 4" xfId="499"/>
    <cellStyle name="Normal 2 4 2" xfId="1133"/>
    <cellStyle name="Normal 2 5" xfId="500"/>
    <cellStyle name="Normal 2 5 2" xfId="501"/>
    <cellStyle name="Normal 2 5 2 2" xfId="502"/>
    <cellStyle name="Normal 2 5 2 2 2" xfId="503"/>
    <cellStyle name="Normal 2 5 2 3" xfId="504"/>
    <cellStyle name="Normal 2 5 3" xfId="505"/>
    <cellStyle name="Normal 2 5 3 2" xfId="506"/>
    <cellStyle name="Normal 2 5 4" xfId="507"/>
    <cellStyle name="Normal 2 6" xfId="508"/>
    <cellStyle name="Normal 2_Current Payroll" xfId="509"/>
    <cellStyle name="Normal 20" xfId="510"/>
    <cellStyle name="Normal 20 2" xfId="511"/>
    <cellStyle name="Normal 20 2 2" xfId="512"/>
    <cellStyle name="Normal 20 3" xfId="513"/>
    <cellStyle name="Normal 21" xfId="514"/>
    <cellStyle name="Normal 21 2" xfId="515"/>
    <cellStyle name="Normal 21 2 2" xfId="516"/>
    <cellStyle name="Normal 21 3" xfId="517"/>
    <cellStyle name="Normal 22" xfId="518"/>
    <cellStyle name="Normal 22 2" xfId="519"/>
    <cellStyle name="Normal 22 2 2" xfId="520"/>
    <cellStyle name="Normal 22 3" xfId="521"/>
    <cellStyle name="Normal 23" xfId="522"/>
    <cellStyle name="Normal 23 2" xfId="523"/>
    <cellStyle name="Normal 23 2 2" xfId="524"/>
    <cellStyle name="Normal 23 3" xfId="525"/>
    <cellStyle name="Normal 24" xfId="526"/>
    <cellStyle name="Normal 24 2" xfId="527"/>
    <cellStyle name="Normal 24 2 2" xfId="528"/>
    <cellStyle name="Normal 24 3" xfId="529"/>
    <cellStyle name="Normal 25" xfId="530"/>
    <cellStyle name="Normal 25 2" xfId="531"/>
    <cellStyle name="Normal 25 2 2" xfId="532"/>
    <cellStyle name="Normal 25 3" xfId="533"/>
    <cellStyle name="Normal 26" xfId="534"/>
    <cellStyle name="Normal 26 2" xfId="535"/>
    <cellStyle name="Normal 26 2 2" xfId="536"/>
    <cellStyle name="Normal 26 3" xfId="537"/>
    <cellStyle name="Normal 27" xfId="538"/>
    <cellStyle name="Normal 27 2" xfId="539"/>
    <cellStyle name="Normal 27 2 2" xfId="540"/>
    <cellStyle name="Normal 27 3" xfId="541"/>
    <cellStyle name="Normal 28" xfId="542"/>
    <cellStyle name="Normal 28 2" xfId="543"/>
    <cellStyle name="Normal 28 2 2" xfId="544"/>
    <cellStyle name="Normal 28 3" xfId="545"/>
    <cellStyle name="Normal 29" xfId="546"/>
    <cellStyle name="Normal 29 2" xfId="547"/>
    <cellStyle name="Normal 29 2 2" xfId="548"/>
    <cellStyle name="Normal 29 3" xfId="549"/>
    <cellStyle name="Normal 3" xfId="69"/>
    <cellStyle name="Normal 3 10" xfId="550"/>
    <cellStyle name="Normal 3 11" xfId="551"/>
    <cellStyle name="Normal 3 12" xfId="552"/>
    <cellStyle name="Normal 3 2" xfId="70"/>
    <cellStyle name="Normal 3 2 2" xfId="553"/>
    <cellStyle name="Normal 3 2 2 2" xfId="554"/>
    <cellStyle name="Normal 3 2 2 2 2" xfId="555"/>
    <cellStyle name="Normal 3 2 2 2 2 2" xfId="556"/>
    <cellStyle name="Normal 3 2 2 2 2 2 2" xfId="557"/>
    <cellStyle name="Normal 3 2 2 2 2 3" xfId="558"/>
    <cellStyle name="Normal 3 2 2 2 3" xfId="559"/>
    <cellStyle name="Normal 3 2 2 2 3 2" xfId="560"/>
    <cellStyle name="Normal 3 2 2 2 4" xfId="561"/>
    <cellStyle name="Normal 3 2 2 3" xfId="562"/>
    <cellStyle name="Normal 3 2 2 3 2" xfId="563"/>
    <cellStyle name="Normal 3 2 2 3 2 2" xfId="564"/>
    <cellStyle name="Normal 3 2 2 3 3" xfId="565"/>
    <cellStyle name="Normal 3 2 2 4" xfId="566"/>
    <cellStyle name="Normal 3 2 2 4 2" xfId="567"/>
    <cellStyle name="Normal 3 2 2 5" xfId="568"/>
    <cellStyle name="Normal 3 2 3" xfId="569"/>
    <cellStyle name="Normal 3 2 3 2" xfId="570"/>
    <cellStyle name="Normal 3 2 3 2 2" xfId="571"/>
    <cellStyle name="Normal 3 2 3 2 2 2" xfId="572"/>
    <cellStyle name="Normal 3 2 3 2 3" xfId="573"/>
    <cellStyle name="Normal 3 2 3 3" xfId="574"/>
    <cellStyle name="Normal 3 2 3 3 2" xfId="575"/>
    <cellStyle name="Normal 3 2 3 4" xfId="576"/>
    <cellStyle name="Normal 3 2 4" xfId="577"/>
    <cellStyle name="Normal 3 2 4 2" xfId="578"/>
    <cellStyle name="Normal 3 2 4 2 2" xfId="579"/>
    <cellStyle name="Normal 3 2 4 2 2 2" xfId="580"/>
    <cellStyle name="Normal 3 2 4 2 3" xfId="581"/>
    <cellStyle name="Normal 3 2 4 3" xfId="582"/>
    <cellStyle name="Normal 3 2 4 3 2" xfId="583"/>
    <cellStyle name="Normal 3 2 4 4" xfId="584"/>
    <cellStyle name="Normal 3 2 5" xfId="585"/>
    <cellStyle name="Normal 3 2 5 2" xfId="586"/>
    <cellStyle name="Normal 3 2 5 2 2" xfId="587"/>
    <cellStyle name="Normal 3 2 5 2 2 2" xfId="588"/>
    <cellStyle name="Normal 3 2 5 2 3" xfId="589"/>
    <cellStyle name="Normal 3 2 5 3" xfId="590"/>
    <cellStyle name="Normal 3 2 5 3 2" xfId="591"/>
    <cellStyle name="Normal 3 2 5 4" xfId="592"/>
    <cellStyle name="Normal 3 3" xfId="71"/>
    <cellStyle name="Normal 3 3 2" xfId="593"/>
    <cellStyle name="Normal 3 3 2 2" xfId="594"/>
    <cellStyle name="Normal 3 3 2 2 2" xfId="595"/>
    <cellStyle name="Normal 3 3 2 2 2 2" xfId="596"/>
    <cellStyle name="Normal 3 3 2 2 3" xfId="597"/>
    <cellStyle name="Normal 3 3 2 3" xfId="598"/>
    <cellStyle name="Normal 3 3 2 3 2" xfId="599"/>
    <cellStyle name="Normal 3 3 2 4" xfId="600"/>
    <cellStyle name="Normal 3 3 3" xfId="601"/>
    <cellStyle name="Normal 3 3 3 2" xfId="602"/>
    <cellStyle name="Normal 3 3 3 2 2" xfId="603"/>
    <cellStyle name="Normal 3 3 3 3" xfId="604"/>
    <cellStyle name="Normal 3 3 4" xfId="605"/>
    <cellStyle name="Normal 3 3 4 2" xfId="606"/>
    <cellStyle name="Normal 3 3 5" xfId="607"/>
    <cellStyle name="Normal 3 4" xfId="72"/>
    <cellStyle name="Normal 3 4 2" xfId="608"/>
    <cellStyle name="Normal 3 4 2 2" xfId="609"/>
    <cellStyle name="Normal 3 4 2 2 2" xfId="610"/>
    <cellStyle name="Normal 3 4 2 3" xfId="611"/>
    <cellStyle name="Normal 3 4 3" xfId="612"/>
    <cellStyle name="Normal 3 4 3 2" xfId="613"/>
    <cellStyle name="Normal 3 4 4" xfId="614"/>
    <cellStyle name="Normal 3 5" xfId="615"/>
    <cellStyle name="Normal 3 5 2" xfId="616"/>
    <cellStyle name="Normal 3 5 2 2" xfId="617"/>
    <cellStyle name="Normal 3 5 2 2 2" xfId="618"/>
    <cellStyle name="Normal 3 5 2 3" xfId="619"/>
    <cellStyle name="Normal 3 5 3" xfId="620"/>
    <cellStyle name="Normal 3 5 3 2" xfId="621"/>
    <cellStyle name="Normal 3 5 4" xfId="622"/>
    <cellStyle name="Normal 3 6" xfId="623"/>
    <cellStyle name="Normal 3 6 2" xfId="624"/>
    <cellStyle name="Normal 3 6 2 2" xfId="625"/>
    <cellStyle name="Normal 3 6 2 2 2" xfId="626"/>
    <cellStyle name="Normal 3 6 2 3" xfId="627"/>
    <cellStyle name="Normal 3 6 3" xfId="628"/>
    <cellStyle name="Normal 3 6 3 2" xfId="629"/>
    <cellStyle name="Normal 3 6 4" xfId="630"/>
    <cellStyle name="Normal 3 7" xfId="631"/>
    <cellStyle name="Normal 3 8" xfId="632"/>
    <cellStyle name="Normal 3 9" xfId="114"/>
    <cellStyle name="Normal 3_Current Payroll" xfId="633"/>
    <cellStyle name="Normal 30" xfId="634"/>
    <cellStyle name="Normal 30 2" xfId="635"/>
    <cellStyle name="Normal 30 2 2" xfId="636"/>
    <cellStyle name="Normal 30 3" xfId="637"/>
    <cellStyle name="Normal 31" xfId="638"/>
    <cellStyle name="Normal 31 2" xfId="639"/>
    <cellStyle name="Normal 31 2 2" xfId="640"/>
    <cellStyle name="Normal 31 3" xfId="641"/>
    <cellStyle name="Normal 32" xfId="642"/>
    <cellStyle name="Normal 32 2" xfId="643"/>
    <cellStyle name="Normal 32 2 2" xfId="644"/>
    <cellStyle name="Normal 32 3" xfId="645"/>
    <cellStyle name="Normal 33" xfId="646"/>
    <cellStyle name="Normal 33 2" xfId="647"/>
    <cellStyle name="Normal 33 2 2" xfId="648"/>
    <cellStyle name="Normal 33 3" xfId="649"/>
    <cellStyle name="Normal 34" xfId="650"/>
    <cellStyle name="Normal 34 2" xfId="651"/>
    <cellStyle name="Normal 35" xfId="652"/>
    <cellStyle name="Normal 36" xfId="653"/>
    <cellStyle name="Normal 37" xfId="654"/>
    <cellStyle name="Normal 38" xfId="655"/>
    <cellStyle name="Normal 39" xfId="656"/>
    <cellStyle name="Normal 4" xfId="73"/>
    <cellStyle name="Normal 4 10" xfId="657"/>
    <cellStyle name="Normal 4 11" xfId="658"/>
    <cellStyle name="Normal 4 2" xfId="74"/>
    <cellStyle name="Normal 4 2 2" xfId="75"/>
    <cellStyle name="Normal 4 2 2 2" xfId="659"/>
    <cellStyle name="Normal 4 2 2 2 2" xfId="660"/>
    <cellStyle name="Normal 4 2 2 2 2 2" xfId="661"/>
    <cellStyle name="Normal 4 2 2 2 2 2 2" xfId="662"/>
    <cellStyle name="Normal 4 2 2 2 2 3" xfId="663"/>
    <cellStyle name="Normal 4 2 2 2 3" xfId="664"/>
    <cellStyle name="Normal 4 2 2 2 3 2" xfId="665"/>
    <cellStyle name="Normal 4 2 2 2 4" xfId="666"/>
    <cellStyle name="Normal 4 2 2 3" xfId="667"/>
    <cellStyle name="Normal 4 2 2 3 2" xfId="668"/>
    <cellStyle name="Normal 4 2 2 3 2 2" xfId="669"/>
    <cellStyle name="Normal 4 2 2 3 3" xfId="670"/>
    <cellStyle name="Normal 4 2 2 4" xfId="671"/>
    <cellStyle name="Normal 4 2 2 4 2" xfId="672"/>
    <cellStyle name="Normal 4 2 2 5" xfId="673"/>
    <cellStyle name="Normal 4 2 3" xfId="674"/>
    <cellStyle name="Normal 4 2 3 2" xfId="675"/>
    <cellStyle name="Normal 4 2 3 2 2" xfId="676"/>
    <cellStyle name="Normal 4 2 3 2 2 2" xfId="677"/>
    <cellStyle name="Normal 4 2 3 2 3" xfId="678"/>
    <cellStyle name="Normal 4 2 3 3" xfId="679"/>
    <cellStyle name="Normal 4 2 3 3 2" xfId="680"/>
    <cellStyle name="Normal 4 2 3 4" xfId="681"/>
    <cellStyle name="Normal 4 2 4" xfId="682"/>
    <cellStyle name="Normal 4 2 4 2" xfId="683"/>
    <cellStyle name="Normal 4 2 4 2 2" xfId="684"/>
    <cellStyle name="Normal 4 2 4 2 2 2" xfId="685"/>
    <cellStyle name="Normal 4 2 4 2 3" xfId="686"/>
    <cellStyle name="Normal 4 2 4 3" xfId="687"/>
    <cellStyle name="Normal 4 2 4 3 2" xfId="688"/>
    <cellStyle name="Normal 4 2 4 4" xfId="689"/>
    <cellStyle name="Normal 4 2 5" xfId="690"/>
    <cellStyle name="Normal 4 2 5 2" xfId="691"/>
    <cellStyle name="Normal 4 2 5 2 2" xfId="692"/>
    <cellStyle name="Normal 4 2 5 2 2 2" xfId="693"/>
    <cellStyle name="Normal 4 2 5 2 3" xfId="694"/>
    <cellStyle name="Normal 4 2 5 3" xfId="695"/>
    <cellStyle name="Normal 4 2 5 3 2" xfId="696"/>
    <cellStyle name="Normal 4 2 5 4" xfId="697"/>
    <cellStyle name="Normal 4 2 6" xfId="698"/>
    <cellStyle name="Normal 4 2 6 2" xfId="699"/>
    <cellStyle name="Normal 4 2 6 2 2" xfId="700"/>
    <cellStyle name="Normal 4 2 6 3" xfId="701"/>
    <cellStyle name="Normal 4 2 7" xfId="702"/>
    <cellStyle name="Normal 4 2 7 2" xfId="703"/>
    <cellStyle name="Normal 4 2 8" xfId="704"/>
    <cellStyle name="Normal 4 3" xfId="76"/>
    <cellStyle name="Normal 4 3 2" xfId="705"/>
    <cellStyle name="Normal 4 3 2 2" xfId="706"/>
    <cellStyle name="Normal 4 3 2 2 2" xfId="707"/>
    <cellStyle name="Normal 4 3 2 2 2 2" xfId="708"/>
    <cellStyle name="Normal 4 3 2 2 3" xfId="709"/>
    <cellStyle name="Normal 4 3 2 3" xfId="710"/>
    <cellStyle name="Normal 4 3 2 3 2" xfId="711"/>
    <cellStyle name="Normal 4 3 2 4" xfId="712"/>
    <cellStyle name="Normal 4 3 3" xfId="713"/>
    <cellStyle name="Normal 4 3 3 2" xfId="714"/>
    <cellStyle name="Normal 4 3 3 2 2" xfId="715"/>
    <cellStyle name="Normal 4 3 3 2 2 2" xfId="716"/>
    <cellStyle name="Normal 4 3 3 2 3" xfId="717"/>
    <cellStyle name="Normal 4 3 3 3" xfId="718"/>
    <cellStyle name="Normal 4 3 3 3 2" xfId="719"/>
    <cellStyle name="Normal 4 3 3 4" xfId="720"/>
    <cellStyle name="Normal 4 3 4" xfId="721"/>
    <cellStyle name="Normal 4 3 4 2" xfId="722"/>
    <cellStyle name="Normal 4 3 4 2 2" xfId="723"/>
    <cellStyle name="Normal 4 3 4 3" xfId="724"/>
    <cellStyle name="Normal 4 3 5" xfId="725"/>
    <cellStyle name="Normal 4 3 5 2" xfId="726"/>
    <cellStyle name="Normal 4 3 6" xfId="727"/>
    <cellStyle name="Normal 4 4" xfId="728"/>
    <cellStyle name="Normal 4 4 2" xfId="729"/>
    <cellStyle name="Normal 4 4 2 2" xfId="730"/>
    <cellStyle name="Normal 4 4 2 2 2" xfId="731"/>
    <cellStyle name="Normal 4 4 2 2 2 2" xfId="732"/>
    <cellStyle name="Normal 4 4 2 2 3" xfId="733"/>
    <cellStyle name="Normal 4 4 2 3" xfId="734"/>
    <cellStyle name="Normal 4 4 2 3 2" xfId="735"/>
    <cellStyle name="Normal 4 4 2 4" xfId="736"/>
    <cellStyle name="Normal 4 4 3" xfId="737"/>
    <cellStyle name="Normal 4 4 3 2" xfId="738"/>
    <cellStyle name="Normal 4 4 3 2 2" xfId="739"/>
    <cellStyle name="Normal 4 4 3 3" xfId="740"/>
    <cellStyle name="Normal 4 4 4" xfId="741"/>
    <cellStyle name="Normal 4 4 4 2" xfId="742"/>
    <cellStyle name="Normal 4 4 5" xfId="743"/>
    <cellStyle name="Normal 4 5" xfId="744"/>
    <cellStyle name="Normal 4 5 2" xfId="745"/>
    <cellStyle name="Normal 4 5 2 2" xfId="746"/>
    <cellStyle name="Normal 4 5 2 2 2" xfId="747"/>
    <cellStyle name="Normal 4 5 2 2 2 2" xfId="748"/>
    <cellStyle name="Normal 4 5 2 2 3" xfId="749"/>
    <cellStyle name="Normal 4 5 2 3" xfId="750"/>
    <cellStyle name="Normal 4 5 2 3 2" xfId="751"/>
    <cellStyle name="Normal 4 5 2 4" xfId="752"/>
    <cellStyle name="Normal 4 5 3" xfId="753"/>
    <cellStyle name="Normal 4 5 3 2" xfId="754"/>
    <cellStyle name="Normal 4 5 3 2 2" xfId="755"/>
    <cellStyle name="Normal 4 5 3 3" xfId="756"/>
    <cellStyle name="Normal 4 5 4" xfId="757"/>
    <cellStyle name="Normal 4 5 4 2" xfId="758"/>
    <cellStyle name="Normal 4 5 5" xfId="759"/>
    <cellStyle name="Normal 4 6" xfId="760"/>
    <cellStyle name="Normal 4 7" xfId="761"/>
    <cellStyle name="Normal 4 7 2" xfId="762"/>
    <cellStyle name="Normal 4 7 2 2" xfId="763"/>
    <cellStyle name="Normal 4 7 2 2 2" xfId="764"/>
    <cellStyle name="Normal 4 7 2 3" xfId="765"/>
    <cellStyle name="Normal 4 7 3" xfId="766"/>
    <cellStyle name="Normal 4 7 3 2" xfId="767"/>
    <cellStyle name="Normal 4 7 4" xfId="768"/>
    <cellStyle name="Normal 4 8" xfId="769"/>
    <cellStyle name="Normal 4 8 2" xfId="770"/>
    <cellStyle name="Normal 4 8 2 2" xfId="771"/>
    <cellStyle name="Normal 4 8 3" xfId="772"/>
    <cellStyle name="Normal 4 9" xfId="773"/>
    <cellStyle name="Normal 4 9 2" xfId="774"/>
    <cellStyle name="Normal 4_Current Payroll" xfId="775"/>
    <cellStyle name="Normal 5" xfId="77"/>
    <cellStyle name="Normal 5 10" xfId="776"/>
    <cellStyle name="Normal 5 10 2" xfId="777"/>
    <cellStyle name="Normal 5 11" xfId="778"/>
    <cellStyle name="Normal 5 12" xfId="779"/>
    <cellStyle name="Normal 5 13" xfId="780"/>
    <cellStyle name="Normal 5 2" xfId="781"/>
    <cellStyle name="Normal 5 2 2" xfId="782"/>
    <cellStyle name="Normal 5 2 2 2" xfId="783"/>
    <cellStyle name="Normal 5 2 2 2 2" xfId="784"/>
    <cellStyle name="Normal 5 2 2 2 2 2" xfId="785"/>
    <cellStyle name="Normal 5 2 2 2 2 2 2" xfId="786"/>
    <cellStyle name="Normal 5 2 2 2 2 3" xfId="787"/>
    <cellStyle name="Normal 5 2 2 2 3" xfId="788"/>
    <cellStyle name="Normal 5 2 2 2 3 2" xfId="789"/>
    <cellStyle name="Normal 5 2 2 2 4" xfId="790"/>
    <cellStyle name="Normal 5 2 2 3" xfId="791"/>
    <cellStyle name="Normal 5 2 2 3 2" xfId="792"/>
    <cellStyle name="Normal 5 2 2 3 2 2" xfId="793"/>
    <cellStyle name="Normal 5 2 2 3 3" xfId="794"/>
    <cellStyle name="Normal 5 2 2 4" xfId="795"/>
    <cellStyle name="Normal 5 2 2 4 2" xfId="796"/>
    <cellStyle name="Normal 5 2 2 5" xfId="797"/>
    <cellStyle name="Normal 5 2 3" xfId="798"/>
    <cellStyle name="Normal 5 2 3 2" xfId="799"/>
    <cellStyle name="Normal 5 2 3 2 2" xfId="800"/>
    <cellStyle name="Normal 5 2 3 2 2 2" xfId="801"/>
    <cellStyle name="Normal 5 2 3 2 3" xfId="802"/>
    <cellStyle name="Normal 5 2 3 3" xfId="803"/>
    <cellStyle name="Normal 5 2 3 3 2" xfId="804"/>
    <cellStyle name="Normal 5 2 3 4" xfId="805"/>
    <cellStyle name="Normal 5 2 4" xfId="806"/>
    <cellStyle name="Normal 5 2 4 2" xfId="807"/>
    <cellStyle name="Normal 5 2 4 2 2" xfId="808"/>
    <cellStyle name="Normal 5 2 4 2 2 2" xfId="809"/>
    <cellStyle name="Normal 5 2 4 2 3" xfId="810"/>
    <cellStyle name="Normal 5 2 4 3" xfId="811"/>
    <cellStyle name="Normal 5 2 4 3 2" xfId="812"/>
    <cellStyle name="Normal 5 2 4 4" xfId="813"/>
    <cellStyle name="Normal 5 2 5" xfId="814"/>
    <cellStyle name="Normal 5 2 5 2" xfId="815"/>
    <cellStyle name="Normal 5 2 5 2 2" xfId="816"/>
    <cellStyle name="Normal 5 2 5 2 2 2" xfId="817"/>
    <cellStyle name="Normal 5 2 5 2 3" xfId="818"/>
    <cellStyle name="Normal 5 2 5 3" xfId="819"/>
    <cellStyle name="Normal 5 2 5 3 2" xfId="820"/>
    <cellStyle name="Normal 5 2 5 4" xfId="821"/>
    <cellStyle name="Normal 5 2 6" xfId="822"/>
    <cellStyle name="Normal 5 2 6 2" xfId="823"/>
    <cellStyle name="Normal 5 2 6 2 2" xfId="824"/>
    <cellStyle name="Normal 5 2 6 3" xfId="825"/>
    <cellStyle name="Normal 5 2 7" xfId="826"/>
    <cellStyle name="Normal 5 2 7 2" xfId="827"/>
    <cellStyle name="Normal 5 2 8" xfId="828"/>
    <cellStyle name="Normal 5 3" xfId="829"/>
    <cellStyle name="Normal 5 3 2" xfId="830"/>
    <cellStyle name="Normal 5 3 2 2" xfId="831"/>
    <cellStyle name="Normal 5 3 2 2 2" xfId="832"/>
    <cellStyle name="Normal 5 3 2 2 2 2" xfId="833"/>
    <cellStyle name="Normal 5 3 2 2 3" xfId="834"/>
    <cellStyle name="Normal 5 3 2 3" xfId="835"/>
    <cellStyle name="Normal 5 3 2 3 2" xfId="836"/>
    <cellStyle name="Normal 5 3 2 4" xfId="837"/>
    <cellStyle name="Normal 5 3 3" xfId="838"/>
    <cellStyle name="Normal 5 3 3 2" xfId="839"/>
    <cellStyle name="Normal 5 3 3 2 2" xfId="840"/>
    <cellStyle name="Normal 5 3 3 2 2 2" xfId="841"/>
    <cellStyle name="Normal 5 3 3 2 3" xfId="842"/>
    <cellStyle name="Normal 5 3 3 3" xfId="843"/>
    <cellStyle name="Normal 5 3 3 3 2" xfId="844"/>
    <cellStyle name="Normal 5 3 3 4" xfId="845"/>
    <cellStyle name="Normal 5 3 4" xfId="846"/>
    <cellStyle name="Normal 5 3 4 2" xfId="847"/>
    <cellStyle name="Normal 5 3 4 2 2" xfId="848"/>
    <cellStyle name="Normal 5 3 4 3" xfId="849"/>
    <cellStyle name="Normal 5 3 5" xfId="850"/>
    <cellStyle name="Normal 5 3 5 2" xfId="851"/>
    <cellStyle name="Normal 5 3 6" xfId="852"/>
    <cellStyle name="Normal 5 4" xfId="853"/>
    <cellStyle name="Normal 5 4 2" xfId="854"/>
    <cellStyle name="Normal 5 4 2 2" xfId="855"/>
    <cellStyle name="Normal 5 4 2 2 2" xfId="856"/>
    <cellStyle name="Normal 5 4 2 2 2 2" xfId="857"/>
    <cellStyle name="Normal 5 4 2 2 3" xfId="858"/>
    <cellStyle name="Normal 5 4 2 3" xfId="859"/>
    <cellStyle name="Normal 5 4 2 3 2" xfId="860"/>
    <cellStyle name="Normal 5 4 2 4" xfId="861"/>
    <cellStyle name="Normal 5 4 3" xfId="862"/>
    <cellStyle name="Normal 5 4 3 2" xfId="863"/>
    <cellStyle name="Normal 5 4 3 2 2" xfId="864"/>
    <cellStyle name="Normal 5 4 3 3" xfId="865"/>
    <cellStyle name="Normal 5 4 4" xfId="866"/>
    <cellStyle name="Normal 5 4 4 2" xfId="867"/>
    <cellStyle name="Normal 5 4 5" xfId="868"/>
    <cellStyle name="Normal 5 5" xfId="869"/>
    <cellStyle name="Normal 5 5 2" xfId="870"/>
    <cellStyle name="Normal 5 5 2 2" xfId="871"/>
    <cellStyle name="Normal 5 5 2 2 2" xfId="872"/>
    <cellStyle name="Normal 5 5 2 2 2 2" xfId="873"/>
    <cellStyle name="Normal 5 5 2 2 3" xfId="874"/>
    <cellStyle name="Normal 5 5 2 3" xfId="875"/>
    <cellStyle name="Normal 5 5 2 3 2" xfId="876"/>
    <cellStyle name="Normal 5 5 2 4" xfId="877"/>
    <cellStyle name="Normal 5 5 3" xfId="878"/>
    <cellStyle name="Normal 5 5 3 2" xfId="879"/>
    <cellStyle name="Normal 5 5 3 2 2" xfId="880"/>
    <cellStyle name="Normal 5 5 3 3" xfId="881"/>
    <cellStyle name="Normal 5 5 4" xfId="882"/>
    <cellStyle name="Normal 5 5 4 2" xfId="883"/>
    <cellStyle name="Normal 5 5 5" xfId="884"/>
    <cellStyle name="Normal 5 6" xfId="885"/>
    <cellStyle name="Normal 5 6 2" xfId="886"/>
    <cellStyle name="Normal 5 6 2 2" xfId="887"/>
    <cellStyle name="Normal 5 6 2 2 2" xfId="888"/>
    <cellStyle name="Normal 5 6 2 3" xfId="889"/>
    <cellStyle name="Normal 5 6 3" xfId="890"/>
    <cellStyle name="Normal 5 6 3 2" xfId="891"/>
    <cellStyle name="Normal 5 6 4" xfId="892"/>
    <cellStyle name="Normal 5 7" xfId="893"/>
    <cellStyle name="Normal 5 8" xfId="894"/>
    <cellStyle name="Normal 5 8 2" xfId="895"/>
    <cellStyle name="Normal 5 8 2 2" xfId="896"/>
    <cellStyle name="Normal 5 8 2 2 2" xfId="897"/>
    <cellStyle name="Normal 5 8 2 3" xfId="898"/>
    <cellStyle name="Normal 5 8 3" xfId="899"/>
    <cellStyle name="Normal 5 8 3 2" xfId="900"/>
    <cellStyle name="Normal 5 8 4" xfId="901"/>
    <cellStyle name="Normal 5 9" xfId="902"/>
    <cellStyle name="Normal 5 9 2" xfId="903"/>
    <cellStyle name="Normal 5 9 2 2" xfId="904"/>
    <cellStyle name="Normal 5 9 3" xfId="905"/>
    <cellStyle name="Normal 5_Current Payroll" xfId="906"/>
    <cellStyle name="Normal 6" xfId="78"/>
    <cellStyle name="Normal 6 10" xfId="907"/>
    <cellStyle name="Normal 6 2" xfId="79"/>
    <cellStyle name="Normal 6 2 2" xfId="111"/>
    <cellStyle name="Normal 6 2 2 2" xfId="908"/>
    <cellStyle name="Normal 6 2 2 2 2" xfId="909"/>
    <cellStyle name="Normal 6 2 2 2 2 2" xfId="910"/>
    <cellStyle name="Normal 6 2 2 2 2 2 2" xfId="911"/>
    <cellStyle name="Normal 6 2 2 2 2 3" xfId="912"/>
    <cellStyle name="Normal 6 2 2 2 3" xfId="913"/>
    <cellStyle name="Normal 6 2 2 2 3 2" xfId="914"/>
    <cellStyle name="Normal 6 2 2 2 4" xfId="915"/>
    <cellStyle name="Normal 6 2 2 3" xfId="916"/>
    <cellStyle name="Normal 6 2 2 3 2" xfId="917"/>
    <cellStyle name="Normal 6 2 2 3 2 2" xfId="918"/>
    <cellStyle name="Normal 6 2 2 3 3" xfId="919"/>
    <cellStyle name="Normal 6 2 2 4" xfId="920"/>
    <cellStyle name="Normal 6 2 2 4 2" xfId="921"/>
    <cellStyle name="Normal 6 2 2 5" xfId="922"/>
    <cellStyle name="Normal 6 2 3" xfId="923"/>
    <cellStyle name="Normal 6 2 3 2" xfId="924"/>
    <cellStyle name="Normal 6 2 3 2 2" xfId="925"/>
    <cellStyle name="Normal 6 2 3 2 2 2" xfId="926"/>
    <cellStyle name="Normal 6 2 3 2 3" xfId="927"/>
    <cellStyle name="Normal 6 2 3 3" xfId="928"/>
    <cellStyle name="Normal 6 2 3 3 2" xfId="929"/>
    <cellStyle name="Normal 6 2 3 4" xfId="930"/>
    <cellStyle name="Normal 6 2 4" xfId="931"/>
    <cellStyle name="Normal 6 2 4 2" xfId="932"/>
    <cellStyle name="Normal 6 2 4 2 2" xfId="933"/>
    <cellStyle name="Normal 6 2 4 2 2 2" xfId="934"/>
    <cellStyle name="Normal 6 2 4 2 3" xfId="935"/>
    <cellStyle name="Normal 6 2 4 3" xfId="936"/>
    <cellStyle name="Normal 6 2 4 3 2" xfId="937"/>
    <cellStyle name="Normal 6 2 4 4" xfId="938"/>
    <cellStyle name="Normal 6 2 5" xfId="939"/>
    <cellStyle name="Normal 6 2 5 2" xfId="940"/>
    <cellStyle name="Normal 6 2 5 2 2" xfId="941"/>
    <cellStyle name="Normal 6 2 5 2 2 2" xfId="942"/>
    <cellStyle name="Normal 6 2 5 2 3" xfId="943"/>
    <cellStyle name="Normal 6 2 5 3" xfId="944"/>
    <cellStyle name="Normal 6 2 5 3 2" xfId="945"/>
    <cellStyle name="Normal 6 2 5 4" xfId="946"/>
    <cellStyle name="Normal 6 2 6" xfId="947"/>
    <cellStyle name="Normal 6 2 6 2" xfId="948"/>
    <cellStyle name="Normal 6 2 6 2 2" xfId="949"/>
    <cellStyle name="Normal 6 2 6 3" xfId="950"/>
    <cellStyle name="Normal 6 2 7" xfId="951"/>
    <cellStyle name="Normal 6 2 7 2" xfId="952"/>
    <cellStyle name="Normal 6 2 8" xfId="953"/>
    <cellStyle name="Normal 6 2 9" xfId="954"/>
    <cellStyle name="Normal 6 3" xfId="80"/>
    <cellStyle name="Normal 6 3 2" xfId="955"/>
    <cellStyle name="Normal 6 3 2 2" xfId="956"/>
    <cellStyle name="Normal 6 3 2 2 2" xfId="957"/>
    <cellStyle name="Normal 6 3 2 2 2 2" xfId="958"/>
    <cellStyle name="Normal 6 3 2 2 3" xfId="959"/>
    <cellStyle name="Normal 6 3 2 3" xfId="960"/>
    <cellStyle name="Normal 6 3 2 3 2" xfId="961"/>
    <cellStyle name="Normal 6 3 2 4" xfId="962"/>
    <cellStyle name="Normal 6 3 3" xfId="963"/>
    <cellStyle name="Normal 6 3 3 2" xfId="964"/>
    <cellStyle name="Normal 6 3 3 2 2" xfId="965"/>
    <cellStyle name="Normal 6 3 3 2 2 2" xfId="966"/>
    <cellStyle name="Normal 6 3 3 2 3" xfId="967"/>
    <cellStyle name="Normal 6 3 3 3" xfId="968"/>
    <cellStyle name="Normal 6 3 3 3 2" xfId="969"/>
    <cellStyle name="Normal 6 3 3 4" xfId="970"/>
    <cellStyle name="Normal 6 4" xfId="971"/>
    <cellStyle name="Normal 6 4 2" xfId="972"/>
    <cellStyle name="Normal 6 4 2 2" xfId="973"/>
    <cellStyle name="Normal 6 4 2 2 2" xfId="974"/>
    <cellStyle name="Normal 6 4 2 2 2 2" xfId="975"/>
    <cellStyle name="Normal 6 4 2 2 3" xfId="976"/>
    <cellStyle name="Normal 6 4 2 3" xfId="977"/>
    <cellStyle name="Normal 6 4 2 3 2" xfId="978"/>
    <cellStyle name="Normal 6 4 2 4" xfId="979"/>
    <cellStyle name="Normal 6 5" xfId="980"/>
    <cellStyle name="Normal 6 5 2" xfId="981"/>
    <cellStyle name="Normal 6 5 2 2" xfId="982"/>
    <cellStyle name="Normal 6 5 2 2 2" xfId="983"/>
    <cellStyle name="Normal 6 5 2 3" xfId="984"/>
    <cellStyle name="Normal 6 5 3" xfId="985"/>
    <cellStyle name="Normal 6 5 3 2" xfId="986"/>
    <cellStyle name="Normal 6 5 4" xfId="987"/>
    <cellStyle name="Normal 6 6" xfId="988"/>
    <cellStyle name="Normal 6 6 2" xfId="989"/>
    <cellStyle name="Normal 6 6 2 2" xfId="990"/>
    <cellStyle name="Normal 6 6 2 2 2" xfId="991"/>
    <cellStyle name="Normal 6 6 2 3" xfId="992"/>
    <cellStyle name="Normal 6 6 3" xfId="993"/>
    <cellStyle name="Normal 6 6 3 2" xfId="994"/>
    <cellStyle name="Normal 6 6 4" xfId="995"/>
    <cellStyle name="Normal 6 7" xfId="996"/>
    <cellStyle name="Normal 6 7 2" xfId="997"/>
    <cellStyle name="Normal 6 7 2 2" xfId="998"/>
    <cellStyle name="Normal 6 7 3" xfId="999"/>
    <cellStyle name="Normal 6 8" xfId="1000"/>
    <cellStyle name="Normal 6 8 2" xfId="1001"/>
    <cellStyle name="Normal 6 9" xfId="1002"/>
    <cellStyle name="Normal 6_Current Payroll" xfId="1003"/>
    <cellStyle name="Normal 7" xfId="81"/>
    <cellStyle name="Normal 7 2" xfId="82"/>
    <cellStyle name="Normal 7 2 2" xfId="1004"/>
    <cellStyle name="Normal 7 2 2 2" xfId="1005"/>
    <cellStyle name="Normal 7 2 2 2 2" xfId="1006"/>
    <cellStyle name="Normal 7 2 2 2 2 2" xfId="1007"/>
    <cellStyle name="Normal 7 2 2 2 3" xfId="1008"/>
    <cellStyle name="Normal 7 2 2 3" xfId="1009"/>
    <cellStyle name="Normal 7 2 2 3 2" xfId="1010"/>
    <cellStyle name="Normal 7 2 2 4" xfId="1011"/>
    <cellStyle name="Normal 7 2 3" xfId="1012"/>
    <cellStyle name="Normal 7 2 3 2" xfId="1013"/>
    <cellStyle name="Normal 7 2 3 2 2" xfId="1014"/>
    <cellStyle name="Normal 7 2 3 2 2 2" xfId="1015"/>
    <cellStyle name="Normal 7 2 3 2 3" xfId="1016"/>
    <cellStyle name="Normal 7 2 3 3" xfId="1017"/>
    <cellStyle name="Normal 7 2 3 3 2" xfId="1018"/>
    <cellStyle name="Normal 7 2 3 4" xfId="1019"/>
    <cellStyle name="Normal 7 3" xfId="1020"/>
    <cellStyle name="Normal 7 3 2" xfId="1021"/>
    <cellStyle name="Normal 7 3 2 2" xfId="1022"/>
    <cellStyle name="Normal 7 3 2 2 2" xfId="1023"/>
    <cellStyle name="Normal 7 3 2 2 2 2" xfId="1024"/>
    <cellStyle name="Normal 7 3 2 2 3" xfId="1025"/>
    <cellStyle name="Normal 7 3 2 3" xfId="1026"/>
    <cellStyle name="Normal 7 3 2 3 2" xfId="1027"/>
    <cellStyle name="Normal 7 3 2 4" xfId="1028"/>
    <cellStyle name="Normal 7 4" xfId="1029"/>
    <cellStyle name="Normal 7 4 2" xfId="1030"/>
    <cellStyle name="Normal 7 4 2 2" xfId="1031"/>
    <cellStyle name="Normal 7 4 2 2 2" xfId="1032"/>
    <cellStyle name="Normal 7 4 2 3" xfId="1033"/>
    <cellStyle name="Normal 7 4 3" xfId="1034"/>
    <cellStyle name="Normal 7 4 3 2" xfId="1035"/>
    <cellStyle name="Normal 7 4 4" xfId="1036"/>
    <cellStyle name="Normal 7 5" xfId="1037"/>
    <cellStyle name="Normal 7 5 2" xfId="1038"/>
    <cellStyle name="Normal 7 5 2 2" xfId="1039"/>
    <cellStyle name="Normal 7 5 2 2 2" xfId="1040"/>
    <cellStyle name="Normal 7 5 2 3" xfId="1041"/>
    <cellStyle name="Normal 7 5 3" xfId="1042"/>
    <cellStyle name="Normal 7 5 3 2" xfId="1043"/>
    <cellStyle name="Normal 7 5 4" xfId="1044"/>
    <cellStyle name="Normal 7 6" xfId="1045"/>
    <cellStyle name="Normal 8" xfId="83"/>
    <cellStyle name="Normal 8 2" xfId="1046"/>
    <cellStyle name="Normal 8 2 2" xfId="1047"/>
    <cellStyle name="Normal 8 2 2 2" xfId="1048"/>
    <cellStyle name="Normal 8 2 2 2 2" xfId="1049"/>
    <cellStyle name="Normal 8 2 2 2 2 2" xfId="1050"/>
    <cellStyle name="Normal 8 2 2 2 3" xfId="1051"/>
    <cellStyle name="Normal 8 2 2 3" xfId="1052"/>
    <cellStyle name="Normal 8 2 2 3 2" xfId="1053"/>
    <cellStyle name="Normal 8 2 2 4" xfId="1054"/>
    <cellStyle name="Normal 8 2 3" xfId="1055"/>
    <cellStyle name="Normal 8 2 3 2" xfId="1056"/>
    <cellStyle name="Normal 8 2 3 2 2" xfId="1057"/>
    <cellStyle name="Normal 8 2 3 2 2 2" xfId="1058"/>
    <cellStyle name="Normal 8 2 3 2 3" xfId="1059"/>
    <cellStyle name="Normal 8 2 3 3" xfId="1060"/>
    <cellStyle name="Normal 8 2 3 3 2" xfId="1061"/>
    <cellStyle name="Normal 8 2 3 4" xfId="1062"/>
    <cellStyle name="Normal 8 2 4" xfId="1063"/>
    <cellStyle name="Normal 8 2 4 2" xfId="1064"/>
    <cellStyle name="Normal 8 2 4 2 2" xfId="1065"/>
    <cellStyle name="Normal 8 2 4 3" xfId="1066"/>
    <cellStyle name="Normal 8 2 5" xfId="1067"/>
    <cellStyle name="Normal 8 2 5 2" xfId="1068"/>
    <cellStyle name="Normal 8 2 6" xfId="1069"/>
    <cellStyle name="Normal 8 3" xfId="1070"/>
    <cellStyle name="Normal 8 3 2" xfId="1071"/>
    <cellStyle name="Normal 8 3 2 2" xfId="1072"/>
    <cellStyle name="Normal 8 3 2 2 2" xfId="1073"/>
    <cellStyle name="Normal 8 3 2 2 2 2" xfId="1074"/>
    <cellStyle name="Normal 8 3 2 2 3" xfId="1075"/>
    <cellStyle name="Normal 8 3 2 3" xfId="1076"/>
    <cellStyle name="Normal 8 3 2 3 2" xfId="1077"/>
    <cellStyle name="Normal 8 3 2 4" xfId="1078"/>
    <cellStyle name="Normal 8 3 3" xfId="1079"/>
    <cellStyle name="Normal 8 3 3 2" xfId="1080"/>
    <cellStyle name="Normal 8 3 3 2 2" xfId="1081"/>
    <cellStyle name="Normal 8 3 3 3" xfId="1082"/>
    <cellStyle name="Normal 8 3 4" xfId="1083"/>
    <cellStyle name="Normal 8 3 4 2" xfId="1084"/>
    <cellStyle name="Normal 8 3 5" xfId="1085"/>
    <cellStyle name="Normal 8 4" xfId="1086"/>
    <cellStyle name="Normal 8 4 2" xfId="1087"/>
    <cellStyle name="Normal 8 4 2 2" xfId="1088"/>
    <cellStyle name="Normal 8 4 2 2 2" xfId="1089"/>
    <cellStyle name="Normal 8 4 2 3" xfId="1090"/>
    <cellStyle name="Normal 8 4 3" xfId="1091"/>
    <cellStyle name="Normal 8 4 3 2" xfId="1092"/>
    <cellStyle name="Normal 8 4 4" xfId="1093"/>
    <cellStyle name="Normal 8 5" xfId="1094"/>
    <cellStyle name="Normal 8 5 2" xfId="1095"/>
    <cellStyle name="Normal 8 5 2 2" xfId="1096"/>
    <cellStyle name="Normal 8 5 2 2 2" xfId="1097"/>
    <cellStyle name="Normal 8 5 2 3" xfId="1098"/>
    <cellStyle name="Normal 8 5 3" xfId="1099"/>
    <cellStyle name="Normal 8 5 3 2" xfId="1100"/>
    <cellStyle name="Normal 8 5 4" xfId="1101"/>
    <cellStyle name="Normal 8 6" xfId="1102"/>
    <cellStyle name="Normal 8 6 2" xfId="1103"/>
    <cellStyle name="Normal 8 6 2 2" xfId="1104"/>
    <cellStyle name="Normal 8 6 3" xfId="1105"/>
    <cellStyle name="Normal 8 7" xfId="1106"/>
    <cellStyle name="Normal 8 7 2" xfId="1107"/>
    <cellStyle name="Normal 8 8" xfId="1108"/>
    <cellStyle name="Normal 8_HH" xfId="1109"/>
    <cellStyle name="Normal 9" xfId="84"/>
    <cellStyle name="Normal 9 2" xfId="1110"/>
    <cellStyle name="Normal 9 3" xfId="1111"/>
    <cellStyle name="Normal 9 3 2" xfId="1112"/>
    <cellStyle name="Normal 9 3 2 2" xfId="1113"/>
    <cellStyle name="Normal 9 3 3" xfId="1114"/>
    <cellStyle name="Normal 9 4" xfId="1115"/>
    <cellStyle name="Normal 9 4 2" xfId="1116"/>
    <cellStyle name="Normal 9 5" xfId="1117"/>
    <cellStyle name="Normal_DYS Rate Options 6.8.10 for DYS Review" xfId="106"/>
    <cellStyle name="Note 2" xfId="85"/>
    <cellStyle name="Note 2 2" xfId="1118"/>
    <cellStyle name="Note 2 3" xfId="1119"/>
    <cellStyle name="Note 2 4" xfId="1120"/>
    <cellStyle name="Output 2" xfId="86"/>
    <cellStyle name="Output 2 2" xfId="1121"/>
    <cellStyle name="Output 2 3" xfId="1122"/>
    <cellStyle name="Percent" xfId="105" builtinId="5"/>
    <cellStyle name="Percent 10" xfId="118"/>
    <cellStyle name="Percent 2" xfId="87"/>
    <cellStyle name="Percent 2 2" xfId="88"/>
    <cellStyle name="Percent 2 3" xfId="1134"/>
    <cellStyle name="Percent 3" xfId="89"/>
    <cellStyle name="Percent 3 2" xfId="90"/>
    <cellStyle name="Percent 4" xfId="91"/>
    <cellStyle name="Percent 4 2" xfId="92"/>
    <cellStyle name="Percent 4 3" xfId="1123"/>
    <cellStyle name="Percent 4 3 2" xfId="1124"/>
    <cellStyle name="Percent 4 3 2 2" xfId="1125"/>
    <cellStyle name="Percent 4 3 3" xfId="1126"/>
    <cellStyle name="Percent 4 4" xfId="1127"/>
    <cellStyle name="Percent 4 4 2" xfId="1128"/>
    <cellStyle name="Percent 4 5" xfId="1129"/>
    <cellStyle name="Percent 5" xfId="93"/>
    <cellStyle name="Percent 5 2" xfId="94"/>
    <cellStyle name="Percent 6" xfId="95"/>
    <cellStyle name="Percent 6 2" xfId="96"/>
    <cellStyle name="Percent 6 3" xfId="97"/>
    <cellStyle name="Percent 7" xfId="98"/>
    <cellStyle name="Percent 8" xfId="99"/>
    <cellStyle name="Percent 9" xfId="108"/>
    <cellStyle name="Percent 9 2" xfId="1135"/>
    <cellStyle name="Style 1" xfId="1136"/>
    <cellStyle name="Style 2" xfId="1137"/>
    <cellStyle name="Title 2" xfId="100"/>
    <cellStyle name="Total 2" xfId="101"/>
    <cellStyle name="Total 2 2" xfId="1130"/>
    <cellStyle name="Total 2 3" xfId="1131"/>
    <cellStyle name="Warning Text 2" xfId="102"/>
  </cellStyles>
  <dxfs count="0"/>
  <tableStyles count="0" defaultTableStyle="TableStyleMedium2" defaultPivotStyle="PivotStyleLight16"/>
  <colors>
    <mruColors>
      <color rgb="FFF4FC9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Family%20Stab-CMR%20414/Rate%20Review%20Jan%201,%202020/1.%20Strategy%20Team%20Materials/1.%20Strategy%20Team%20Materials/FSTB%20UFR%20Analysi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Family%20Stab-CMR%20414/Rate%20Review%20Jan%201,%202020/1.%20Strategy%20Team%20Materials/1.%20DCF%20Models%20FNSO%20&amp;%20FNSS%207.15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Rate%20Setting/Rate%20Projects/Family%20Stab_/1.%20Strategy%20Team%20Materials/Rate%20Review/Archive/Agency%20With%20Choice-Family%20Navigation%2011-7-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Family%20Stab-CMR%20414/Rate%20Review%20Jan%201,%202020/1.%20Strategy%20Team%20Materials/Family%20Stab%20All%20Models%206.17.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Family%20Stab-CMR%20414/Rate%20Review%20Jan%201,%202020/1.%20Strategy%20Team%20Materials/DDS%20Compa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attimore/AppData/Local/Microsoft/Windows/Temporary%20Internet%20Files/Content.Outlook/Y2K7L5ZK/Family%20Stab%20post%206.18.19%20Meet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Family%20Stab_/1.%20Strategy%20Team%20Materials/Rate%20Review/OLD/Behavioral%20Support%20Bachelor%20(8)%2011-7-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Family%20Stab_/Rate%20Review%20January%201,%202018/1.%20Strategy%20Team%20Materials/Original%20Models%20All%20Family%20Stab%20Rates%20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ias/Local%20Settings/Temporary%20Internet%20Files/Content.Outlook/HI2EAXS5/Comprehensive%20Models%20final%20-%20testing%20some%20newer%20sal%20benchmark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F"/>
      <sheetName val="Profit &amp; Loss"/>
      <sheetName val="Below the line"/>
      <sheetName val="FTEs by category"/>
      <sheetName val="Clean Data"/>
      <sheetName val="Raw Data Calcs"/>
      <sheetName val="Pivot"/>
      <sheetName val="PivotData"/>
      <sheetName val="ADD TO PIVOT DATA"/>
      <sheetName val="HOW TO"/>
      <sheetName val="Sheet3"/>
    </sheetNames>
    <sheetDataSet>
      <sheetData sheetId="0"/>
      <sheetData sheetId="1"/>
      <sheetData sheetId="2"/>
      <sheetData sheetId="3"/>
      <sheetData sheetId="4">
        <row r="3">
          <cell r="DR3">
            <v>61010.320181580093</v>
          </cell>
          <cell r="DU3">
            <v>76097.27568506448</v>
          </cell>
          <cell r="DX3">
            <v>50876.637640486835</v>
          </cell>
          <cell r="EA3">
            <v>56164.657265085661</v>
          </cell>
          <cell r="ED3">
            <v>211326.08530568847</v>
          </cell>
          <cell r="EG3" t="str">
            <v>-</v>
          </cell>
          <cell r="EJ3">
            <v>119470.79583333334</v>
          </cell>
          <cell r="EM3">
            <v>61360.01812728223</v>
          </cell>
          <cell r="EP3">
            <v>47834.571428571428</v>
          </cell>
          <cell r="ES3" t="str">
            <v>-</v>
          </cell>
          <cell r="EV3" t="str">
            <v>-</v>
          </cell>
          <cell r="EY3" t="str">
            <v>-</v>
          </cell>
          <cell r="FB3">
            <v>136614.28571428571</v>
          </cell>
          <cell r="FE3" t="str">
            <v>-</v>
          </cell>
          <cell r="FH3">
            <v>22880</v>
          </cell>
          <cell r="FK3">
            <v>44526.25</v>
          </cell>
          <cell r="FN3">
            <v>35334</v>
          </cell>
          <cell r="FQ3">
            <v>29864.912280701756</v>
          </cell>
          <cell r="FT3">
            <v>35819</v>
          </cell>
          <cell r="FW3">
            <v>28958.476617131648</v>
          </cell>
          <cell r="FZ3">
            <v>77092.295635179151</v>
          </cell>
          <cell r="GC3">
            <v>57606.05088107453</v>
          </cell>
          <cell r="GF3">
            <v>38196.781317628811</v>
          </cell>
          <cell r="GI3">
            <v>48001.386602029866</v>
          </cell>
          <cell r="GL3">
            <v>51776.57060946658</v>
          </cell>
          <cell r="GO3">
            <v>39733.333333333336</v>
          </cell>
          <cell r="GR3" t="str">
            <v>-</v>
          </cell>
          <cell r="GU3">
            <v>36859.335634644187</v>
          </cell>
          <cell r="GX3">
            <v>45862.241185961226</v>
          </cell>
          <cell r="HA3">
            <v>39988.697065938359</v>
          </cell>
          <cell r="HD3">
            <v>43678.007412866726</v>
          </cell>
          <cell r="HG3">
            <v>41518.380331094391</v>
          </cell>
          <cell r="HJ3">
            <v>35456.073732297933</v>
          </cell>
          <cell r="HM3">
            <v>33506.154205242136</v>
          </cell>
          <cell r="HP3">
            <v>37584.301726143844</v>
          </cell>
          <cell r="HS3">
            <v>37541.902968536859</v>
          </cell>
          <cell r="HV3">
            <v>55762.954234084253</v>
          </cell>
        </row>
        <row r="4">
          <cell r="DR4">
            <v>58046.8310929172</v>
          </cell>
          <cell r="DU4">
            <v>69776.120507390224</v>
          </cell>
          <cell r="DX4">
            <v>55904.454226395348</v>
          </cell>
          <cell r="EA4">
            <v>55196.353224621802</v>
          </cell>
          <cell r="ED4">
            <v>203118.42872928173</v>
          </cell>
          <cell r="EG4" t="str">
            <v>-</v>
          </cell>
          <cell r="EJ4">
            <v>113011.29117647059</v>
          </cell>
          <cell r="EM4">
            <v>61177.742642525984</v>
          </cell>
          <cell r="EP4">
            <v>54031.22362869198</v>
          </cell>
          <cell r="ES4" t="str">
            <v>-</v>
          </cell>
          <cell r="EV4" t="str">
            <v>-</v>
          </cell>
          <cell r="EY4" t="str">
            <v>-</v>
          </cell>
          <cell r="FB4">
            <v>136614.28571428571</v>
          </cell>
          <cell r="FE4" t="str">
            <v>-</v>
          </cell>
          <cell r="FH4">
            <v>15000</v>
          </cell>
          <cell r="FK4">
            <v>51447.16981132076</v>
          </cell>
          <cell r="FN4">
            <v>35334</v>
          </cell>
          <cell r="FQ4">
            <v>29864.912280701756</v>
          </cell>
          <cell r="FT4">
            <v>35819</v>
          </cell>
          <cell r="FW4">
            <v>23411.794779328702</v>
          </cell>
          <cell r="FZ4">
            <v>82198.054621848743</v>
          </cell>
          <cell r="GC4">
            <v>49320.037538610981</v>
          </cell>
          <cell r="GF4">
            <v>48012.170212765952</v>
          </cell>
          <cell r="GI4">
            <v>49044.243626062322</v>
          </cell>
          <cell r="GL4">
            <v>50951.23676880222</v>
          </cell>
          <cell r="GO4">
            <v>39733.333333333336</v>
          </cell>
          <cell r="GR4" t="str">
            <v>-</v>
          </cell>
          <cell r="GU4">
            <v>37420.781577588605</v>
          </cell>
          <cell r="GX4">
            <v>45956.198127675154</v>
          </cell>
          <cell r="HA4">
            <v>40107.407362818318</v>
          </cell>
          <cell r="HD4">
            <v>43870.345026278927</v>
          </cell>
          <cell r="HG4">
            <v>35846.028713418003</v>
          </cell>
          <cell r="HJ4">
            <v>36908.056204130109</v>
          </cell>
          <cell r="HM4">
            <v>29431.002746345879</v>
          </cell>
          <cell r="HP4">
            <v>37441.063168085981</v>
          </cell>
          <cell r="HS4">
            <v>34639.695170802974</v>
          </cell>
          <cell r="HV4">
            <v>40894.878706199459</v>
          </cell>
        </row>
        <row r="5">
          <cell r="DR5">
            <v>60191.333333333336</v>
          </cell>
          <cell r="DU5">
            <v>74850</v>
          </cell>
          <cell r="DX5">
            <v>49248</v>
          </cell>
          <cell r="EA5">
            <v>50000</v>
          </cell>
          <cell r="ED5">
            <v>222315.15151515152</v>
          </cell>
          <cell r="EG5" t="str">
            <v>-</v>
          </cell>
          <cell r="EJ5">
            <v>119470.79583333334</v>
          </cell>
          <cell r="EM5">
            <v>60515.730337078654</v>
          </cell>
          <cell r="EP5">
            <v>45980</v>
          </cell>
          <cell r="ES5" t="str">
            <v>-</v>
          </cell>
          <cell r="EV5" t="str">
            <v>-</v>
          </cell>
          <cell r="EY5" t="str">
            <v>-</v>
          </cell>
          <cell r="FB5">
            <v>136614.28571428571</v>
          </cell>
          <cell r="FE5" t="str">
            <v>-</v>
          </cell>
          <cell r="FH5">
            <v>22880</v>
          </cell>
          <cell r="FK5">
            <v>44526.25</v>
          </cell>
          <cell r="FN5">
            <v>35334</v>
          </cell>
          <cell r="FQ5">
            <v>29864.912280701756</v>
          </cell>
          <cell r="FT5">
            <v>35819</v>
          </cell>
          <cell r="FW5">
            <v>24323.1884057971</v>
          </cell>
          <cell r="FZ5">
            <v>77092.295635179151</v>
          </cell>
          <cell r="GC5">
            <v>62189.28571428571</v>
          </cell>
          <cell r="GF5">
            <v>34650</v>
          </cell>
          <cell r="GI5">
            <v>47319.196988707656</v>
          </cell>
          <cell r="GL5">
            <v>51040</v>
          </cell>
          <cell r="GO5">
            <v>39733.333333333336</v>
          </cell>
          <cell r="GR5" t="str">
            <v>-</v>
          </cell>
          <cell r="GU5">
            <v>37462.361111111109</v>
          </cell>
          <cell r="GX5">
            <v>47475.899877428281</v>
          </cell>
          <cell r="HA5">
            <v>40064.307692307688</v>
          </cell>
          <cell r="HD5">
            <v>44236.100496277912</v>
          </cell>
          <cell r="HG5">
            <v>42081.468652037613</v>
          </cell>
          <cell r="HJ5">
            <v>35159.419354838712</v>
          </cell>
          <cell r="HM5">
            <v>30862.5</v>
          </cell>
          <cell r="HP5">
            <v>36596.951219512193</v>
          </cell>
          <cell r="HS5">
            <v>38034.782608695648</v>
          </cell>
          <cell r="HV5">
            <v>36200.335570469797</v>
          </cell>
        </row>
        <row r="6">
          <cell r="DR6">
            <v>107970</v>
          </cell>
          <cell r="DU6">
            <v>142099.99999999997</v>
          </cell>
          <cell r="DX6">
            <v>80933.333333333343</v>
          </cell>
          <cell r="EA6">
            <v>91938.271604938273</v>
          </cell>
          <cell r="ED6">
            <v>340263.15789473685</v>
          </cell>
          <cell r="EG6" t="str">
            <v>-</v>
          </cell>
          <cell r="EJ6">
            <v>129453.66666666667</v>
          </cell>
          <cell r="EM6">
            <v>91500</v>
          </cell>
          <cell r="EP6">
            <v>55761.333333333336</v>
          </cell>
          <cell r="ES6" t="str">
            <v>-</v>
          </cell>
          <cell r="EV6" t="str">
            <v>-</v>
          </cell>
          <cell r="EY6" t="str">
            <v>-</v>
          </cell>
          <cell r="FB6">
            <v>136614.28571428571</v>
          </cell>
          <cell r="FE6" t="str">
            <v>-</v>
          </cell>
          <cell r="FH6">
            <v>22880</v>
          </cell>
          <cell r="FK6">
            <v>54440.000000000007</v>
          </cell>
          <cell r="FN6">
            <v>35334</v>
          </cell>
          <cell r="FQ6">
            <v>29864.912280701756</v>
          </cell>
          <cell r="FT6">
            <v>35819</v>
          </cell>
          <cell r="FW6">
            <v>39672.241445597843</v>
          </cell>
          <cell r="FZ6">
            <v>84184.731270358316</v>
          </cell>
          <cell r="GC6">
            <v>87980</v>
          </cell>
          <cell r="GF6">
            <v>60545.454545454544</v>
          </cell>
          <cell r="GI6">
            <v>53720.180511182116</v>
          </cell>
          <cell r="GL6">
            <v>65914.28571428571</v>
          </cell>
          <cell r="GO6">
            <v>39733.333333333336</v>
          </cell>
          <cell r="GR6" t="str">
            <v>-</v>
          </cell>
          <cell r="GU6">
            <v>49267.267267267271</v>
          </cell>
          <cell r="GX6">
            <v>59112.5</v>
          </cell>
          <cell r="HA6">
            <v>54580.000000000007</v>
          </cell>
          <cell r="HD6">
            <v>61551.818181818177</v>
          </cell>
          <cell r="HG6">
            <v>54117.460317460318</v>
          </cell>
          <cell r="HJ6">
            <v>50745.299999999996</v>
          </cell>
          <cell r="HM6">
            <v>53166.666666666672</v>
          </cell>
          <cell r="HP6">
            <v>61100</v>
          </cell>
          <cell r="HS6">
            <v>60053.846153846149</v>
          </cell>
          <cell r="HV6">
            <v>96346.666666666672</v>
          </cell>
        </row>
        <row r="7">
          <cell r="DR7">
            <v>22880</v>
          </cell>
          <cell r="DU7">
            <v>22880</v>
          </cell>
          <cell r="DX7">
            <v>22880</v>
          </cell>
          <cell r="EA7">
            <v>22880</v>
          </cell>
          <cell r="ED7">
            <v>85050</v>
          </cell>
          <cell r="EG7" t="str">
            <v>-</v>
          </cell>
          <cell r="EJ7">
            <v>109487.925</v>
          </cell>
          <cell r="EM7">
            <v>37700</v>
          </cell>
          <cell r="EP7">
            <v>36700</v>
          </cell>
          <cell r="ES7" t="str">
            <v>-</v>
          </cell>
          <cell r="EV7" t="str">
            <v>-</v>
          </cell>
          <cell r="EY7" t="str">
            <v>-</v>
          </cell>
          <cell r="FB7">
            <v>136614.28571428571</v>
          </cell>
          <cell r="FE7" t="str">
            <v>-</v>
          </cell>
          <cell r="FH7">
            <v>22880</v>
          </cell>
          <cell r="FK7">
            <v>34612.5</v>
          </cell>
          <cell r="FN7">
            <v>35334</v>
          </cell>
          <cell r="FQ7">
            <v>29864.912280701756</v>
          </cell>
          <cell r="FT7">
            <v>35819</v>
          </cell>
          <cell r="FW7">
            <v>22880</v>
          </cell>
          <cell r="FZ7">
            <v>69999.86</v>
          </cell>
          <cell r="GC7">
            <v>22880</v>
          </cell>
          <cell r="GF7">
            <v>22880</v>
          </cell>
          <cell r="GI7">
            <v>41976.040358744402</v>
          </cell>
          <cell r="GL7">
            <v>42460</v>
          </cell>
          <cell r="GO7">
            <v>39733.333333333336</v>
          </cell>
          <cell r="GR7" t="str">
            <v>-</v>
          </cell>
          <cell r="GU7">
            <v>23866.666666666668</v>
          </cell>
          <cell r="GX7">
            <v>32746</v>
          </cell>
          <cell r="HA7">
            <v>22880</v>
          </cell>
          <cell r="HD7">
            <v>29300</v>
          </cell>
          <cell r="HG7">
            <v>30250.113378684808</v>
          </cell>
          <cell r="HJ7">
            <v>22880</v>
          </cell>
          <cell r="HM7">
            <v>22880</v>
          </cell>
          <cell r="HP7">
            <v>22880</v>
          </cell>
          <cell r="HS7">
            <v>22880</v>
          </cell>
          <cell r="HV7">
            <v>34741.860465116282</v>
          </cell>
        </row>
      </sheetData>
      <sheetData sheetId="5">
        <row r="1">
          <cell r="A1">
            <v>479</v>
          </cell>
        </row>
        <row r="8">
          <cell r="DQ8">
            <v>0.87</v>
          </cell>
          <cell r="DR8">
            <v>75300</v>
          </cell>
          <cell r="DT8">
            <v>0.34</v>
          </cell>
          <cell r="DU8">
            <v>133232.35294117645</v>
          </cell>
          <cell r="DW8">
            <v>0</v>
          </cell>
          <cell r="DX8" t="str">
            <v/>
          </cell>
          <cell r="DZ8">
            <v>0</v>
          </cell>
          <cell r="EA8" t="str">
            <v/>
          </cell>
          <cell r="EC8">
            <v>0</v>
          </cell>
          <cell r="ED8" t="str">
            <v/>
          </cell>
          <cell r="EF8">
            <v>0</v>
          </cell>
          <cell r="EG8" t="str">
            <v/>
          </cell>
          <cell r="EI8">
            <v>0</v>
          </cell>
          <cell r="EJ8" t="str">
            <v/>
          </cell>
          <cell r="EL8">
            <v>0.23</v>
          </cell>
          <cell r="EM8">
            <v>63252.173913043473</v>
          </cell>
          <cell r="EO8">
            <v>0</v>
          </cell>
          <cell r="EP8" t="str">
            <v/>
          </cell>
          <cell r="ER8">
            <v>0</v>
          </cell>
          <cell r="ES8" t="str">
            <v/>
          </cell>
          <cell r="EU8">
            <v>0</v>
          </cell>
          <cell r="EV8" t="str">
            <v/>
          </cell>
          <cell r="EX8">
            <v>0</v>
          </cell>
          <cell r="EY8" t="str">
            <v/>
          </cell>
          <cell r="FA8">
            <v>0</v>
          </cell>
          <cell r="FB8" t="str">
            <v/>
          </cell>
          <cell r="FD8">
            <v>0</v>
          </cell>
          <cell r="FE8" t="str">
            <v/>
          </cell>
          <cell r="FG8">
            <v>0</v>
          </cell>
          <cell r="FH8" t="str">
            <v/>
          </cell>
          <cell r="FJ8">
            <v>0</v>
          </cell>
          <cell r="FK8" t="str">
            <v/>
          </cell>
          <cell r="FM8">
            <v>0</v>
          </cell>
          <cell r="FN8" t="str">
            <v/>
          </cell>
          <cell r="FP8">
            <v>0</v>
          </cell>
          <cell r="FQ8" t="str">
            <v/>
          </cell>
          <cell r="FS8">
            <v>0</v>
          </cell>
          <cell r="FT8" t="str">
            <v/>
          </cell>
          <cell r="FV8">
            <v>0</v>
          </cell>
          <cell r="FW8" t="str">
            <v/>
          </cell>
          <cell r="FY8">
            <v>0</v>
          </cell>
          <cell r="FZ8" t="str">
            <v/>
          </cell>
          <cell r="GB8">
            <v>0.55000000000000004</v>
          </cell>
          <cell r="GC8">
            <v>45825.454545454544</v>
          </cell>
          <cell r="GE8">
            <v>0</v>
          </cell>
          <cell r="GF8" t="str">
            <v/>
          </cell>
          <cell r="GH8">
            <v>0</v>
          </cell>
          <cell r="GI8" t="str">
            <v/>
          </cell>
          <cell r="GK8">
            <v>0</v>
          </cell>
          <cell r="GL8" t="str">
            <v/>
          </cell>
          <cell r="GN8">
            <v>0</v>
          </cell>
          <cell r="GO8" t="str">
            <v/>
          </cell>
          <cell r="GQ8">
            <v>0</v>
          </cell>
          <cell r="GR8" t="str">
            <v/>
          </cell>
          <cell r="GT8">
            <v>0</v>
          </cell>
          <cell r="GU8" t="str">
            <v/>
          </cell>
          <cell r="GW8">
            <v>0</v>
          </cell>
          <cell r="GX8" t="str">
            <v/>
          </cell>
          <cell r="GZ8">
            <v>0</v>
          </cell>
          <cell r="HA8" t="str">
            <v/>
          </cell>
          <cell r="HC8">
            <v>4.99</v>
          </cell>
          <cell r="HD8">
            <v>47669.739478957912</v>
          </cell>
          <cell r="HF8">
            <v>3.19</v>
          </cell>
          <cell r="HG8">
            <v>42479.937304075233</v>
          </cell>
          <cell r="HI8">
            <v>8</v>
          </cell>
          <cell r="HJ8">
            <v>30425.5</v>
          </cell>
          <cell r="HL8">
            <v>5.49</v>
          </cell>
          <cell r="HM8">
            <v>28477.413479052822</v>
          </cell>
          <cell r="HO8">
            <v>0.17</v>
          </cell>
          <cell r="HP8">
            <v>37958.823529411762</v>
          </cell>
          <cell r="HR8">
            <v>0.16</v>
          </cell>
          <cell r="HS8">
            <v>22880</v>
          </cell>
          <cell r="HU8">
            <v>0</v>
          </cell>
          <cell r="HV8" t="str">
            <v/>
          </cell>
        </row>
        <row r="9">
          <cell r="DQ9">
            <v>0.75</v>
          </cell>
          <cell r="DR9">
            <v>60016</v>
          </cell>
          <cell r="DT9">
            <v>0</v>
          </cell>
          <cell r="DU9" t="str">
            <v/>
          </cell>
          <cell r="DW9">
            <v>0</v>
          </cell>
          <cell r="DX9" t="str">
            <v/>
          </cell>
          <cell r="DZ9">
            <v>0</v>
          </cell>
          <cell r="EA9" t="str">
            <v/>
          </cell>
          <cell r="EC9">
            <v>0</v>
          </cell>
          <cell r="ED9" t="str">
            <v/>
          </cell>
          <cell r="EF9">
            <v>0</v>
          </cell>
          <cell r="EG9" t="str">
            <v/>
          </cell>
          <cell r="EI9">
            <v>0</v>
          </cell>
          <cell r="EJ9" t="str">
            <v/>
          </cell>
          <cell r="EL9">
            <v>0</v>
          </cell>
          <cell r="EM9" t="str">
            <v/>
          </cell>
          <cell r="EO9">
            <v>0</v>
          </cell>
          <cell r="EP9" t="str">
            <v/>
          </cell>
          <cell r="ER9">
            <v>0</v>
          </cell>
          <cell r="ES9" t="str">
            <v/>
          </cell>
          <cell r="EU9">
            <v>0</v>
          </cell>
          <cell r="EV9" t="str">
            <v/>
          </cell>
          <cell r="EX9">
            <v>0</v>
          </cell>
          <cell r="EY9" t="str">
            <v/>
          </cell>
          <cell r="FA9">
            <v>0</v>
          </cell>
          <cell r="FB9" t="str">
            <v/>
          </cell>
          <cell r="FD9">
            <v>0</v>
          </cell>
          <cell r="FE9" t="str">
            <v/>
          </cell>
          <cell r="FG9">
            <v>0</v>
          </cell>
          <cell r="FH9" t="str">
            <v/>
          </cell>
          <cell r="FJ9">
            <v>0</v>
          </cell>
          <cell r="FK9" t="str">
            <v/>
          </cell>
          <cell r="FM9">
            <v>0</v>
          </cell>
          <cell r="FN9" t="str">
            <v/>
          </cell>
          <cell r="FP9">
            <v>0</v>
          </cell>
          <cell r="FQ9" t="str">
            <v/>
          </cell>
          <cell r="FS9">
            <v>0</v>
          </cell>
          <cell r="FT9" t="str">
            <v/>
          </cell>
          <cell r="FV9">
            <v>0</v>
          </cell>
          <cell r="FW9" t="str">
            <v/>
          </cell>
          <cell r="FY9">
            <v>0</v>
          </cell>
          <cell r="FZ9" t="str">
            <v/>
          </cell>
          <cell r="GB9">
            <v>0</v>
          </cell>
          <cell r="GC9" t="str">
            <v/>
          </cell>
          <cell r="GE9">
            <v>0</v>
          </cell>
          <cell r="GF9" t="str">
            <v/>
          </cell>
          <cell r="GH9">
            <v>0</v>
          </cell>
          <cell r="GI9" t="str">
            <v/>
          </cell>
          <cell r="GK9">
            <v>0</v>
          </cell>
          <cell r="GL9" t="str">
            <v/>
          </cell>
          <cell r="GN9">
            <v>0</v>
          </cell>
          <cell r="GO9" t="str">
            <v/>
          </cell>
          <cell r="GQ9">
            <v>0</v>
          </cell>
          <cell r="GR9" t="str">
            <v/>
          </cell>
          <cell r="GT9">
            <v>0</v>
          </cell>
          <cell r="GU9" t="str">
            <v/>
          </cell>
          <cell r="GW9">
            <v>0</v>
          </cell>
          <cell r="GX9" t="str">
            <v/>
          </cell>
          <cell r="GZ9">
            <v>0</v>
          </cell>
          <cell r="HA9" t="str">
            <v/>
          </cell>
          <cell r="HC9">
            <v>0.89</v>
          </cell>
          <cell r="HD9">
            <v>59958.426966292136</v>
          </cell>
          <cell r="HF9">
            <v>0.76</v>
          </cell>
          <cell r="HG9">
            <v>42606.57894736842</v>
          </cell>
          <cell r="HI9">
            <v>0.86</v>
          </cell>
          <cell r="HJ9">
            <v>41962.79069767442</v>
          </cell>
          <cell r="HL9">
            <v>0</v>
          </cell>
          <cell r="HM9" t="str">
            <v/>
          </cell>
          <cell r="HO9">
            <v>0</v>
          </cell>
          <cell r="HP9" t="str">
            <v/>
          </cell>
          <cell r="HR9">
            <v>0</v>
          </cell>
          <cell r="HS9" t="str">
            <v/>
          </cell>
          <cell r="HU9">
            <v>0</v>
          </cell>
          <cell r="HV9" t="str">
            <v/>
          </cell>
        </row>
        <row r="10">
          <cell r="DQ10">
            <v>0</v>
          </cell>
          <cell r="DR10" t="str">
            <v/>
          </cell>
          <cell r="DT10">
            <v>0</v>
          </cell>
          <cell r="DU10" t="str">
            <v/>
          </cell>
          <cell r="DW10">
            <v>0</v>
          </cell>
          <cell r="DX10" t="str">
            <v/>
          </cell>
          <cell r="DZ10">
            <v>0</v>
          </cell>
          <cell r="EA10" t="str">
            <v/>
          </cell>
          <cell r="EC10">
            <v>0</v>
          </cell>
          <cell r="ED10" t="str">
            <v/>
          </cell>
          <cell r="EF10">
            <v>0</v>
          </cell>
          <cell r="EG10" t="str">
            <v/>
          </cell>
          <cell r="EI10">
            <v>0</v>
          </cell>
          <cell r="EJ10" t="str">
            <v/>
          </cell>
          <cell r="EL10">
            <v>0</v>
          </cell>
          <cell r="EM10" t="str">
            <v/>
          </cell>
          <cell r="EO10">
            <v>0</v>
          </cell>
          <cell r="EP10" t="str">
            <v/>
          </cell>
          <cell r="ER10">
            <v>0</v>
          </cell>
          <cell r="ES10" t="str">
            <v/>
          </cell>
          <cell r="EU10">
            <v>0</v>
          </cell>
          <cell r="EV10" t="str">
            <v/>
          </cell>
          <cell r="EX10">
            <v>0</v>
          </cell>
          <cell r="EY10" t="str">
            <v/>
          </cell>
          <cell r="FA10">
            <v>0</v>
          </cell>
          <cell r="FB10" t="str">
            <v/>
          </cell>
          <cell r="FD10">
            <v>0</v>
          </cell>
          <cell r="FE10" t="str">
            <v/>
          </cell>
          <cell r="FG10">
            <v>0</v>
          </cell>
          <cell r="FH10" t="str">
            <v/>
          </cell>
          <cell r="FJ10">
            <v>0</v>
          </cell>
          <cell r="FK10" t="str">
            <v/>
          </cell>
          <cell r="FM10">
            <v>0</v>
          </cell>
          <cell r="FN10" t="str">
            <v/>
          </cell>
          <cell r="FP10">
            <v>0</v>
          </cell>
          <cell r="FQ10" t="str">
            <v/>
          </cell>
          <cell r="FS10">
            <v>0</v>
          </cell>
          <cell r="FT10" t="str">
            <v/>
          </cell>
          <cell r="FV10">
            <v>0</v>
          </cell>
          <cell r="FW10" t="str">
            <v/>
          </cell>
          <cell r="FY10">
            <v>0</v>
          </cell>
          <cell r="FZ10" t="str">
            <v/>
          </cell>
          <cell r="GB10">
            <v>0</v>
          </cell>
          <cell r="GC10" t="str">
            <v/>
          </cell>
          <cell r="GE10">
            <v>0</v>
          </cell>
          <cell r="GF10" t="str">
            <v/>
          </cell>
          <cell r="GH10">
            <v>0</v>
          </cell>
          <cell r="GI10" t="str">
            <v/>
          </cell>
          <cell r="GK10">
            <v>0</v>
          </cell>
          <cell r="GL10" t="str">
            <v/>
          </cell>
          <cell r="GN10">
            <v>0</v>
          </cell>
          <cell r="GO10" t="str">
            <v/>
          </cell>
          <cell r="GQ10">
            <v>0</v>
          </cell>
          <cell r="GR10" t="str">
            <v/>
          </cell>
          <cell r="GT10">
            <v>0</v>
          </cell>
          <cell r="GU10" t="str">
            <v/>
          </cell>
          <cell r="GW10">
            <v>0</v>
          </cell>
          <cell r="GX10" t="str">
            <v/>
          </cell>
          <cell r="GZ10">
            <v>0</v>
          </cell>
          <cell r="HA10" t="str">
            <v/>
          </cell>
          <cell r="HC10">
            <v>5.25</v>
          </cell>
          <cell r="HD10">
            <v>60250.285714285717</v>
          </cell>
          <cell r="HF10">
            <v>0</v>
          </cell>
          <cell r="HG10" t="str">
            <v/>
          </cell>
          <cell r="HI10">
            <v>16.649999999999999</v>
          </cell>
          <cell r="HJ10">
            <v>35463.783783783787</v>
          </cell>
          <cell r="HL10">
            <v>0</v>
          </cell>
          <cell r="HM10" t="str">
            <v/>
          </cell>
          <cell r="HO10">
            <v>0</v>
          </cell>
          <cell r="HP10" t="str">
            <v/>
          </cell>
          <cell r="HR10">
            <v>0.15000000000000002</v>
          </cell>
          <cell r="HS10">
            <v>23059.999999999996</v>
          </cell>
          <cell r="HU10">
            <v>0</v>
          </cell>
          <cell r="HV10" t="str">
            <v/>
          </cell>
        </row>
        <row r="11">
          <cell r="DQ11">
            <v>0</v>
          </cell>
          <cell r="DR11" t="str">
            <v/>
          </cell>
          <cell r="DT11">
            <v>0</v>
          </cell>
          <cell r="DU11" t="str">
            <v/>
          </cell>
          <cell r="DW11">
            <v>0</v>
          </cell>
          <cell r="DX11" t="str">
            <v/>
          </cell>
          <cell r="DZ11">
            <v>0</v>
          </cell>
          <cell r="EA11" t="str">
            <v/>
          </cell>
          <cell r="EC11">
            <v>0</v>
          </cell>
          <cell r="ED11" t="str">
            <v/>
          </cell>
          <cell r="EF11">
            <v>0</v>
          </cell>
          <cell r="EG11" t="str">
            <v/>
          </cell>
          <cell r="EI11">
            <v>0</v>
          </cell>
          <cell r="EJ11" t="str">
            <v/>
          </cell>
          <cell r="EL11">
            <v>0</v>
          </cell>
          <cell r="EM11" t="str">
            <v/>
          </cell>
          <cell r="EO11">
            <v>0</v>
          </cell>
          <cell r="EP11" t="str">
            <v/>
          </cell>
          <cell r="ER11">
            <v>0</v>
          </cell>
          <cell r="ES11" t="str">
            <v/>
          </cell>
          <cell r="EU11">
            <v>0</v>
          </cell>
          <cell r="EV11" t="str">
            <v/>
          </cell>
          <cell r="EX11">
            <v>0</v>
          </cell>
          <cell r="EY11" t="str">
            <v/>
          </cell>
          <cell r="FA11">
            <v>0</v>
          </cell>
          <cell r="FB11" t="str">
            <v/>
          </cell>
          <cell r="FD11">
            <v>0</v>
          </cell>
          <cell r="FE11" t="str">
            <v/>
          </cell>
          <cell r="FG11">
            <v>0</v>
          </cell>
          <cell r="FH11" t="str">
            <v/>
          </cell>
          <cell r="FJ11">
            <v>0</v>
          </cell>
          <cell r="FK11" t="str">
            <v/>
          </cell>
          <cell r="FM11">
            <v>0</v>
          </cell>
          <cell r="FN11" t="str">
            <v/>
          </cell>
          <cell r="FP11">
            <v>0</v>
          </cell>
          <cell r="FQ11" t="str">
            <v/>
          </cell>
          <cell r="FS11">
            <v>0</v>
          </cell>
          <cell r="FT11" t="str">
            <v/>
          </cell>
          <cell r="FV11">
            <v>0</v>
          </cell>
          <cell r="FW11" t="str">
            <v/>
          </cell>
          <cell r="FY11">
            <v>0</v>
          </cell>
          <cell r="FZ11" t="str">
            <v/>
          </cell>
          <cell r="GB11">
            <v>0</v>
          </cell>
          <cell r="GC11" t="str">
            <v/>
          </cell>
          <cell r="GE11">
            <v>0</v>
          </cell>
          <cell r="GF11" t="str">
            <v/>
          </cell>
          <cell r="GH11">
            <v>0</v>
          </cell>
          <cell r="GI11" t="str">
            <v/>
          </cell>
          <cell r="GK11">
            <v>0</v>
          </cell>
          <cell r="GL11" t="str">
            <v/>
          </cell>
          <cell r="GN11">
            <v>0</v>
          </cell>
          <cell r="GO11" t="str">
            <v/>
          </cell>
          <cell r="GQ11">
            <v>0</v>
          </cell>
          <cell r="GR11" t="str">
            <v/>
          </cell>
          <cell r="GT11">
            <v>0</v>
          </cell>
          <cell r="GU11" t="str">
            <v/>
          </cell>
          <cell r="GW11">
            <v>0</v>
          </cell>
          <cell r="GX11" t="str">
            <v/>
          </cell>
          <cell r="GZ11">
            <v>0</v>
          </cell>
          <cell r="HA11" t="str">
            <v/>
          </cell>
          <cell r="HC11">
            <v>0</v>
          </cell>
          <cell r="HD11" t="str">
            <v/>
          </cell>
          <cell r="HF11">
            <v>0</v>
          </cell>
          <cell r="HG11" t="str">
            <v/>
          </cell>
          <cell r="HI11">
            <v>0</v>
          </cell>
          <cell r="HJ11" t="str">
            <v/>
          </cell>
          <cell r="HL11">
            <v>0</v>
          </cell>
          <cell r="HM11" t="str">
            <v/>
          </cell>
          <cell r="HO11">
            <v>0</v>
          </cell>
          <cell r="HP11" t="str">
            <v/>
          </cell>
          <cell r="HR11">
            <v>0</v>
          </cell>
          <cell r="HS11" t="str">
            <v/>
          </cell>
          <cell r="HU11">
            <v>0</v>
          </cell>
          <cell r="HV11" t="str">
            <v/>
          </cell>
        </row>
        <row r="12">
          <cell r="DQ12">
            <v>0</v>
          </cell>
          <cell r="DR12" t="str">
            <v/>
          </cell>
          <cell r="DT12">
            <v>0</v>
          </cell>
          <cell r="DU12" t="str">
            <v/>
          </cell>
          <cell r="DW12">
            <v>0</v>
          </cell>
          <cell r="DX12" t="str">
            <v/>
          </cell>
          <cell r="DZ12">
            <v>0</v>
          </cell>
          <cell r="EA12" t="str">
            <v/>
          </cell>
          <cell r="EC12">
            <v>0</v>
          </cell>
          <cell r="ED12" t="str">
            <v/>
          </cell>
          <cell r="EF12">
            <v>0</v>
          </cell>
          <cell r="EG12" t="str">
            <v/>
          </cell>
          <cell r="EI12">
            <v>0</v>
          </cell>
          <cell r="EJ12" t="str">
            <v/>
          </cell>
          <cell r="EL12">
            <v>0</v>
          </cell>
          <cell r="EM12" t="str">
            <v/>
          </cell>
          <cell r="EO12">
            <v>0</v>
          </cell>
          <cell r="EP12" t="str">
            <v/>
          </cell>
          <cell r="ER12">
            <v>0</v>
          </cell>
          <cell r="ES12" t="str">
            <v/>
          </cell>
          <cell r="EU12">
            <v>0</v>
          </cell>
          <cell r="EV12" t="str">
            <v/>
          </cell>
          <cell r="EX12">
            <v>0</v>
          </cell>
          <cell r="EY12" t="str">
            <v/>
          </cell>
          <cell r="FA12">
            <v>0</v>
          </cell>
          <cell r="FB12" t="str">
            <v/>
          </cell>
          <cell r="FD12">
            <v>0</v>
          </cell>
          <cell r="FE12" t="str">
            <v/>
          </cell>
          <cell r="FG12">
            <v>0</v>
          </cell>
          <cell r="FH12" t="str">
            <v/>
          </cell>
          <cell r="FJ12">
            <v>0</v>
          </cell>
          <cell r="FK12" t="str">
            <v/>
          </cell>
          <cell r="FM12">
            <v>0</v>
          </cell>
          <cell r="FN12" t="str">
            <v/>
          </cell>
          <cell r="FP12">
            <v>0</v>
          </cell>
          <cell r="FQ12" t="str">
            <v/>
          </cell>
          <cell r="FS12">
            <v>0</v>
          </cell>
          <cell r="FT12" t="str">
            <v/>
          </cell>
          <cell r="FV12">
            <v>0</v>
          </cell>
          <cell r="FW12" t="str">
            <v/>
          </cell>
          <cell r="FY12">
            <v>0</v>
          </cell>
          <cell r="FZ12" t="str">
            <v/>
          </cell>
          <cell r="GB12">
            <v>0</v>
          </cell>
          <cell r="GC12" t="str">
            <v/>
          </cell>
          <cell r="GE12">
            <v>0</v>
          </cell>
          <cell r="GF12" t="str">
            <v/>
          </cell>
          <cell r="GH12">
            <v>0</v>
          </cell>
          <cell r="GI12" t="str">
            <v/>
          </cell>
          <cell r="GK12">
            <v>0</v>
          </cell>
          <cell r="GL12" t="str">
            <v/>
          </cell>
          <cell r="GN12">
            <v>0</v>
          </cell>
          <cell r="GO12" t="str">
            <v/>
          </cell>
          <cell r="GQ12">
            <v>0</v>
          </cell>
          <cell r="GR12" t="str">
            <v/>
          </cell>
          <cell r="GT12">
            <v>0</v>
          </cell>
          <cell r="GU12" t="str">
            <v/>
          </cell>
          <cell r="GW12">
            <v>0</v>
          </cell>
          <cell r="GX12" t="str">
            <v/>
          </cell>
          <cell r="GZ12">
            <v>0</v>
          </cell>
          <cell r="HA12" t="str">
            <v/>
          </cell>
          <cell r="HC12">
            <v>0</v>
          </cell>
          <cell r="HD12" t="str">
            <v/>
          </cell>
          <cell r="HF12">
            <v>0</v>
          </cell>
          <cell r="HG12" t="str">
            <v/>
          </cell>
          <cell r="HI12">
            <v>0</v>
          </cell>
          <cell r="HJ12" t="str">
            <v/>
          </cell>
          <cell r="HL12">
            <v>0.33</v>
          </cell>
          <cell r="HM12">
            <v>35357.575757575753</v>
          </cell>
          <cell r="HO12">
            <v>0</v>
          </cell>
          <cell r="HP12" t="str">
            <v/>
          </cell>
          <cell r="HR12">
            <v>0</v>
          </cell>
          <cell r="HS12" t="str">
            <v/>
          </cell>
          <cell r="HU12">
            <v>0</v>
          </cell>
          <cell r="HV12" t="str">
            <v/>
          </cell>
        </row>
        <row r="13">
          <cell r="DQ13">
            <v>0</v>
          </cell>
          <cell r="DR13" t="str">
            <v/>
          </cell>
          <cell r="DT13">
            <v>0</v>
          </cell>
          <cell r="DU13" t="str">
            <v/>
          </cell>
          <cell r="DW13">
            <v>0</v>
          </cell>
          <cell r="DX13" t="str">
            <v/>
          </cell>
          <cell r="DZ13">
            <v>0</v>
          </cell>
          <cell r="EA13" t="str">
            <v/>
          </cell>
          <cell r="EC13">
            <v>0</v>
          </cell>
          <cell r="ED13" t="str">
            <v/>
          </cell>
          <cell r="EF13">
            <v>0</v>
          </cell>
          <cell r="EG13" t="str">
            <v/>
          </cell>
          <cell r="EI13">
            <v>0</v>
          </cell>
          <cell r="EJ13" t="str">
            <v/>
          </cell>
          <cell r="EL13">
            <v>0</v>
          </cell>
          <cell r="EM13" t="str">
            <v/>
          </cell>
          <cell r="EO13">
            <v>0</v>
          </cell>
          <cell r="EP13" t="str">
            <v/>
          </cell>
          <cell r="ER13">
            <v>0</v>
          </cell>
          <cell r="ES13" t="str">
            <v/>
          </cell>
          <cell r="EU13">
            <v>0</v>
          </cell>
          <cell r="EV13" t="str">
            <v/>
          </cell>
          <cell r="EX13">
            <v>0</v>
          </cell>
          <cell r="EY13" t="str">
            <v/>
          </cell>
          <cell r="FA13">
            <v>0</v>
          </cell>
          <cell r="FB13" t="str">
            <v/>
          </cell>
          <cell r="FD13">
            <v>0</v>
          </cell>
          <cell r="FE13" t="str">
            <v/>
          </cell>
          <cell r="FG13">
            <v>0</v>
          </cell>
          <cell r="FH13" t="str">
            <v/>
          </cell>
          <cell r="FJ13">
            <v>0</v>
          </cell>
          <cell r="FK13" t="str">
            <v/>
          </cell>
          <cell r="FM13">
            <v>0</v>
          </cell>
          <cell r="FN13" t="str">
            <v/>
          </cell>
          <cell r="FP13">
            <v>0</v>
          </cell>
          <cell r="FQ13" t="str">
            <v/>
          </cell>
          <cell r="FS13">
            <v>0</v>
          </cell>
          <cell r="FT13" t="str">
            <v/>
          </cell>
          <cell r="FV13">
            <v>0</v>
          </cell>
          <cell r="FW13" t="str">
            <v/>
          </cell>
          <cell r="FY13">
            <v>0</v>
          </cell>
          <cell r="FZ13" t="str">
            <v/>
          </cell>
          <cell r="GB13">
            <v>0</v>
          </cell>
          <cell r="GC13" t="str">
            <v/>
          </cell>
          <cell r="GE13">
            <v>0</v>
          </cell>
          <cell r="GF13" t="str">
            <v/>
          </cell>
          <cell r="GH13">
            <v>0</v>
          </cell>
          <cell r="GI13" t="str">
            <v/>
          </cell>
          <cell r="GK13">
            <v>0</v>
          </cell>
          <cell r="GL13" t="str">
            <v/>
          </cell>
          <cell r="GN13">
            <v>0</v>
          </cell>
          <cell r="GO13" t="str">
            <v/>
          </cell>
          <cell r="GQ13">
            <v>0</v>
          </cell>
          <cell r="GR13" t="str">
            <v/>
          </cell>
          <cell r="GT13">
            <v>0</v>
          </cell>
          <cell r="GU13" t="str">
            <v/>
          </cell>
          <cell r="GW13">
            <v>0</v>
          </cell>
          <cell r="GX13" t="str">
            <v/>
          </cell>
          <cell r="GZ13">
            <v>0</v>
          </cell>
          <cell r="HA13" t="str">
            <v/>
          </cell>
          <cell r="HC13">
            <v>0</v>
          </cell>
          <cell r="HD13" t="str">
            <v/>
          </cell>
          <cell r="HF13">
            <v>0</v>
          </cell>
          <cell r="HG13" t="str">
            <v/>
          </cell>
          <cell r="HI13">
            <v>0</v>
          </cell>
          <cell r="HJ13" t="str">
            <v/>
          </cell>
          <cell r="HL13">
            <v>0</v>
          </cell>
          <cell r="HM13" t="str">
            <v/>
          </cell>
          <cell r="HO13">
            <v>0</v>
          </cell>
          <cell r="HP13" t="str">
            <v/>
          </cell>
          <cell r="HR13">
            <v>0</v>
          </cell>
          <cell r="HS13" t="str">
            <v/>
          </cell>
          <cell r="HU13">
            <v>0</v>
          </cell>
          <cell r="HV13" t="str">
            <v/>
          </cell>
        </row>
        <row r="14">
          <cell r="DQ14">
            <v>0</v>
          </cell>
          <cell r="DR14" t="str">
            <v/>
          </cell>
          <cell r="DT14">
            <v>0.15000000000000002</v>
          </cell>
          <cell r="DU14">
            <v>142099.99999999997</v>
          </cell>
          <cell r="DW14">
            <v>0</v>
          </cell>
          <cell r="DX14" t="str">
            <v/>
          </cell>
          <cell r="DZ14">
            <v>0</v>
          </cell>
          <cell r="EA14" t="str">
            <v/>
          </cell>
          <cell r="EC14">
            <v>0</v>
          </cell>
          <cell r="ED14" t="str">
            <v/>
          </cell>
          <cell r="EF14">
            <v>0</v>
          </cell>
          <cell r="EG14" t="str">
            <v/>
          </cell>
          <cell r="EI14">
            <v>0</v>
          </cell>
          <cell r="EJ14" t="str">
            <v/>
          </cell>
          <cell r="EL14">
            <v>0</v>
          </cell>
          <cell r="EM14" t="str">
            <v/>
          </cell>
          <cell r="EO14">
            <v>0</v>
          </cell>
          <cell r="EP14" t="str">
            <v/>
          </cell>
          <cell r="ER14">
            <v>0</v>
          </cell>
          <cell r="ES14" t="str">
            <v/>
          </cell>
          <cell r="EU14">
            <v>0</v>
          </cell>
          <cell r="EV14" t="str">
            <v/>
          </cell>
          <cell r="EX14">
            <v>0</v>
          </cell>
          <cell r="EY14" t="str">
            <v/>
          </cell>
          <cell r="FA14">
            <v>0</v>
          </cell>
          <cell r="FB14" t="str">
            <v/>
          </cell>
          <cell r="FD14">
            <v>0</v>
          </cell>
          <cell r="FE14" t="str">
            <v/>
          </cell>
          <cell r="FG14">
            <v>0</v>
          </cell>
          <cell r="FH14" t="str">
            <v/>
          </cell>
          <cell r="FJ14">
            <v>0</v>
          </cell>
          <cell r="FK14" t="str">
            <v/>
          </cell>
          <cell r="FM14">
            <v>0</v>
          </cell>
          <cell r="FN14" t="str">
            <v/>
          </cell>
          <cell r="FP14">
            <v>0</v>
          </cell>
          <cell r="FQ14" t="str">
            <v/>
          </cell>
          <cell r="FS14">
            <v>0</v>
          </cell>
          <cell r="FT14" t="str">
            <v/>
          </cell>
          <cell r="FV14">
            <v>0</v>
          </cell>
          <cell r="FW14" t="str">
            <v/>
          </cell>
          <cell r="FY14">
            <v>0</v>
          </cell>
          <cell r="FZ14" t="str">
            <v/>
          </cell>
          <cell r="GB14">
            <v>0</v>
          </cell>
          <cell r="GC14" t="str">
            <v/>
          </cell>
          <cell r="GE14">
            <v>0</v>
          </cell>
          <cell r="GF14" t="str">
            <v/>
          </cell>
          <cell r="GH14">
            <v>0</v>
          </cell>
          <cell r="GI14" t="str">
            <v/>
          </cell>
          <cell r="GK14">
            <v>0</v>
          </cell>
          <cell r="GL14" t="str">
            <v/>
          </cell>
          <cell r="GN14">
            <v>0</v>
          </cell>
          <cell r="GO14" t="str">
            <v/>
          </cell>
          <cell r="GQ14">
            <v>0</v>
          </cell>
          <cell r="GR14" t="str">
            <v/>
          </cell>
          <cell r="GT14">
            <v>0</v>
          </cell>
          <cell r="GU14" t="str">
            <v/>
          </cell>
          <cell r="GW14">
            <v>0</v>
          </cell>
          <cell r="GX14" t="str">
            <v/>
          </cell>
          <cell r="GZ14">
            <v>0</v>
          </cell>
          <cell r="HA14" t="str">
            <v/>
          </cell>
          <cell r="HC14">
            <v>0.09</v>
          </cell>
          <cell r="HD14">
            <v>50433.333333333336</v>
          </cell>
          <cell r="HF14">
            <v>0</v>
          </cell>
          <cell r="HG14" t="str">
            <v/>
          </cell>
          <cell r="HI14">
            <v>0</v>
          </cell>
          <cell r="HJ14" t="str">
            <v/>
          </cell>
          <cell r="HL14">
            <v>0</v>
          </cell>
          <cell r="HM14" t="str">
            <v/>
          </cell>
          <cell r="HO14">
            <v>0</v>
          </cell>
          <cell r="HP14" t="str">
            <v/>
          </cell>
          <cell r="HR14">
            <v>0</v>
          </cell>
          <cell r="HS14" t="str">
            <v/>
          </cell>
          <cell r="HU14">
            <v>0</v>
          </cell>
          <cell r="HV14" t="str">
            <v/>
          </cell>
        </row>
        <row r="15">
          <cell r="DQ15">
            <v>0</v>
          </cell>
          <cell r="DR15" t="str">
            <v/>
          </cell>
          <cell r="DT15">
            <v>0.28000000000000003</v>
          </cell>
          <cell r="DU15">
            <v>139528.57142857142</v>
          </cell>
          <cell r="DW15">
            <v>0</v>
          </cell>
          <cell r="DX15" t="str">
            <v/>
          </cell>
          <cell r="DZ15">
            <v>0</v>
          </cell>
          <cell r="EA15" t="str">
            <v/>
          </cell>
          <cell r="EC15">
            <v>0</v>
          </cell>
          <cell r="ED15" t="str">
            <v/>
          </cell>
          <cell r="EF15">
            <v>0</v>
          </cell>
          <cell r="EG15" t="str">
            <v/>
          </cell>
          <cell r="EI15">
            <v>0</v>
          </cell>
          <cell r="EJ15" t="str">
            <v/>
          </cell>
          <cell r="EL15">
            <v>0</v>
          </cell>
          <cell r="EM15" t="str">
            <v/>
          </cell>
          <cell r="EO15">
            <v>0</v>
          </cell>
          <cell r="EP15" t="str">
            <v/>
          </cell>
          <cell r="ER15">
            <v>0</v>
          </cell>
          <cell r="ES15" t="str">
            <v/>
          </cell>
          <cell r="EU15">
            <v>0</v>
          </cell>
          <cell r="EV15" t="str">
            <v/>
          </cell>
          <cell r="EX15">
            <v>0</v>
          </cell>
          <cell r="EY15" t="str">
            <v/>
          </cell>
          <cell r="FA15">
            <v>0</v>
          </cell>
          <cell r="FB15" t="str">
            <v/>
          </cell>
          <cell r="FD15">
            <v>0</v>
          </cell>
          <cell r="FE15" t="str">
            <v/>
          </cell>
          <cell r="FG15">
            <v>0</v>
          </cell>
          <cell r="FH15" t="str">
            <v/>
          </cell>
          <cell r="FJ15">
            <v>0</v>
          </cell>
          <cell r="FK15" t="str">
            <v/>
          </cell>
          <cell r="FM15">
            <v>0</v>
          </cell>
          <cell r="FN15" t="str">
            <v/>
          </cell>
          <cell r="FP15">
            <v>0</v>
          </cell>
          <cell r="FQ15" t="str">
            <v/>
          </cell>
          <cell r="FS15">
            <v>0</v>
          </cell>
          <cell r="FT15" t="str">
            <v/>
          </cell>
          <cell r="FV15">
            <v>0</v>
          </cell>
          <cell r="FW15" t="str">
            <v/>
          </cell>
          <cell r="FY15">
            <v>0</v>
          </cell>
          <cell r="FZ15" t="str">
            <v/>
          </cell>
          <cell r="GB15">
            <v>0</v>
          </cell>
          <cell r="GC15" t="str">
            <v/>
          </cell>
          <cell r="GE15">
            <v>0</v>
          </cell>
          <cell r="GF15" t="str">
            <v/>
          </cell>
          <cell r="GH15">
            <v>0</v>
          </cell>
          <cell r="GI15" t="str">
            <v/>
          </cell>
          <cell r="GK15">
            <v>0</v>
          </cell>
          <cell r="GL15" t="str">
            <v/>
          </cell>
          <cell r="GN15">
            <v>0</v>
          </cell>
          <cell r="GO15" t="str">
            <v/>
          </cell>
          <cell r="GQ15">
            <v>0</v>
          </cell>
          <cell r="GR15" t="str">
            <v/>
          </cell>
          <cell r="GT15">
            <v>0</v>
          </cell>
          <cell r="GU15" t="str">
            <v/>
          </cell>
          <cell r="GW15">
            <v>0</v>
          </cell>
          <cell r="GX15" t="str">
            <v/>
          </cell>
          <cell r="GZ15">
            <v>0</v>
          </cell>
          <cell r="HA15" t="str">
            <v/>
          </cell>
          <cell r="HC15">
            <v>0</v>
          </cell>
          <cell r="HD15" t="str">
            <v/>
          </cell>
          <cell r="HF15">
            <v>0</v>
          </cell>
          <cell r="HG15" t="str">
            <v/>
          </cell>
          <cell r="HI15">
            <v>0</v>
          </cell>
          <cell r="HJ15" t="str">
            <v/>
          </cell>
          <cell r="HL15">
            <v>0</v>
          </cell>
          <cell r="HM15" t="str">
            <v/>
          </cell>
          <cell r="HO15">
            <v>0</v>
          </cell>
          <cell r="HP15" t="str">
            <v/>
          </cell>
          <cell r="HR15">
            <v>0</v>
          </cell>
          <cell r="HS15" t="str">
            <v/>
          </cell>
          <cell r="HU15">
            <v>0</v>
          </cell>
          <cell r="HV15" t="str">
            <v/>
          </cell>
        </row>
        <row r="16">
          <cell r="DQ16">
            <v>3.02</v>
          </cell>
          <cell r="DR16">
            <v>55372.185430463578</v>
          </cell>
          <cell r="DT16">
            <v>0</v>
          </cell>
          <cell r="DU16" t="str">
            <v/>
          </cell>
          <cell r="DW16">
            <v>0</v>
          </cell>
          <cell r="DX16" t="str">
            <v/>
          </cell>
          <cell r="DZ16">
            <v>0</v>
          </cell>
          <cell r="EA16" t="str">
            <v/>
          </cell>
          <cell r="EC16">
            <v>0</v>
          </cell>
          <cell r="ED16" t="str">
            <v/>
          </cell>
          <cell r="EF16">
            <v>0</v>
          </cell>
          <cell r="EG16" t="str">
            <v/>
          </cell>
          <cell r="EI16">
            <v>0</v>
          </cell>
          <cell r="EJ16" t="str">
            <v/>
          </cell>
          <cell r="EL16">
            <v>1.78</v>
          </cell>
          <cell r="EM16">
            <v>60515.730337078654</v>
          </cell>
          <cell r="EO16">
            <v>0</v>
          </cell>
          <cell r="EP16" t="str">
            <v/>
          </cell>
          <cell r="ER16">
            <v>0</v>
          </cell>
          <cell r="ES16" t="str">
            <v/>
          </cell>
          <cell r="EU16">
            <v>0</v>
          </cell>
          <cell r="EV16" t="str">
            <v/>
          </cell>
          <cell r="EX16">
            <v>0</v>
          </cell>
          <cell r="EY16" t="str">
            <v/>
          </cell>
          <cell r="FA16">
            <v>0</v>
          </cell>
          <cell r="FB16" t="str">
            <v/>
          </cell>
          <cell r="FD16">
            <v>0</v>
          </cell>
          <cell r="FE16" t="str">
            <v/>
          </cell>
          <cell r="FG16">
            <v>0</v>
          </cell>
          <cell r="FH16" t="str">
            <v/>
          </cell>
          <cell r="FJ16">
            <v>0</v>
          </cell>
          <cell r="FK16" t="str">
            <v/>
          </cell>
          <cell r="FM16">
            <v>0</v>
          </cell>
          <cell r="FN16" t="str">
            <v/>
          </cell>
          <cell r="FP16">
            <v>0</v>
          </cell>
          <cell r="FQ16" t="str">
            <v/>
          </cell>
          <cell r="FS16">
            <v>0</v>
          </cell>
          <cell r="FT16" t="str">
            <v/>
          </cell>
          <cell r="FV16">
            <v>0</v>
          </cell>
          <cell r="FW16" t="str">
            <v/>
          </cell>
          <cell r="FY16">
            <v>0</v>
          </cell>
          <cell r="FZ16" t="str">
            <v/>
          </cell>
          <cell r="GB16">
            <v>0.94</v>
          </cell>
          <cell r="GC16">
            <v>71351.063829787236</v>
          </cell>
          <cell r="GE16">
            <v>0</v>
          </cell>
          <cell r="GF16" t="str">
            <v/>
          </cell>
          <cell r="GH16">
            <v>0</v>
          </cell>
          <cell r="GI16" t="str">
            <v/>
          </cell>
          <cell r="GK16">
            <v>0</v>
          </cell>
          <cell r="GL16" t="str">
            <v/>
          </cell>
          <cell r="GN16">
            <v>0</v>
          </cell>
          <cell r="GO16" t="str">
            <v/>
          </cell>
          <cell r="GQ16">
            <v>0</v>
          </cell>
          <cell r="GR16" t="str">
            <v/>
          </cell>
          <cell r="GT16">
            <v>0</v>
          </cell>
          <cell r="GU16" t="str">
            <v/>
          </cell>
          <cell r="GW16">
            <v>0</v>
          </cell>
          <cell r="GX16" t="str">
            <v/>
          </cell>
          <cell r="GZ16">
            <v>0</v>
          </cell>
          <cell r="HA16" t="str">
            <v/>
          </cell>
          <cell r="HC16">
            <v>24.66</v>
          </cell>
          <cell r="HD16">
            <v>42866.828872668288</v>
          </cell>
          <cell r="HF16">
            <v>0</v>
          </cell>
          <cell r="HG16" t="str">
            <v/>
          </cell>
          <cell r="HI16">
            <v>24.9</v>
          </cell>
          <cell r="HJ16">
            <v>39790.120481927712</v>
          </cell>
          <cell r="HL16">
            <v>117.1</v>
          </cell>
          <cell r="HM16">
            <v>33007.719897523486</v>
          </cell>
          <cell r="HO16">
            <v>0</v>
          </cell>
          <cell r="HP16" t="str">
            <v/>
          </cell>
          <cell r="HR16">
            <v>0</v>
          </cell>
          <cell r="HS16" t="str">
            <v/>
          </cell>
          <cell r="HU16">
            <v>0</v>
          </cell>
          <cell r="HV16" t="str">
            <v/>
          </cell>
        </row>
        <row r="17">
          <cell r="DQ17">
            <v>1.2</v>
          </cell>
          <cell r="DR17">
            <v>55185</v>
          </cell>
          <cell r="DT17">
            <v>0</v>
          </cell>
          <cell r="DU17" t="str">
            <v/>
          </cell>
          <cell r="DW17">
            <v>0</v>
          </cell>
          <cell r="DX17" t="str">
            <v/>
          </cell>
          <cell r="DZ17">
            <v>0</v>
          </cell>
          <cell r="EA17" t="str">
            <v/>
          </cell>
          <cell r="EC17">
            <v>0</v>
          </cell>
          <cell r="ED17" t="str">
            <v/>
          </cell>
          <cell r="EF17">
            <v>0</v>
          </cell>
          <cell r="EG17" t="str">
            <v/>
          </cell>
          <cell r="EI17">
            <v>0</v>
          </cell>
          <cell r="EJ17" t="str">
            <v/>
          </cell>
          <cell r="EL17">
            <v>0.7</v>
          </cell>
          <cell r="EM17">
            <v>60937.142857142862</v>
          </cell>
          <cell r="EO17">
            <v>0</v>
          </cell>
          <cell r="EP17" t="str">
            <v/>
          </cell>
          <cell r="ER17">
            <v>0</v>
          </cell>
          <cell r="ES17" t="str">
            <v/>
          </cell>
          <cell r="EU17">
            <v>0</v>
          </cell>
          <cell r="EV17" t="str">
            <v/>
          </cell>
          <cell r="EX17">
            <v>0</v>
          </cell>
          <cell r="EY17" t="str">
            <v/>
          </cell>
          <cell r="FA17">
            <v>0</v>
          </cell>
          <cell r="FB17" t="str">
            <v/>
          </cell>
          <cell r="FD17">
            <v>0</v>
          </cell>
          <cell r="FE17" t="str">
            <v/>
          </cell>
          <cell r="FG17">
            <v>0</v>
          </cell>
          <cell r="FH17" t="str">
            <v/>
          </cell>
          <cell r="FJ17">
            <v>0</v>
          </cell>
          <cell r="FK17" t="str">
            <v/>
          </cell>
          <cell r="FM17">
            <v>0</v>
          </cell>
          <cell r="FN17" t="str">
            <v/>
          </cell>
          <cell r="FP17">
            <v>0</v>
          </cell>
          <cell r="FQ17" t="str">
            <v/>
          </cell>
          <cell r="FS17">
            <v>0</v>
          </cell>
          <cell r="FT17" t="str">
            <v/>
          </cell>
          <cell r="FV17">
            <v>0</v>
          </cell>
          <cell r="FW17" t="str">
            <v/>
          </cell>
          <cell r="FY17">
            <v>0</v>
          </cell>
          <cell r="FZ17" t="str">
            <v/>
          </cell>
          <cell r="GB17">
            <v>0.38</v>
          </cell>
          <cell r="GC17">
            <v>69894.736842105267</v>
          </cell>
          <cell r="GE17">
            <v>0</v>
          </cell>
          <cell r="GF17" t="str">
            <v/>
          </cell>
          <cell r="GH17">
            <v>0</v>
          </cell>
          <cell r="GI17" t="str">
            <v/>
          </cell>
          <cell r="GK17">
            <v>0</v>
          </cell>
          <cell r="GL17" t="str">
            <v/>
          </cell>
          <cell r="GN17">
            <v>0</v>
          </cell>
          <cell r="GO17" t="str">
            <v/>
          </cell>
          <cell r="GQ17">
            <v>0</v>
          </cell>
          <cell r="GR17" t="str">
            <v/>
          </cell>
          <cell r="GT17">
            <v>0</v>
          </cell>
          <cell r="GU17" t="str">
            <v/>
          </cell>
          <cell r="GW17">
            <v>0</v>
          </cell>
          <cell r="GX17" t="str">
            <v/>
          </cell>
          <cell r="GZ17">
            <v>0</v>
          </cell>
          <cell r="HA17" t="str">
            <v/>
          </cell>
          <cell r="HC17">
            <v>0.82</v>
          </cell>
          <cell r="HD17">
            <v>41717.07317073171</v>
          </cell>
          <cell r="HF17">
            <v>0</v>
          </cell>
          <cell r="HG17" t="str">
            <v/>
          </cell>
          <cell r="HI17">
            <v>3</v>
          </cell>
          <cell r="HJ17">
            <v>36324</v>
          </cell>
          <cell r="HL17">
            <v>6.36</v>
          </cell>
          <cell r="HM17">
            <v>30905.345911949684</v>
          </cell>
          <cell r="HO17">
            <v>0</v>
          </cell>
          <cell r="HP17" t="str">
            <v/>
          </cell>
          <cell r="HR17">
            <v>0</v>
          </cell>
          <cell r="HS17" t="str">
            <v/>
          </cell>
          <cell r="HU17">
            <v>0</v>
          </cell>
          <cell r="HV17" t="str">
            <v/>
          </cell>
        </row>
        <row r="18">
          <cell r="DQ18">
            <v>2.1800000000000002</v>
          </cell>
          <cell r="DR18">
            <v>55345.871559633022</v>
          </cell>
          <cell r="DT18">
            <v>0</v>
          </cell>
          <cell r="DU18" t="str">
            <v/>
          </cell>
          <cell r="DW18">
            <v>0</v>
          </cell>
          <cell r="DX18" t="str">
            <v/>
          </cell>
          <cell r="DZ18">
            <v>0</v>
          </cell>
          <cell r="EA18" t="str">
            <v/>
          </cell>
          <cell r="EC18">
            <v>0</v>
          </cell>
          <cell r="ED18" t="str">
            <v/>
          </cell>
          <cell r="EF18">
            <v>0</v>
          </cell>
          <cell r="EG18" t="str">
            <v/>
          </cell>
          <cell r="EI18">
            <v>0</v>
          </cell>
          <cell r="EJ18" t="str">
            <v/>
          </cell>
          <cell r="EL18">
            <v>1.28</v>
          </cell>
          <cell r="EM18">
            <v>60718.75</v>
          </cell>
          <cell r="EO18">
            <v>0</v>
          </cell>
          <cell r="EP18" t="str">
            <v/>
          </cell>
          <cell r="ER18">
            <v>0</v>
          </cell>
          <cell r="ES18" t="str">
            <v/>
          </cell>
          <cell r="EU18">
            <v>0</v>
          </cell>
          <cell r="EV18" t="str">
            <v/>
          </cell>
          <cell r="EX18">
            <v>0</v>
          </cell>
          <cell r="EY18" t="str">
            <v/>
          </cell>
          <cell r="FA18">
            <v>0</v>
          </cell>
          <cell r="FB18" t="str">
            <v/>
          </cell>
          <cell r="FD18">
            <v>0</v>
          </cell>
          <cell r="FE18" t="str">
            <v/>
          </cell>
          <cell r="FG18">
            <v>0</v>
          </cell>
          <cell r="FH18" t="str">
            <v/>
          </cell>
          <cell r="FJ18">
            <v>0</v>
          </cell>
          <cell r="FK18" t="str">
            <v/>
          </cell>
          <cell r="FM18">
            <v>0</v>
          </cell>
          <cell r="FN18" t="str">
            <v/>
          </cell>
          <cell r="FP18">
            <v>0</v>
          </cell>
          <cell r="FQ18" t="str">
            <v/>
          </cell>
          <cell r="FS18">
            <v>0</v>
          </cell>
          <cell r="FT18" t="str">
            <v/>
          </cell>
          <cell r="FV18">
            <v>0</v>
          </cell>
          <cell r="FW18" t="str">
            <v/>
          </cell>
          <cell r="FY18">
            <v>0</v>
          </cell>
          <cell r="FZ18" t="str">
            <v/>
          </cell>
          <cell r="GB18">
            <v>0.68</v>
          </cell>
          <cell r="GC18">
            <v>71164.705882352937</v>
          </cell>
          <cell r="GE18">
            <v>0</v>
          </cell>
          <cell r="GF18" t="str">
            <v/>
          </cell>
          <cell r="GH18">
            <v>0</v>
          </cell>
          <cell r="GI18" t="str">
            <v/>
          </cell>
          <cell r="GK18">
            <v>0</v>
          </cell>
          <cell r="GL18" t="str">
            <v/>
          </cell>
          <cell r="GN18">
            <v>0</v>
          </cell>
          <cell r="GO18" t="str">
            <v/>
          </cell>
          <cell r="GQ18">
            <v>0</v>
          </cell>
          <cell r="GR18" t="str">
            <v/>
          </cell>
          <cell r="GT18">
            <v>0</v>
          </cell>
          <cell r="GU18" t="str">
            <v/>
          </cell>
          <cell r="GW18">
            <v>0</v>
          </cell>
          <cell r="GX18" t="str">
            <v/>
          </cell>
          <cell r="GZ18">
            <v>0</v>
          </cell>
          <cell r="HA18" t="str">
            <v/>
          </cell>
          <cell r="HC18">
            <v>5.52</v>
          </cell>
          <cell r="HD18">
            <v>40465.579710144928</v>
          </cell>
          <cell r="HF18">
            <v>0</v>
          </cell>
          <cell r="HG18" t="str">
            <v/>
          </cell>
          <cell r="HI18">
            <v>3.3</v>
          </cell>
          <cell r="HJ18">
            <v>39383.636363636368</v>
          </cell>
          <cell r="HL18">
            <v>37.06</v>
          </cell>
          <cell r="HM18">
            <v>32276.956287101995</v>
          </cell>
          <cell r="HO18">
            <v>0</v>
          </cell>
          <cell r="HP18" t="str">
            <v/>
          </cell>
          <cell r="HR18">
            <v>0</v>
          </cell>
          <cell r="HS18" t="str">
            <v/>
          </cell>
          <cell r="HU18">
            <v>0</v>
          </cell>
          <cell r="HV18" t="str">
            <v/>
          </cell>
        </row>
        <row r="19">
          <cell r="DQ19">
            <v>0</v>
          </cell>
          <cell r="DR19" t="str">
            <v/>
          </cell>
          <cell r="DT19">
            <v>8.8999999999999996E-2</v>
          </cell>
          <cell r="DU19">
            <v>114832.3595505618</v>
          </cell>
          <cell r="DW19">
            <v>0</v>
          </cell>
          <cell r="DX19" t="str">
            <v/>
          </cell>
          <cell r="DZ19">
            <v>0</v>
          </cell>
          <cell r="EA19" t="str">
            <v/>
          </cell>
          <cell r="EC19">
            <v>0</v>
          </cell>
          <cell r="ED19" t="str">
            <v/>
          </cell>
          <cell r="EF19">
            <v>0</v>
          </cell>
          <cell r="EG19" t="str">
            <v/>
          </cell>
          <cell r="EI19">
            <v>0</v>
          </cell>
          <cell r="EJ19" t="str">
            <v/>
          </cell>
          <cell r="EL19">
            <v>0</v>
          </cell>
          <cell r="EM19" t="str">
            <v/>
          </cell>
          <cell r="EO19">
            <v>0</v>
          </cell>
          <cell r="EP19" t="str">
            <v/>
          </cell>
          <cell r="ER19">
            <v>0</v>
          </cell>
          <cell r="ES19" t="str">
            <v/>
          </cell>
          <cell r="EU19">
            <v>0</v>
          </cell>
          <cell r="EV19" t="str">
            <v/>
          </cell>
          <cell r="EX19">
            <v>0</v>
          </cell>
          <cell r="EY19" t="str">
            <v/>
          </cell>
          <cell r="FA19">
            <v>0</v>
          </cell>
          <cell r="FB19" t="str">
            <v/>
          </cell>
          <cell r="FD19">
            <v>0</v>
          </cell>
          <cell r="FE19" t="str">
            <v/>
          </cell>
          <cell r="FG19">
            <v>0</v>
          </cell>
          <cell r="FH19" t="str">
            <v/>
          </cell>
          <cell r="FJ19">
            <v>0</v>
          </cell>
          <cell r="FK19" t="str">
            <v/>
          </cell>
          <cell r="FM19">
            <v>0</v>
          </cell>
          <cell r="FN19" t="str">
            <v/>
          </cell>
          <cell r="FP19">
            <v>0</v>
          </cell>
          <cell r="FQ19" t="str">
            <v/>
          </cell>
          <cell r="FS19">
            <v>0</v>
          </cell>
          <cell r="FT19" t="str">
            <v/>
          </cell>
          <cell r="FV19">
            <v>0</v>
          </cell>
          <cell r="FW19" t="str">
            <v/>
          </cell>
          <cell r="FY19">
            <v>0</v>
          </cell>
          <cell r="FZ19" t="str">
            <v/>
          </cell>
          <cell r="GB19">
            <v>0</v>
          </cell>
          <cell r="GC19" t="str">
            <v/>
          </cell>
          <cell r="GE19">
            <v>0</v>
          </cell>
          <cell r="GF19" t="str">
            <v/>
          </cell>
          <cell r="GH19">
            <v>0</v>
          </cell>
          <cell r="GI19" t="str">
            <v/>
          </cell>
          <cell r="GK19">
            <v>0</v>
          </cell>
          <cell r="GL19" t="str">
            <v/>
          </cell>
          <cell r="GN19">
            <v>0</v>
          </cell>
          <cell r="GO19" t="str">
            <v/>
          </cell>
          <cell r="GQ19">
            <v>0</v>
          </cell>
          <cell r="GR19" t="str">
            <v/>
          </cell>
          <cell r="GT19">
            <v>0</v>
          </cell>
          <cell r="GU19" t="str">
            <v/>
          </cell>
          <cell r="GW19">
            <v>0</v>
          </cell>
          <cell r="GX19" t="str">
            <v/>
          </cell>
          <cell r="GZ19">
            <v>0</v>
          </cell>
          <cell r="HA19" t="str">
            <v/>
          </cell>
          <cell r="HC19">
            <v>1.018</v>
          </cell>
          <cell r="HD19">
            <v>55852.986247544199</v>
          </cell>
          <cell r="HF19">
            <v>0</v>
          </cell>
          <cell r="HG19" t="str">
            <v/>
          </cell>
          <cell r="HI19">
            <v>6.7080000000000002</v>
          </cell>
          <cell r="HJ19">
            <v>38165.884019081692</v>
          </cell>
          <cell r="HL19">
            <v>4.8000000000000001E-2</v>
          </cell>
          <cell r="HM19">
            <v>78085.208333333328</v>
          </cell>
          <cell r="HO19">
            <v>0</v>
          </cell>
          <cell r="HP19" t="str">
            <v/>
          </cell>
          <cell r="HR19">
            <v>0</v>
          </cell>
          <cell r="HS19" t="str">
            <v/>
          </cell>
          <cell r="HU19">
            <v>0</v>
          </cell>
          <cell r="HV19" t="str">
            <v/>
          </cell>
        </row>
        <row r="20">
          <cell r="DQ20">
            <v>0.38</v>
          </cell>
          <cell r="DR20">
            <v>42976.315789473687</v>
          </cell>
          <cell r="DT20">
            <v>0</v>
          </cell>
          <cell r="DU20" t="str">
            <v/>
          </cell>
          <cell r="DW20">
            <v>0.17</v>
          </cell>
          <cell r="DX20">
            <v>55852.941176470587</v>
          </cell>
          <cell r="DZ20">
            <v>0</v>
          </cell>
          <cell r="EA20" t="str">
            <v/>
          </cell>
          <cell r="EC20">
            <v>0</v>
          </cell>
          <cell r="ED20" t="str">
            <v/>
          </cell>
          <cell r="EF20">
            <v>0</v>
          </cell>
          <cell r="EG20" t="str">
            <v/>
          </cell>
          <cell r="EI20">
            <v>0</v>
          </cell>
          <cell r="EJ20" t="str">
            <v/>
          </cell>
          <cell r="EL20">
            <v>0</v>
          </cell>
          <cell r="EM20" t="str">
            <v/>
          </cell>
          <cell r="EO20">
            <v>0</v>
          </cell>
          <cell r="EP20" t="str">
            <v/>
          </cell>
          <cell r="ER20">
            <v>0</v>
          </cell>
          <cell r="ES20" t="str">
            <v/>
          </cell>
          <cell r="EU20">
            <v>0</v>
          </cell>
          <cell r="EV20" t="str">
            <v/>
          </cell>
          <cell r="EX20">
            <v>0</v>
          </cell>
          <cell r="EY20" t="str">
            <v/>
          </cell>
          <cell r="FA20">
            <v>0</v>
          </cell>
          <cell r="FB20" t="str">
            <v/>
          </cell>
          <cell r="FD20">
            <v>0</v>
          </cell>
          <cell r="FE20" t="str">
            <v/>
          </cell>
          <cell r="FG20">
            <v>0</v>
          </cell>
          <cell r="FH20" t="str">
            <v/>
          </cell>
          <cell r="FJ20">
            <v>0</v>
          </cell>
          <cell r="FK20" t="str">
            <v/>
          </cell>
          <cell r="FM20">
            <v>0</v>
          </cell>
          <cell r="FN20" t="str">
            <v/>
          </cell>
          <cell r="FP20">
            <v>0</v>
          </cell>
          <cell r="FQ20" t="str">
            <v/>
          </cell>
          <cell r="FS20">
            <v>0</v>
          </cell>
          <cell r="FT20" t="str">
            <v/>
          </cell>
          <cell r="FV20">
            <v>0</v>
          </cell>
          <cell r="FW20" t="str">
            <v/>
          </cell>
          <cell r="FY20">
            <v>0</v>
          </cell>
          <cell r="FZ20" t="str">
            <v/>
          </cell>
          <cell r="GB20">
            <v>0</v>
          </cell>
          <cell r="GC20" t="str">
            <v/>
          </cell>
          <cell r="GE20">
            <v>0</v>
          </cell>
          <cell r="GF20" t="str">
            <v/>
          </cell>
          <cell r="GH20">
            <v>0</v>
          </cell>
          <cell r="GI20" t="str">
            <v/>
          </cell>
          <cell r="GK20">
            <v>0</v>
          </cell>
          <cell r="GL20" t="str">
            <v/>
          </cell>
          <cell r="GN20">
            <v>0</v>
          </cell>
          <cell r="GO20" t="str">
            <v/>
          </cell>
          <cell r="GQ20">
            <v>0</v>
          </cell>
          <cell r="GR20" t="str">
            <v/>
          </cell>
          <cell r="GT20">
            <v>0</v>
          </cell>
          <cell r="GU20" t="str">
            <v/>
          </cell>
          <cell r="GW20">
            <v>0</v>
          </cell>
          <cell r="GX20" t="str">
            <v/>
          </cell>
          <cell r="GZ20">
            <v>0</v>
          </cell>
          <cell r="HA20" t="str">
            <v/>
          </cell>
          <cell r="HC20">
            <v>0</v>
          </cell>
          <cell r="HD20" t="str">
            <v/>
          </cell>
          <cell r="HF20">
            <v>0</v>
          </cell>
          <cell r="HG20" t="str">
            <v/>
          </cell>
          <cell r="HI20">
            <v>0.43</v>
          </cell>
          <cell r="HJ20">
            <v>66532.558139534885</v>
          </cell>
          <cell r="HL20">
            <v>0</v>
          </cell>
          <cell r="HM20" t="str">
            <v/>
          </cell>
          <cell r="HO20">
            <v>0</v>
          </cell>
          <cell r="HP20" t="str">
            <v/>
          </cell>
          <cell r="HR20">
            <v>0</v>
          </cell>
          <cell r="HS20" t="str">
            <v/>
          </cell>
          <cell r="HU20">
            <v>0</v>
          </cell>
          <cell r="HV20" t="str">
            <v/>
          </cell>
        </row>
        <row r="21">
          <cell r="DQ21">
            <v>0</v>
          </cell>
          <cell r="DR21" t="str">
            <v/>
          </cell>
          <cell r="DT21">
            <v>0</v>
          </cell>
          <cell r="DU21" t="str">
            <v/>
          </cell>
          <cell r="DW21">
            <v>0</v>
          </cell>
          <cell r="DX21" t="str">
            <v/>
          </cell>
          <cell r="DZ21">
            <v>0</v>
          </cell>
          <cell r="EA21" t="str">
            <v/>
          </cell>
          <cell r="EC21">
            <v>0</v>
          </cell>
          <cell r="ED21" t="str">
            <v/>
          </cell>
          <cell r="EF21">
            <v>0</v>
          </cell>
          <cell r="EG21" t="str">
            <v/>
          </cell>
          <cell r="EI21">
            <v>0</v>
          </cell>
          <cell r="EJ21" t="str">
            <v/>
          </cell>
          <cell r="EL21">
            <v>0</v>
          </cell>
          <cell r="EM21" t="str">
            <v/>
          </cell>
          <cell r="EO21">
            <v>0</v>
          </cell>
          <cell r="EP21" t="str">
            <v/>
          </cell>
          <cell r="ER21">
            <v>0</v>
          </cell>
          <cell r="ES21" t="str">
            <v/>
          </cell>
          <cell r="EU21">
            <v>0</v>
          </cell>
          <cell r="EV21" t="str">
            <v/>
          </cell>
          <cell r="EX21">
            <v>0</v>
          </cell>
          <cell r="EY21" t="str">
            <v/>
          </cell>
          <cell r="FA21">
            <v>0</v>
          </cell>
          <cell r="FB21" t="str">
            <v/>
          </cell>
          <cell r="FD21">
            <v>0</v>
          </cell>
          <cell r="FE21" t="str">
            <v/>
          </cell>
          <cell r="FG21">
            <v>0</v>
          </cell>
          <cell r="FH21" t="str">
            <v/>
          </cell>
          <cell r="FJ21">
            <v>0</v>
          </cell>
          <cell r="FK21" t="str">
            <v/>
          </cell>
          <cell r="FM21">
            <v>0</v>
          </cell>
          <cell r="FN21" t="str">
            <v/>
          </cell>
          <cell r="FP21">
            <v>0</v>
          </cell>
          <cell r="FQ21" t="str">
            <v/>
          </cell>
          <cell r="FS21">
            <v>0</v>
          </cell>
          <cell r="FT21" t="str">
            <v/>
          </cell>
          <cell r="FV21">
            <v>0</v>
          </cell>
          <cell r="FW21" t="str">
            <v/>
          </cell>
          <cell r="FY21">
            <v>0</v>
          </cell>
          <cell r="FZ21" t="str">
            <v/>
          </cell>
          <cell r="GB21">
            <v>0</v>
          </cell>
          <cell r="GC21" t="str">
            <v/>
          </cell>
          <cell r="GE21">
            <v>0</v>
          </cell>
          <cell r="GF21" t="str">
            <v/>
          </cell>
          <cell r="GH21">
            <v>0</v>
          </cell>
          <cell r="GI21" t="str">
            <v/>
          </cell>
          <cell r="GK21">
            <v>0</v>
          </cell>
          <cell r="GL21" t="str">
            <v/>
          </cell>
          <cell r="GN21">
            <v>0</v>
          </cell>
          <cell r="GO21" t="str">
            <v/>
          </cell>
          <cell r="GQ21">
            <v>0</v>
          </cell>
          <cell r="GR21" t="str">
            <v/>
          </cell>
          <cell r="GT21">
            <v>0</v>
          </cell>
          <cell r="GU21" t="str">
            <v/>
          </cell>
          <cell r="GW21">
            <v>0</v>
          </cell>
          <cell r="GX21" t="str">
            <v/>
          </cell>
          <cell r="GZ21">
            <v>0</v>
          </cell>
          <cell r="HA21" t="str">
            <v/>
          </cell>
          <cell r="HC21">
            <v>0</v>
          </cell>
          <cell r="HD21" t="str">
            <v/>
          </cell>
          <cell r="HF21">
            <v>0</v>
          </cell>
          <cell r="HG21" t="str">
            <v/>
          </cell>
          <cell r="HI21">
            <v>0</v>
          </cell>
          <cell r="HJ21" t="str">
            <v/>
          </cell>
          <cell r="HL21">
            <v>1.08</v>
          </cell>
          <cell r="HM21">
            <v>29158.333333333332</v>
          </cell>
          <cell r="HO21">
            <v>0</v>
          </cell>
          <cell r="HP21" t="str">
            <v/>
          </cell>
          <cell r="HR21">
            <v>0</v>
          </cell>
          <cell r="HS21" t="str">
            <v/>
          </cell>
          <cell r="HU21">
            <v>0</v>
          </cell>
          <cell r="HV21" t="str">
            <v/>
          </cell>
        </row>
        <row r="22">
          <cell r="DQ22">
            <v>0.1522</v>
          </cell>
          <cell r="DR22">
            <v>35383.180026281203</v>
          </cell>
          <cell r="DT22">
            <v>0.27439999999999998</v>
          </cell>
          <cell r="DU22">
            <v>30298.833819241983</v>
          </cell>
          <cell r="DW22">
            <v>0</v>
          </cell>
          <cell r="DX22" t="str">
            <v/>
          </cell>
          <cell r="DZ22">
            <v>0</v>
          </cell>
          <cell r="EA22" t="str">
            <v/>
          </cell>
          <cell r="EC22">
            <v>0</v>
          </cell>
          <cell r="ED22" t="str">
            <v/>
          </cell>
          <cell r="EF22">
            <v>0</v>
          </cell>
          <cell r="EG22" t="str">
            <v/>
          </cell>
          <cell r="EI22">
            <v>0</v>
          </cell>
          <cell r="EJ22" t="str">
            <v/>
          </cell>
          <cell r="EL22">
            <v>3.8E-3</v>
          </cell>
          <cell r="EM22">
            <v>75789.473684210519</v>
          </cell>
          <cell r="EO22">
            <v>0</v>
          </cell>
          <cell r="EP22" t="str">
            <v/>
          </cell>
          <cell r="ER22">
            <v>0</v>
          </cell>
          <cell r="ES22" t="str">
            <v/>
          </cell>
          <cell r="EU22">
            <v>0</v>
          </cell>
          <cell r="EV22" t="str">
            <v/>
          </cell>
          <cell r="EX22">
            <v>0</v>
          </cell>
          <cell r="EY22" t="str">
            <v/>
          </cell>
          <cell r="FA22">
            <v>0</v>
          </cell>
          <cell r="FB22" t="str">
            <v/>
          </cell>
          <cell r="FD22">
            <v>0</v>
          </cell>
          <cell r="FE22" t="str">
            <v/>
          </cell>
          <cell r="FG22">
            <v>0</v>
          </cell>
          <cell r="FH22" t="str">
            <v/>
          </cell>
          <cell r="FJ22">
            <v>0</v>
          </cell>
          <cell r="FK22" t="str">
            <v/>
          </cell>
          <cell r="FM22">
            <v>0</v>
          </cell>
          <cell r="FN22" t="str">
            <v/>
          </cell>
          <cell r="FP22">
            <v>0</v>
          </cell>
          <cell r="FQ22" t="str">
            <v/>
          </cell>
          <cell r="FS22">
            <v>0</v>
          </cell>
          <cell r="FT22" t="str">
            <v/>
          </cell>
          <cell r="FV22">
            <v>0</v>
          </cell>
          <cell r="FW22" t="str">
            <v/>
          </cell>
          <cell r="FY22">
            <v>0</v>
          </cell>
          <cell r="FZ22" t="str">
            <v/>
          </cell>
          <cell r="GB22">
            <v>0</v>
          </cell>
          <cell r="GC22" t="str">
            <v/>
          </cell>
          <cell r="GE22">
            <v>0</v>
          </cell>
          <cell r="GF22" t="str">
            <v/>
          </cell>
          <cell r="GH22">
            <v>0</v>
          </cell>
          <cell r="GI22" t="str">
            <v/>
          </cell>
          <cell r="GK22">
            <v>0</v>
          </cell>
          <cell r="GL22" t="str">
            <v/>
          </cell>
          <cell r="GN22">
            <v>0</v>
          </cell>
          <cell r="GO22" t="str">
            <v/>
          </cell>
          <cell r="GQ22">
            <v>0</v>
          </cell>
          <cell r="GR22" t="str">
            <v/>
          </cell>
          <cell r="GT22">
            <v>0</v>
          </cell>
          <cell r="GU22" t="str">
            <v/>
          </cell>
          <cell r="GW22">
            <v>0</v>
          </cell>
          <cell r="GX22" t="str">
            <v/>
          </cell>
          <cell r="GZ22">
            <v>0</v>
          </cell>
          <cell r="HA22" t="str">
            <v/>
          </cell>
          <cell r="HC22">
            <v>0</v>
          </cell>
          <cell r="HD22" t="str">
            <v/>
          </cell>
          <cell r="HF22">
            <v>0</v>
          </cell>
          <cell r="HG22" t="str">
            <v/>
          </cell>
          <cell r="HI22">
            <v>0</v>
          </cell>
          <cell r="HJ22" t="str">
            <v/>
          </cell>
          <cell r="HL22">
            <v>0</v>
          </cell>
          <cell r="HM22" t="str">
            <v/>
          </cell>
          <cell r="HO22">
            <v>0</v>
          </cell>
          <cell r="HP22" t="str">
            <v/>
          </cell>
          <cell r="HR22">
            <v>2E-3</v>
          </cell>
          <cell r="HS22">
            <v>52340</v>
          </cell>
          <cell r="HU22">
            <v>0</v>
          </cell>
          <cell r="HV22" t="str">
            <v/>
          </cell>
        </row>
        <row r="23">
          <cell r="DQ23">
            <v>0.47</v>
          </cell>
          <cell r="DR23">
            <v>22880</v>
          </cell>
          <cell r="DT23">
            <v>0.14000000000000001</v>
          </cell>
          <cell r="DU23">
            <v>72985.714285714275</v>
          </cell>
          <cell r="DW23">
            <v>7.0000000000000007E-2</v>
          </cell>
          <cell r="DX23">
            <v>57957.142857142855</v>
          </cell>
          <cell r="DZ23">
            <v>0.06</v>
          </cell>
          <cell r="EA23">
            <v>66866.666666666672</v>
          </cell>
          <cell r="EC23">
            <v>0</v>
          </cell>
          <cell r="ED23" t="str">
            <v/>
          </cell>
          <cell r="EF23">
            <v>0</v>
          </cell>
          <cell r="EG23" t="str">
            <v/>
          </cell>
          <cell r="EI23">
            <v>0</v>
          </cell>
          <cell r="EJ23" t="str">
            <v/>
          </cell>
          <cell r="EL23">
            <v>0</v>
          </cell>
          <cell r="EM23" t="str">
            <v/>
          </cell>
          <cell r="EO23">
            <v>0</v>
          </cell>
          <cell r="EP23" t="str">
            <v/>
          </cell>
          <cell r="ER23">
            <v>0</v>
          </cell>
          <cell r="ES23" t="str">
            <v/>
          </cell>
          <cell r="EU23">
            <v>0</v>
          </cell>
          <cell r="EV23" t="str">
            <v/>
          </cell>
          <cell r="EX23">
            <v>0</v>
          </cell>
          <cell r="EY23" t="str">
            <v/>
          </cell>
          <cell r="FA23">
            <v>0</v>
          </cell>
          <cell r="FB23" t="str">
            <v/>
          </cell>
          <cell r="FD23">
            <v>0</v>
          </cell>
          <cell r="FE23" t="str">
            <v/>
          </cell>
          <cell r="FG23">
            <v>0</v>
          </cell>
          <cell r="FH23" t="str">
            <v/>
          </cell>
          <cell r="FJ23">
            <v>0</v>
          </cell>
          <cell r="FK23" t="str">
            <v/>
          </cell>
          <cell r="FM23">
            <v>0</v>
          </cell>
          <cell r="FN23" t="str">
            <v/>
          </cell>
          <cell r="FP23">
            <v>0</v>
          </cell>
          <cell r="FQ23" t="str">
            <v/>
          </cell>
          <cell r="FS23">
            <v>0</v>
          </cell>
          <cell r="FT23" t="str">
            <v/>
          </cell>
          <cell r="FV23">
            <v>0</v>
          </cell>
          <cell r="FW23" t="str">
            <v/>
          </cell>
          <cell r="FY23">
            <v>0</v>
          </cell>
          <cell r="FZ23" t="str">
            <v/>
          </cell>
          <cell r="GB23">
            <v>0</v>
          </cell>
          <cell r="GC23" t="str">
            <v/>
          </cell>
          <cell r="GE23">
            <v>0</v>
          </cell>
          <cell r="GF23" t="str">
            <v/>
          </cell>
          <cell r="GH23">
            <v>0</v>
          </cell>
          <cell r="GI23" t="str">
            <v/>
          </cell>
          <cell r="GK23">
            <v>0</v>
          </cell>
          <cell r="GL23" t="str">
            <v/>
          </cell>
          <cell r="GN23">
            <v>0</v>
          </cell>
          <cell r="GO23" t="str">
            <v/>
          </cell>
          <cell r="GQ23">
            <v>0</v>
          </cell>
          <cell r="GR23" t="str">
            <v/>
          </cell>
          <cell r="GT23">
            <v>0</v>
          </cell>
          <cell r="GU23" t="str">
            <v/>
          </cell>
          <cell r="GW23">
            <v>0</v>
          </cell>
          <cell r="GX23" t="str">
            <v/>
          </cell>
          <cell r="GZ23">
            <v>0</v>
          </cell>
          <cell r="HA23" t="str">
            <v/>
          </cell>
          <cell r="HC23">
            <v>1.56</v>
          </cell>
          <cell r="HD23">
            <v>60489.743589743586</v>
          </cell>
          <cell r="HF23">
            <v>1.82</v>
          </cell>
          <cell r="HG23">
            <v>37583.516483516483</v>
          </cell>
          <cell r="HI23">
            <v>0</v>
          </cell>
          <cell r="HJ23" t="str">
            <v/>
          </cell>
          <cell r="HL23">
            <v>0</v>
          </cell>
          <cell r="HM23" t="str">
            <v/>
          </cell>
          <cell r="HO23">
            <v>0.04</v>
          </cell>
          <cell r="HP23">
            <v>34550</v>
          </cell>
          <cell r="HR23">
            <v>0.02</v>
          </cell>
          <cell r="HS23">
            <v>38150</v>
          </cell>
          <cell r="HU23">
            <v>0</v>
          </cell>
          <cell r="HV23" t="str">
            <v/>
          </cell>
        </row>
        <row r="24">
          <cell r="DQ24">
            <v>0.06</v>
          </cell>
          <cell r="DR24">
            <v>96033.333333333343</v>
          </cell>
          <cell r="DT24">
            <v>0</v>
          </cell>
          <cell r="DU24" t="str">
            <v/>
          </cell>
          <cell r="DW24">
            <v>0</v>
          </cell>
          <cell r="DX24" t="str">
            <v/>
          </cell>
          <cell r="DZ24">
            <v>0</v>
          </cell>
          <cell r="EA24" t="str">
            <v/>
          </cell>
          <cell r="EC24">
            <v>0</v>
          </cell>
          <cell r="ED24" t="str">
            <v/>
          </cell>
          <cell r="EF24">
            <v>0</v>
          </cell>
          <cell r="EG24" t="str">
            <v/>
          </cell>
          <cell r="EI24">
            <v>0</v>
          </cell>
          <cell r="EJ24" t="str">
            <v/>
          </cell>
          <cell r="EL24">
            <v>0</v>
          </cell>
          <cell r="EM24" t="str">
            <v/>
          </cell>
          <cell r="EO24">
            <v>0</v>
          </cell>
          <cell r="EP24" t="str">
            <v/>
          </cell>
          <cell r="ER24">
            <v>0</v>
          </cell>
          <cell r="ES24" t="str">
            <v/>
          </cell>
          <cell r="EU24">
            <v>0</v>
          </cell>
          <cell r="EV24" t="str">
            <v/>
          </cell>
          <cell r="EX24">
            <v>0</v>
          </cell>
          <cell r="EY24" t="str">
            <v/>
          </cell>
          <cell r="FA24">
            <v>0</v>
          </cell>
          <cell r="FB24" t="str">
            <v/>
          </cell>
          <cell r="FD24">
            <v>0</v>
          </cell>
          <cell r="FE24" t="str">
            <v/>
          </cell>
          <cell r="FG24">
            <v>0</v>
          </cell>
          <cell r="FH24" t="str">
            <v/>
          </cell>
          <cell r="FJ24">
            <v>0</v>
          </cell>
          <cell r="FK24" t="str">
            <v/>
          </cell>
          <cell r="FM24">
            <v>0</v>
          </cell>
          <cell r="FN24" t="str">
            <v/>
          </cell>
          <cell r="FP24">
            <v>0</v>
          </cell>
          <cell r="FQ24" t="str">
            <v/>
          </cell>
          <cell r="FS24">
            <v>0</v>
          </cell>
          <cell r="FT24" t="str">
            <v/>
          </cell>
          <cell r="FV24">
            <v>0</v>
          </cell>
          <cell r="FW24" t="str">
            <v/>
          </cell>
          <cell r="FY24">
            <v>0</v>
          </cell>
          <cell r="FZ24" t="str">
            <v/>
          </cell>
          <cell r="GB24">
            <v>0</v>
          </cell>
          <cell r="GC24" t="str">
            <v/>
          </cell>
          <cell r="GE24">
            <v>0</v>
          </cell>
          <cell r="GF24" t="str">
            <v/>
          </cell>
          <cell r="GH24">
            <v>0</v>
          </cell>
          <cell r="GI24" t="str">
            <v/>
          </cell>
          <cell r="GK24">
            <v>0</v>
          </cell>
          <cell r="GL24" t="str">
            <v/>
          </cell>
          <cell r="GN24">
            <v>0</v>
          </cell>
          <cell r="GO24" t="str">
            <v/>
          </cell>
          <cell r="GQ24">
            <v>0</v>
          </cell>
          <cell r="GR24" t="str">
            <v/>
          </cell>
          <cell r="GT24">
            <v>0</v>
          </cell>
          <cell r="GU24" t="str">
            <v/>
          </cell>
          <cell r="GW24">
            <v>0</v>
          </cell>
          <cell r="GX24" t="str">
            <v/>
          </cell>
          <cell r="GZ24">
            <v>0</v>
          </cell>
          <cell r="HA24" t="str">
            <v/>
          </cell>
          <cell r="HC24">
            <v>0</v>
          </cell>
          <cell r="HD24" t="str">
            <v/>
          </cell>
          <cell r="HF24">
            <v>0</v>
          </cell>
          <cell r="HG24" t="str">
            <v/>
          </cell>
          <cell r="HI24">
            <v>0</v>
          </cell>
          <cell r="HJ24" t="str">
            <v/>
          </cell>
          <cell r="HL24">
            <v>5.01</v>
          </cell>
          <cell r="HM24">
            <v>31174.451097804391</v>
          </cell>
          <cell r="HO24">
            <v>0</v>
          </cell>
          <cell r="HP24" t="str">
            <v/>
          </cell>
          <cell r="HR24">
            <v>0</v>
          </cell>
          <cell r="HS24" t="str">
            <v/>
          </cell>
          <cell r="HU24">
            <v>0</v>
          </cell>
          <cell r="HV24" t="str">
            <v/>
          </cell>
        </row>
        <row r="25">
          <cell r="DQ25">
            <v>0.01</v>
          </cell>
          <cell r="DR25">
            <v>84300</v>
          </cell>
          <cell r="DT25">
            <v>0</v>
          </cell>
          <cell r="DU25" t="str">
            <v/>
          </cell>
          <cell r="DW25">
            <v>0</v>
          </cell>
          <cell r="DX25" t="str">
            <v/>
          </cell>
          <cell r="DZ25">
            <v>0</v>
          </cell>
          <cell r="EA25" t="str">
            <v/>
          </cell>
          <cell r="EC25">
            <v>0</v>
          </cell>
          <cell r="ED25" t="str">
            <v/>
          </cell>
          <cell r="EF25">
            <v>0</v>
          </cell>
          <cell r="EG25" t="str">
            <v/>
          </cell>
          <cell r="EI25">
            <v>0</v>
          </cell>
          <cell r="EJ25" t="str">
            <v/>
          </cell>
          <cell r="EL25">
            <v>0</v>
          </cell>
          <cell r="EM25" t="str">
            <v/>
          </cell>
          <cell r="EO25">
            <v>0</v>
          </cell>
          <cell r="EP25" t="str">
            <v/>
          </cell>
          <cell r="ER25">
            <v>0</v>
          </cell>
          <cell r="ES25" t="str">
            <v/>
          </cell>
          <cell r="EU25">
            <v>0</v>
          </cell>
          <cell r="EV25" t="str">
            <v/>
          </cell>
          <cell r="EX25">
            <v>0</v>
          </cell>
          <cell r="EY25" t="str">
            <v/>
          </cell>
          <cell r="FA25">
            <v>0</v>
          </cell>
          <cell r="FB25" t="str">
            <v/>
          </cell>
          <cell r="FD25">
            <v>0</v>
          </cell>
          <cell r="FE25" t="str">
            <v/>
          </cell>
          <cell r="FG25">
            <v>0</v>
          </cell>
          <cell r="FH25" t="str">
            <v/>
          </cell>
          <cell r="FJ25">
            <v>0</v>
          </cell>
          <cell r="FK25" t="str">
            <v/>
          </cell>
          <cell r="FM25">
            <v>0</v>
          </cell>
          <cell r="FN25" t="str">
            <v/>
          </cell>
          <cell r="FP25">
            <v>0</v>
          </cell>
          <cell r="FQ25" t="str">
            <v/>
          </cell>
          <cell r="FS25">
            <v>0</v>
          </cell>
          <cell r="FT25" t="str">
            <v/>
          </cell>
          <cell r="FV25">
            <v>0</v>
          </cell>
          <cell r="FW25" t="str">
            <v/>
          </cell>
          <cell r="FY25">
            <v>0</v>
          </cell>
          <cell r="FZ25" t="str">
            <v/>
          </cell>
          <cell r="GB25">
            <v>0</v>
          </cell>
          <cell r="GC25" t="str">
            <v/>
          </cell>
          <cell r="GE25">
            <v>0</v>
          </cell>
          <cell r="GF25" t="str">
            <v/>
          </cell>
          <cell r="GH25">
            <v>0</v>
          </cell>
          <cell r="GI25" t="str">
            <v/>
          </cell>
          <cell r="GK25">
            <v>0</v>
          </cell>
          <cell r="GL25" t="str">
            <v/>
          </cell>
          <cell r="GN25">
            <v>0</v>
          </cell>
          <cell r="GO25" t="str">
            <v/>
          </cell>
          <cell r="GQ25">
            <v>0</v>
          </cell>
          <cell r="GR25" t="str">
            <v/>
          </cell>
          <cell r="GT25">
            <v>0</v>
          </cell>
          <cell r="GU25" t="str">
            <v/>
          </cell>
          <cell r="GW25">
            <v>0</v>
          </cell>
          <cell r="GX25" t="str">
            <v/>
          </cell>
          <cell r="GZ25">
            <v>0</v>
          </cell>
          <cell r="HA25" t="str">
            <v/>
          </cell>
          <cell r="HC25">
            <v>0</v>
          </cell>
          <cell r="HD25" t="str">
            <v/>
          </cell>
          <cell r="HF25">
            <v>0</v>
          </cell>
          <cell r="HG25" t="str">
            <v/>
          </cell>
          <cell r="HI25">
            <v>0.13</v>
          </cell>
          <cell r="HJ25">
            <v>34207.692307692305</v>
          </cell>
          <cell r="HL25">
            <v>0.49</v>
          </cell>
          <cell r="HM25">
            <v>35524.489795918365</v>
          </cell>
          <cell r="HO25">
            <v>0</v>
          </cell>
          <cell r="HP25" t="str">
            <v/>
          </cell>
          <cell r="HR25">
            <v>0</v>
          </cell>
          <cell r="HS25" t="str">
            <v/>
          </cell>
          <cell r="HU25">
            <v>0</v>
          </cell>
          <cell r="HV25" t="str">
            <v/>
          </cell>
        </row>
        <row r="26">
          <cell r="DQ26">
            <v>0.06</v>
          </cell>
          <cell r="DR26">
            <v>86100</v>
          </cell>
          <cell r="DT26">
            <v>0.1</v>
          </cell>
          <cell r="DU26">
            <v>60940</v>
          </cell>
          <cell r="DW26">
            <v>0</v>
          </cell>
          <cell r="DX26" t="str">
            <v/>
          </cell>
          <cell r="DZ26">
            <v>0</v>
          </cell>
          <cell r="EA26" t="str">
            <v/>
          </cell>
          <cell r="EC26">
            <v>0</v>
          </cell>
          <cell r="ED26" t="str">
            <v/>
          </cell>
          <cell r="EF26">
            <v>0</v>
          </cell>
          <cell r="EG26" t="str">
            <v/>
          </cell>
          <cell r="EI26">
            <v>0</v>
          </cell>
          <cell r="EJ26" t="str">
            <v/>
          </cell>
          <cell r="EL26">
            <v>0</v>
          </cell>
          <cell r="EM26" t="str">
            <v/>
          </cell>
          <cell r="EO26">
            <v>0</v>
          </cell>
          <cell r="EP26" t="str">
            <v/>
          </cell>
          <cell r="ER26">
            <v>0</v>
          </cell>
          <cell r="ES26" t="str">
            <v/>
          </cell>
          <cell r="EU26">
            <v>0</v>
          </cell>
          <cell r="EV26" t="str">
            <v/>
          </cell>
          <cell r="EX26">
            <v>0</v>
          </cell>
          <cell r="EY26" t="str">
            <v/>
          </cell>
          <cell r="FA26">
            <v>0</v>
          </cell>
          <cell r="FB26" t="str">
            <v/>
          </cell>
          <cell r="FD26">
            <v>0</v>
          </cell>
          <cell r="FE26" t="str">
            <v/>
          </cell>
          <cell r="FG26">
            <v>0</v>
          </cell>
          <cell r="FH26" t="str">
            <v/>
          </cell>
          <cell r="FJ26">
            <v>0</v>
          </cell>
          <cell r="FK26" t="str">
            <v/>
          </cell>
          <cell r="FM26">
            <v>0</v>
          </cell>
          <cell r="FN26" t="str">
            <v/>
          </cell>
          <cell r="FP26">
            <v>0</v>
          </cell>
          <cell r="FQ26" t="str">
            <v/>
          </cell>
          <cell r="FS26">
            <v>0</v>
          </cell>
          <cell r="FT26" t="str">
            <v/>
          </cell>
          <cell r="FV26">
            <v>0</v>
          </cell>
          <cell r="FW26" t="str">
            <v/>
          </cell>
          <cell r="FY26">
            <v>0</v>
          </cell>
          <cell r="FZ26" t="str">
            <v/>
          </cell>
          <cell r="GB26">
            <v>0</v>
          </cell>
          <cell r="GC26" t="str">
            <v/>
          </cell>
          <cell r="GE26">
            <v>0</v>
          </cell>
          <cell r="GF26" t="str">
            <v/>
          </cell>
          <cell r="GH26">
            <v>0</v>
          </cell>
          <cell r="GI26" t="str">
            <v/>
          </cell>
          <cell r="GK26">
            <v>0</v>
          </cell>
          <cell r="GL26" t="str">
            <v/>
          </cell>
          <cell r="GN26">
            <v>0</v>
          </cell>
          <cell r="GO26" t="str">
            <v/>
          </cell>
          <cell r="GQ26">
            <v>0</v>
          </cell>
          <cell r="GR26" t="str">
            <v/>
          </cell>
          <cell r="GT26">
            <v>0</v>
          </cell>
          <cell r="GU26" t="str">
            <v/>
          </cell>
          <cell r="GW26">
            <v>0</v>
          </cell>
          <cell r="GX26" t="str">
            <v/>
          </cell>
          <cell r="GZ26">
            <v>0</v>
          </cell>
          <cell r="HA26" t="str">
            <v/>
          </cell>
          <cell r="HC26">
            <v>2.38</v>
          </cell>
          <cell r="HD26">
            <v>44430.252100840335</v>
          </cell>
          <cell r="HF26">
            <v>1.2</v>
          </cell>
          <cell r="HG26">
            <v>41616.666666666672</v>
          </cell>
          <cell r="HI26">
            <v>0</v>
          </cell>
          <cell r="HJ26" t="str">
            <v/>
          </cell>
          <cell r="HL26">
            <v>0</v>
          </cell>
          <cell r="HM26" t="str">
            <v/>
          </cell>
          <cell r="HO26">
            <v>0</v>
          </cell>
          <cell r="HP26" t="str">
            <v/>
          </cell>
          <cell r="HR26">
            <v>0</v>
          </cell>
          <cell r="HS26" t="str">
            <v/>
          </cell>
          <cell r="HU26">
            <v>0</v>
          </cell>
          <cell r="HV26" t="str">
            <v/>
          </cell>
        </row>
        <row r="27">
          <cell r="DQ27">
            <v>0</v>
          </cell>
          <cell r="DR27" t="str">
            <v/>
          </cell>
          <cell r="DT27">
            <v>0</v>
          </cell>
          <cell r="DU27" t="str">
            <v/>
          </cell>
          <cell r="DW27">
            <v>0</v>
          </cell>
          <cell r="DX27" t="str">
            <v/>
          </cell>
          <cell r="DZ27">
            <v>0</v>
          </cell>
          <cell r="EA27" t="str">
            <v/>
          </cell>
          <cell r="EC27">
            <v>0</v>
          </cell>
          <cell r="ED27" t="str">
            <v/>
          </cell>
          <cell r="EF27">
            <v>0</v>
          </cell>
          <cell r="EG27" t="str">
            <v/>
          </cell>
          <cell r="EI27">
            <v>0</v>
          </cell>
          <cell r="EJ27" t="str">
            <v/>
          </cell>
          <cell r="EL27">
            <v>0</v>
          </cell>
          <cell r="EM27" t="str">
            <v/>
          </cell>
          <cell r="EO27">
            <v>0</v>
          </cell>
          <cell r="EP27" t="str">
            <v/>
          </cell>
          <cell r="ER27">
            <v>0</v>
          </cell>
          <cell r="ES27" t="str">
            <v/>
          </cell>
          <cell r="EU27">
            <v>0</v>
          </cell>
          <cell r="EV27" t="str">
            <v/>
          </cell>
          <cell r="EX27">
            <v>0</v>
          </cell>
          <cell r="EY27" t="str">
            <v/>
          </cell>
          <cell r="FA27">
            <v>0</v>
          </cell>
          <cell r="FB27" t="str">
            <v/>
          </cell>
          <cell r="FD27">
            <v>0</v>
          </cell>
          <cell r="FE27" t="str">
            <v/>
          </cell>
          <cell r="FG27">
            <v>0</v>
          </cell>
          <cell r="FH27" t="str">
            <v/>
          </cell>
          <cell r="FJ27">
            <v>0</v>
          </cell>
          <cell r="FK27" t="str">
            <v/>
          </cell>
          <cell r="FM27">
            <v>0</v>
          </cell>
          <cell r="FN27" t="str">
            <v/>
          </cell>
          <cell r="FP27">
            <v>0</v>
          </cell>
          <cell r="FQ27" t="str">
            <v/>
          </cell>
          <cell r="FS27">
            <v>0</v>
          </cell>
          <cell r="FT27" t="str">
            <v/>
          </cell>
          <cell r="FV27">
            <v>0</v>
          </cell>
          <cell r="FW27" t="str">
            <v/>
          </cell>
          <cell r="FY27">
            <v>0</v>
          </cell>
          <cell r="FZ27" t="str">
            <v/>
          </cell>
          <cell r="GB27">
            <v>0</v>
          </cell>
          <cell r="GC27" t="str">
            <v/>
          </cell>
          <cell r="GE27">
            <v>0</v>
          </cell>
          <cell r="GF27" t="str">
            <v/>
          </cell>
          <cell r="GH27">
            <v>0</v>
          </cell>
          <cell r="GI27" t="str">
            <v/>
          </cell>
          <cell r="GK27">
            <v>0</v>
          </cell>
          <cell r="GL27" t="str">
            <v/>
          </cell>
          <cell r="GN27">
            <v>0</v>
          </cell>
          <cell r="GO27" t="str">
            <v/>
          </cell>
          <cell r="GQ27">
            <v>0</v>
          </cell>
          <cell r="GR27" t="str">
            <v/>
          </cell>
          <cell r="GT27">
            <v>0</v>
          </cell>
          <cell r="GU27" t="str">
            <v/>
          </cell>
          <cell r="GW27">
            <v>0</v>
          </cell>
          <cell r="GX27" t="str">
            <v/>
          </cell>
          <cell r="GZ27">
            <v>0</v>
          </cell>
          <cell r="HA27" t="str">
            <v/>
          </cell>
          <cell r="HC27">
            <v>0.2</v>
          </cell>
          <cell r="HD27">
            <v>29920</v>
          </cell>
          <cell r="HF27">
            <v>0</v>
          </cell>
          <cell r="HG27" t="str">
            <v/>
          </cell>
          <cell r="HI27">
            <v>0</v>
          </cell>
          <cell r="HJ27" t="str">
            <v/>
          </cell>
          <cell r="HL27">
            <v>0</v>
          </cell>
          <cell r="HM27" t="str">
            <v/>
          </cell>
          <cell r="HO27">
            <v>0</v>
          </cell>
          <cell r="HP27" t="str">
            <v/>
          </cell>
          <cell r="HR27">
            <v>0</v>
          </cell>
          <cell r="HS27" t="str">
            <v/>
          </cell>
          <cell r="HU27">
            <v>0</v>
          </cell>
          <cell r="HV27" t="str">
            <v/>
          </cell>
        </row>
        <row r="28">
          <cell r="DQ28">
            <v>0</v>
          </cell>
          <cell r="DR28" t="str">
            <v/>
          </cell>
          <cell r="DT28">
            <v>0</v>
          </cell>
          <cell r="DU28" t="str">
            <v/>
          </cell>
          <cell r="DW28">
            <v>0</v>
          </cell>
          <cell r="DX28" t="str">
            <v/>
          </cell>
          <cell r="DZ28">
            <v>0</v>
          </cell>
          <cell r="EA28" t="str">
            <v/>
          </cell>
          <cell r="EC28">
            <v>0</v>
          </cell>
          <cell r="ED28" t="str">
            <v/>
          </cell>
          <cell r="EF28">
            <v>0</v>
          </cell>
          <cell r="EG28" t="str">
            <v/>
          </cell>
          <cell r="EI28">
            <v>0</v>
          </cell>
          <cell r="EJ28" t="str">
            <v/>
          </cell>
          <cell r="EL28">
            <v>0</v>
          </cell>
          <cell r="EM28" t="str">
            <v/>
          </cell>
          <cell r="EO28">
            <v>0</v>
          </cell>
          <cell r="EP28" t="str">
            <v/>
          </cell>
          <cell r="ER28">
            <v>0</v>
          </cell>
          <cell r="ES28" t="str">
            <v/>
          </cell>
          <cell r="EU28">
            <v>0</v>
          </cell>
          <cell r="EV28" t="str">
            <v/>
          </cell>
          <cell r="EX28">
            <v>0</v>
          </cell>
          <cell r="EY28" t="str">
            <v/>
          </cell>
          <cell r="FA28">
            <v>0</v>
          </cell>
          <cell r="FB28" t="str">
            <v/>
          </cell>
          <cell r="FD28">
            <v>0</v>
          </cell>
          <cell r="FE28" t="str">
            <v/>
          </cell>
          <cell r="FG28">
            <v>0</v>
          </cell>
          <cell r="FH28" t="str">
            <v/>
          </cell>
          <cell r="FJ28">
            <v>0</v>
          </cell>
          <cell r="FK28" t="str">
            <v/>
          </cell>
          <cell r="FM28">
            <v>0</v>
          </cell>
          <cell r="FN28" t="str">
            <v/>
          </cell>
          <cell r="FP28">
            <v>0</v>
          </cell>
          <cell r="FQ28" t="str">
            <v/>
          </cell>
          <cell r="FS28">
            <v>0</v>
          </cell>
          <cell r="FT28" t="str">
            <v/>
          </cell>
          <cell r="FV28">
            <v>0</v>
          </cell>
          <cell r="FW28" t="str">
            <v/>
          </cell>
          <cell r="FY28">
            <v>0</v>
          </cell>
          <cell r="FZ28" t="str">
            <v/>
          </cell>
          <cell r="GB28">
            <v>0</v>
          </cell>
          <cell r="GC28" t="str">
            <v/>
          </cell>
          <cell r="GE28">
            <v>0</v>
          </cell>
          <cell r="GF28" t="str">
            <v/>
          </cell>
          <cell r="GH28">
            <v>0</v>
          </cell>
          <cell r="GI28" t="str">
            <v/>
          </cell>
          <cell r="GK28">
            <v>0</v>
          </cell>
          <cell r="GL28" t="str">
            <v/>
          </cell>
          <cell r="GN28">
            <v>0</v>
          </cell>
          <cell r="GO28" t="str">
            <v/>
          </cell>
          <cell r="GQ28">
            <v>0</v>
          </cell>
          <cell r="GR28" t="str">
            <v/>
          </cell>
          <cell r="GT28">
            <v>0</v>
          </cell>
          <cell r="GU28" t="str">
            <v/>
          </cell>
          <cell r="GW28">
            <v>0</v>
          </cell>
          <cell r="GX28" t="str">
            <v/>
          </cell>
          <cell r="GZ28">
            <v>0</v>
          </cell>
          <cell r="HA28" t="str">
            <v/>
          </cell>
          <cell r="HC28">
            <v>0.2</v>
          </cell>
          <cell r="HD28">
            <v>56495</v>
          </cell>
          <cell r="HF28">
            <v>0</v>
          </cell>
          <cell r="HG28" t="str">
            <v/>
          </cell>
          <cell r="HI28">
            <v>0</v>
          </cell>
          <cell r="HJ28" t="str">
            <v/>
          </cell>
          <cell r="HL28">
            <v>0</v>
          </cell>
          <cell r="HM28" t="str">
            <v/>
          </cell>
          <cell r="HO28">
            <v>0</v>
          </cell>
          <cell r="HP28" t="str">
            <v/>
          </cell>
          <cell r="HR28">
            <v>0</v>
          </cell>
          <cell r="HS28" t="str">
            <v/>
          </cell>
          <cell r="HU28">
            <v>0</v>
          </cell>
          <cell r="HV28" t="str">
            <v/>
          </cell>
        </row>
        <row r="29">
          <cell r="DQ29">
            <v>0.14000000000000001</v>
          </cell>
          <cell r="DR29">
            <v>91071.428571428565</v>
          </cell>
          <cell r="DT29">
            <v>0.3</v>
          </cell>
          <cell r="DU29">
            <v>60940</v>
          </cell>
          <cell r="DW29">
            <v>0</v>
          </cell>
          <cell r="DX29" t="str">
            <v/>
          </cell>
          <cell r="DZ29">
            <v>0</v>
          </cell>
          <cell r="EA29" t="str">
            <v/>
          </cell>
          <cell r="EC29">
            <v>0</v>
          </cell>
          <cell r="ED29" t="str">
            <v/>
          </cell>
          <cell r="EF29">
            <v>0</v>
          </cell>
          <cell r="EG29" t="str">
            <v/>
          </cell>
          <cell r="EI29">
            <v>0</v>
          </cell>
          <cell r="EJ29" t="str">
            <v/>
          </cell>
          <cell r="EL29">
            <v>0</v>
          </cell>
          <cell r="EM29" t="str">
            <v/>
          </cell>
          <cell r="EO29">
            <v>0</v>
          </cell>
          <cell r="EP29" t="str">
            <v/>
          </cell>
          <cell r="ER29">
            <v>0</v>
          </cell>
          <cell r="ES29" t="str">
            <v/>
          </cell>
          <cell r="EU29">
            <v>0</v>
          </cell>
          <cell r="EV29" t="str">
            <v/>
          </cell>
          <cell r="EX29">
            <v>0</v>
          </cell>
          <cell r="EY29" t="str">
            <v/>
          </cell>
          <cell r="FA29">
            <v>0</v>
          </cell>
          <cell r="FB29" t="str">
            <v/>
          </cell>
          <cell r="FD29">
            <v>0</v>
          </cell>
          <cell r="FE29" t="str">
            <v/>
          </cell>
          <cell r="FG29">
            <v>0</v>
          </cell>
          <cell r="FH29" t="str">
            <v/>
          </cell>
          <cell r="FJ29">
            <v>0</v>
          </cell>
          <cell r="FK29" t="str">
            <v/>
          </cell>
          <cell r="FM29">
            <v>0</v>
          </cell>
          <cell r="FN29" t="str">
            <v/>
          </cell>
          <cell r="FP29">
            <v>0</v>
          </cell>
          <cell r="FQ29" t="str">
            <v/>
          </cell>
          <cell r="FS29">
            <v>0</v>
          </cell>
          <cell r="FT29" t="str">
            <v/>
          </cell>
          <cell r="FV29">
            <v>0</v>
          </cell>
          <cell r="FW29" t="str">
            <v/>
          </cell>
          <cell r="FY29">
            <v>0</v>
          </cell>
          <cell r="FZ29" t="str">
            <v/>
          </cell>
          <cell r="GB29">
            <v>0</v>
          </cell>
          <cell r="GC29" t="str">
            <v/>
          </cell>
          <cell r="GE29">
            <v>0</v>
          </cell>
          <cell r="GF29" t="str">
            <v/>
          </cell>
          <cell r="GH29">
            <v>0</v>
          </cell>
          <cell r="GI29" t="str">
            <v/>
          </cell>
          <cell r="GK29">
            <v>0</v>
          </cell>
          <cell r="GL29" t="str">
            <v/>
          </cell>
          <cell r="GN29">
            <v>0</v>
          </cell>
          <cell r="GO29" t="str">
            <v/>
          </cell>
          <cell r="GQ29">
            <v>0</v>
          </cell>
          <cell r="GR29" t="str">
            <v/>
          </cell>
          <cell r="GT29">
            <v>0</v>
          </cell>
          <cell r="GU29" t="str">
            <v/>
          </cell>
          <cell r="GW29">
            <v>0</v>
          </cell>
          <cell r="GX29" t="str">
            <v/>
          </cell>
          <cell r="GZ29">
            <v>0</v>
          </cell>
          <cell r="HA29" t="str">
            <v/>
          </cell>
          <cell r="HC29">
            <v>0</v>
          </cell>
          <cell r="HD29" t="str">
            <v/>
          </cell>
          <cell r="HF29">
            <v>4</v>
          </cell>
          <cell r="HG29">
            <v>41428</v>
          </cell>
          <cell r="HI29">
            <v>0</v>
          </cell>
          <cell r="HJ29" t="str">
            <v/>
          </cell>
          <cell r="HL29">
            <v>6.6</v>
          </cell>
          <cell r="HM29">
            <v>41660</v>
          </cell>
          <cell r="HO29">
            <v>0</v>
          </cell>
          <cell r="HP29" t="str">
            <v/>
          </cell>
          <cell r="HR29">
            <v>0</v>
          </cell>
          <cell r="HS29" t="str">
            <v/>
          </cell>
          <cell r="HU29">
            <v>0</v>
          </cell>
          <cell r="HV29" t="str">
            <v/>
          </cell>
        </row>
        <row r="30">
          <cell r="DQ30">
            <v>0</v>
          </cell>
          <cell r="DR30" t="str">
            <v/>
          </cell>
          <cell r="DT30">
            <v>0</v>
          </cell>
          <cell r="DU30" t="str">
            <v/>
          </cell>
          <cell r="DW30">
            <v>0</v>
          </cell>
          <cell r="DX30" t="str">
            <v/>
          </cell>
          <cell r="DZ30">
            <v>0</v>
          </cell>
          <cell r="EA30" t="str">
            <v/>
          </cell>
          <cell r="EC30">
            <v>0</v>
          </cell>
          <cell r="ED30" t="str">
            <v/>
          </cell>
          <cell r="EF30">
            <v>0</v>
          </cell>
          <cell r="EG30" t="str">
            <v/>
          </cell>
          <cell r="EI30">
            <v>0</v>
          </cell>
          <cell r="EJ30" t="str">
            <v/>
          </cell>
          <cell r="EL30">
            <v>0</v>
          </cell>
          <cell r="EM30" t="str">
            <v/>
          </cell>
          <cell r="EO30">
            <v>0</v>
          </cell>
          <cell r="EP30" t="str">
            <v/>
          </cell>
          <cell r="ER30">
            <v>0</v>
          </cell>
          <cell r="ES30" t="str">
            <v/>
          </cell>
          <cell r="EU30">
            <v>0</v>
          </cell>
          <cell r="EV30" t="str">
            <v/>
          </cell>
          <cell r="EX30">
            <v>0</v>
          </cell>
          <cell r="EY30" t="str">
            <v/>
          </cell>
          <cell r="FA30">
            <v>0</v>
          </cell>
          <cell r="FB30" t="str">
            <v/>
          </cell>
          <cell r="FD30">
            <v>0</v>
          </cell>
          <cell r="FE30" t="str">
            <v/>
          </cell>
          <cell r="FG30">
            <v>0</v>
          </cell>
          <cell r="FH30" t="str">
            <v/>
          </cell>
          <cell r="FJ30">
            <v>0</v>
          </cell>
          <cell r="FK30" t="str">
            <v/>
          </cell>
          <cell r="FM30">
            <v>0</v>
          </cell>
          <cell r="FN30" t="str">
            <v/>
          </cell>
          <cell r="FP30">
            <v>0</v>
          </cell>
          <cell r="FQ30" t="str">
            <v/>
          </cell>
          <cell r="FS30">
            <v>0</v>
          </cell>
          <cell r="FT30" t="str">
            <v/>
          </cell>
          <cell r="FV30">
            <v>0</v>
          </cell>
          <cell r="FW30" t="str">
            <v/>
          </cell>
          <cell r="FY30">
            <v>0</v>
          </cell>
          <cell r="FZ30" t="str">
            <v/>
          </cell>
          <cell r="GB30">
            <v>0</v>
          </cell>
          <cell r="GC30" t="str">
            <v/>
          </cell>
          <cell r="GE30">
            <v>0</v>
          </cell>
          <cell r="GF30" t="str">
            <v/>
          </cell>
          <cell r="GH30">
            <v>0</v>
          </cell>
          <cell r="GI30" t="str">
            <v/>
          </cell>
          <cell r="GK30">
            <v>0</v>
          </cell>
          <cell r="GL30" t="str">
            <v/>
          </cell>
          <cell r="GN30">
            <v>0</v>
          </cell>
          <cell r="GO30" t="str">
            <v/>
          </cell>
          <cell r="GQ30">
            <v>0</v>
          </cell>
          <cell r="GR30" t="str">
            <v/>
          </cell>
          <cell r="GT30">
            <v>0</v>
          </cell>
          <cell r="GU30" t="str">
            <v/>
          </cell>
          <cell r="GW30">
            <v>0</v>
          </cell>
          <cell r="GX30" t="str">
            <v/>
          </cell>
          <cell r="GZ30">
            <v>0</v>
          </cell>
          <cell r="HA30" t="str">
            <v/>
          </cell>
          <cell r="HC30">
            <v>0</v>
          </cell>
          <cell r="HD30" t="str">
            <v/>
          </cell>
          <cell r="HF30">
            <v>0</v>
          </cell>
          <cell r="HG30" t="str">
            <v/>
          </cell>
          <cell r="HI30">
            <v>0</v>
          </cell>
          <cell r="HJ30" t="str">
            <v/>
          </cell>
          <cell r="HL30">
            <v>0</v>
          </cell>
          <cell r="HM30" t="str">
            <v/>
          </cell>
          <cell r="HO30">
            <v>0</v>
          </cell>
          <cell r="HP30" t="str">
            <v/>
          </cell>
          <cell r="HR30">
            <v>0</v>
          </cell>
          <cell r="HS30" t="str">
            <v/>
          </cell>
          <cell r="HU30">
            <v>0</v>
          </cell>
          <cell r="HV30" t="str">
            <v/>
          </cell>
        </row>
        <row r="31">
          <cell r="DQ31">
            <v>0.06</v>
          </cell>
          <cell r="DR31">
            <v>104300</v>
          </cell>
          <cell r="DT31">
            <v>0.28000000000000003</v>
          </cell>
          <cell r="DU31">
            <v>64799.999999999993</v>
          </cell>
          <cell r="DW31">
            <v>0.02</v>
          </cell>
          <cell r="DX31">
            <v>44100</v>
          </cell>
          <cell r="DZ31">
            <v>0.02</v>
          </cell>
          <cell r="EA31">
            <v>43600</v>
          </cell>
          <cell r="EC31">
            <v>0</v>
          </cell>
          <cell r="ED31" t="str">
            <v/>
          </cell>
          <cell r="EF31">
            <v>0</v>
          </cell>
          <cell r="EG31" t="str">
            <v/>
          </cell>
          <cell r="EI31">
            <v>0</v>
          </cell>
          <cell r="EJ31" t="str">
            <v/>
          </cell>
          <cell r="EL31">
            <v>0</v>
          </cell>
          <cell r="EM31" t="str">
            <v/>
          </cell>
          <cell r="EO31">
            <v>0</v>
          </cell>
          <cell r="EP31" t="str">
            <v/>
          </cell>
          <cell r="ER31">
            <v>0</v>
          </cell>
          <cell r="ES31" t="str">
            <v/>
          </cell>
          <cell r="EU31">
            <v>0</v>
          </cell>
          <cell r="EV31" t="str">
            <v/>
          </cell>
          <cell r="EX31">
            <v>0</v>
          </cell>
          <cell r="EY31" t="str">
            <v/>
          </cell>
          <cell r="FA31">
            <v>0</v>
          </cell>
          <cell r="FB31" t="str">
            <v/>
          </cell>
          <cell r="FD31">
            <v>0</v>
          </cell>
          <cell r="FE31" t="str">
            <v/>
          </cell>
          <cell r="FG31">
            <v>0</v>
          </cell>
          <cell r="FH31" t="str">
            <v/>
          </cell>
          <cell r="FJ31">
            <v>0</v>
          </cell>
          <cell r="FK31" t="str">
            <v/>
          </cell>
          <cell r="FM31">
            <v>0</v>
          </cell>
          <cell r="FN31" t="str">
            <v/>
          </cell>
          <cell r="FP31">
            <v>0</v>
          </cell>
          <cell r="FQ31" t="str">
            <v/>
          </cell>
          <cell r="FS31">
            <v>0</v>
          </cell>
          <cell r="FT31" t="str">
            <v/>
          </cell>
          <cell r="FV31">
            <v>0</v>
          </cell>
          <cell r="FW31" t="str">
            <v/>
          </cell>
          <cell r="FY31">
            <v>0</v>
          </cell>
          <cell r="FZ31" t="str">
            <v/>
          </cell>
          <cell r="GB31">
            <v>0</v>
          </cell>
          <cell r="GC31" t="str">
            <v/>
          </cell>
          <cell r="GE31">
            <v>0</v>
          </cell>
          <cell r="GF31" t="str">
            <v/>
          </cell>
          <cell r="GH31">
            <v>0</v>
          </cell>
          <cell r="GI31" t="str">
            <v/>
          </cell>
          <cell r="GK31">
            <v>0</v>
          </cell>
          <cell r="GL31" t="str">
            <v/>
          </cell>
          <cell r="GN31">
            <v>0</v>
          </cell>
          <cell r="GO31" t="str">
            <v/>
          </cell>
          <cell r="GQ31">
            <v>0</v>
          </cell>
          <cell r="GR31" t="str">
            <v/>
          </cell>
          <cell r="GT31">
            <v>0</v>
          </cell>
          <cell r="GU31" t="str">
            <v/>
          </cell>
          <cell r="GW31">
            <v>0</v>
          </cell>
          <cell r="GX31" t="str">
            <v/>
          </cell>
          <cell r="GZ31">
            <v>0</v>
          </cell>
          <cell r="HA31" t="str">
            <v/>
          </cell>
          <cell r="HC31">
            <v>0</v>
          </cell>
          <cell r="HD31" t="str">
            <v/>
          </cell>
          <cell r="HF31">
            <v>0</v>
          </cell>
          <cell r="HG31" t="str">
            <v/>
          </cell>
          <cell r="HI31">
            <v>0</v>
          </cell>
          <cell r="HJ31" t="str">
            <v/>
          </cell>
          <cell r="HL31">
            <v>0</v>
          </cell>
          <cell r="HM31" t="str">
            <v/>
          </cell>
          <cell r="HO31">
            <v>0</v>
          </cell>
          <cell r="HP31" t="str">
            <v/>
          </cell>
          <cell r="HR31">
            <v>0</v>
          </cell>
          <cell r="HS31" t="str">
            <v/>
          </cell>
          <cell r="HU31">
            <v>0</v>
          </cell>
          <cell r="HV31" t="str">
            <v/>
          </cell>
        </row>
        <row r="32">
          <cell r="DQ32">
            <v>1</v>
          </cell>
          <cell r="DR32">
            <v>67464</v>
          </cell>
          <cell r="DT32">
            <v>0.34</v>
          </cell>
          <cell r="DU32">
            <v>92976.470588235286</v>
          </cell>
          <cell r="DW32">
            <v>0</v>
          </cell>
          <cell r="DX32" t="str">
            <v/>
          </cell>
          <cell r="DZ32">
            <v>0.26</v>
          </cell>
          <cell r="EA32">
            <v>49469.230769230766</v>
          </cell>
          <cell r="EC32">
            <v>0</v>
          </cell>
          <cell r="ED32" t="str">
            <v/>
          </cell>
          <cell r="EF32">
            <v>0</v>
          </cell>
          <cell r="EG32" t="str">
            <v/>
          </cell>
          <cell r="EI32">
            <v>0</v>
          </cell>
          <cell r="EJ32" t="str">
            <v/>
          </cell>
          <cell r="EL32">
            <v>0</v>
          </cell>
          <cell r="EM32" t="str">
            <v/>
          </cell>
          <cell r="EO32">
            <v>0</v>
          </cell>
          <cell r="EP32" t="str">
            <v/>
          </cell>
          <cell r="ER32">
            <v>0</v>
          </cell>
          <cell r="ES32" t="str">
            <v/>
          </cell>
          <cell r="EU32">
            <v>0</v>
          </cell>
          <cell r="EV32" t="str">
            <v/>
          </cell>
          <cell r="EX32">
            <v>0</v>
          </cell>
          <cell r="EY32" t="str">
            <v/>
          </cell>
          <cell r="FA32">
            <v>0</v>
          </cell>
          <cell r="FB32" t="str">
            <v/>
          </cell>
          <cell r="FD32">
            <v>0</v>
          </cell>
          <cell r="FE32" t="str">
            <v/>
          </cell>
          <cell r="FG32">
            <v>0</v>
          </cell>
          <cell r="FH32" t="str">
            <v/>
          </cell>
          <cell r="FJ32">
            <v>0</v>
          </cell>
          <cell r="FK32" t="str">
            <v/>
          </cell>
          <cell r="FM32">
            <v>0</v>
          </cell>
          <cell r="FN32" t="str">
            <v/>
          </cell>
          <cell r="FP32">
            <v>0</v>
          </cell>
          <cell r="FQ32" t="str">
            <v/>
          </cell>
          <cell r="FS32">
            <v>0</v>
          </cell>
          <cell r="FT32" t="str">
            <v/>
          </cell>
          <cell r="FV32">
            <v>0</v>
          </cell>
          <cell r="FW32" t="str">
            <v/>
          </cell>
          <cell r="FY32">
            <v>0</v>
          </cell>
          <cell r="FZ32" t="str">
            <v/>
          </cell>
          <cell r="GB32">
            <v>4.4400000000000004</v>
          </cell>
          <cell r="GC32">
            <v>43584.684684684682</v>
          </cell>
          <cell r="GE32">
            <v>0</v>
          </cell>
          <cell r="GF32" t="str">
            <v/>
          </cell>
          <cell r="GH32">
            <v>0</v>
          </cell>
          <cell r="GI32" t="str">
            <v/>
          </cell>
          <cell r="GK32">
            <v>0.1</v>
          </cell>
          <cell r="GL32">
            <v>42460</v>
          </cell>
          <cell r="GN32">
            <v>0</v>
          </cell>
          <cell r="GO32" t="str">
            <v/>
          </cell>
          <cell r="GQ32">
            <v>0</v>
          </cell>
          <cell r="GR32" t="str">
            <v/>
          </cell>
          <cell r="GT32">
            <v>4.0999999999999996</v>
          </cell>
          <cell r="GU32">
            <v>30740.000000000004</v>
          </cell>
          <cell r="GW32">
            <v>0</v>
          </cell>
          <cell r="GX32" t="str">
            <v/>
          </cell>
          <cell r="GZ32">
            <v>1.44</v>
          </cell>
          <cell r="HA32">
            <v>47595.833333333336</v>
          </cell>
          <cell r="HC32">
            <v>0</v>
          </cell>
          <cell r="HD32" t="str">
            <v/>
          </cell>
          <cell r="HF32">
            <v>0</v>
          </cell>
          <cell r="HG32" t="str">
            <v/>
          </cell>
          <cell r="HI32">
            <v>0</v>
          </cell>
          <cell r="HJ32" t="str">
            <v/>
          </cell>
          <cell r="HL32">
            <v>0</v>
          </cell>
          <cell r="HM32" t="str">
            <v/>
          </cell>
          <cell r="HO32">
            <v>0.2</v>
          </cell>
          <cell r="HP32">
            <v>49330</v>
          </cell>
          <cell r="HR32">
            <v>0</v>
          </cell>
          <cell r="HS32" t="str">
            <v/>
          </cell>
          <cell r="HU32">
            <v>0</v>
          </cell>
          <cell r="HV32" t="str">
            <v/>
          </cell>
        </row>
        <row r="33">
          <cell r="DQ33">
            <v>0.88</v>
          </cell>
          <cell r="DR33">
            <v>64297.727272727272</v>
          </cell>
          <cell r="DT33">
            <v>0.09</v>
          </cell>
          <cell r="DU33">
            <v>107200</v>
          </cell>
          <cell r="DW33">
            <v>0</v>
          </cell>
          <cell r="DX33" t="str">
            <v/>
          </cell>
          <cell r="DZ33">
            <v>0</v>
          </cell>
          <cell r="EA33" t="str">
            <v/>
          </cell>
          <cell r="EC33">
            <v>0</v>
          </cell>
          <cell r="ED33" t="str">
            <v/>
          </cell>
          <cell r="EF33">
            <v>0</v>
          </cell>
          <cell r="EG33" t="str">
            <v/>
          </cell>
          <cell r="EI33">
            <v>0</v>
          </cell>
          <cell r="EJ33" t="str">
            <v/>
          </cell>
          <cell r="EL33">
            <v>0</v>
          </cell>
          <cell r="EM33" t="str">
            <v/>
          </cell>
          <cell r="EO33">
            <v>0</v>
          </cell>
          <cell r="EP33" t="str">
            <v/>
          </cell>
          <cell r="ER33">
            <v>0</v>
          </cell>
          <cell r="ES33" t="str">
            <v/>
          </cell>
          <cell r="EU33">
            <v>0</v>
          </cell>
          <cell r="EV33" t="str">
            <v/>
          </cell>
          <cell r="EX33">
            <v>0</v>
          </cell>
          <cell r="EY33" t="str">
            <v/>
          </cell>
          <cell r="FA33">
            <v>0</v>
          </cell>
          <cell r="FB33" t="str">
            <v/>
          </cell>
          <cell r="FD33">
            <v>0</v>
          </cell>
          <cell r="FE33" t="str">
            <v/>
          </cell>
          <cell r="FG33">
            <v>0</v>
          </cell>
          <cell r="FH33" t="str">
            <v/>
          </cell>
          <cell r="FJ33">
            <v>0</v>
          </cell>
          <cell r="FK33" t="str">
            <v/>
          </cell>
          <cell r="FM33">
            <v>0</v>
          </cell>
          <cell r="FN33" t="str">
            <v/>
          </cell>
          <cell r="FP33">
            <v>0</v>
          </cell>
          <cell r="FQ33" t="str">
            <v/>
          </cell>
          <cell r="FS33">
            <v>0</v>
          </cell>
          <cell r="FT33" t="str">
            <v/>
          </cell>
          <cell r="FV33">
            <v>0</v>
          </cell>
          <cell r="FW33" t="str">
            <v/>
          </cell>
          <cell r="FY33">
            <v>0</v>
          </cell>
          <cell r="FZ33" t="str">
            <v/>
          </cell>
          <cell r="GB33">
            <v>0</v>
          </cell>
          <cell r="GC33" t="str">
            <v/>
          </cell>
          <cell r="GE33">
            <v>0</v>
          </cell>
          <cell r="GF33" t="str">
            <v/>
          </cell>
          <cell r="GH33">
            <v>0</v>
          </cell>
          <cell r="GI33" t="str">
            <v/>
          </cell>
          <cell r="GK33">
            <v>1</v>
          </cell>
          <cell r="GL33">
            <v>56358</v>
          </cell>
          <cell r="GN33">
            <v>0</v>
          </cell>
          <cell r="GO33" t="str">
            <v/>
          </cell>
          <cell r="GQ33">
            <v>0</v>
          </cell>
          <cell r="GR33" t="str">
            <v/>
          </cell>
          <cell r="GT33">
            <v>0</v>
          </cell>
          <cell r="GU33" t="str">
            <v/>
          </cell>
          <cell r="GW33">
            <v>0</v>
          </cell>
          <cell r="GX33" t="str">
            <v/>
          </cell>
          <cell r="GZ33">
            <v>0</v>
          </cell>
          <cell r="HA33" t="str">
            <v/>
          </cell>
          <cell r="HC33">
            <v>0</v>
          </cell>
          <cell r="HD33" t="str">
            <v/>
          </cell>
          <cell r="HF33">
            <v>0</v>
          </cell>
          <cell r="HG33" t="str">
            <v/>
          </cell>
          <cell r="HI33">
            <v>0.53</v>
          </cell>
          <cell r="HJ33">
            <v>33843.39622641509</v>
          </cell>
          <cell r="HL33">
            <v>3.54</v>
          </cell>
          <cell r="HM33">
            <v>36501.694915254237</v>
          </cell>
          <cell r="HO33">
            <v>0.76</v>
          </cell>
          <cell r="HP33">
            <v>32322.36842105263</v>
          </cell>
          <cell r="HR33">
            <v>0</v>
          </cell>
          <cell r="HS33" t="str">
            <v/>
          </cell>
          <cell r="HU33">
            <v>0</v>
          </cell>
          <cell r="HV33" t="str">
            <v/>
          </cell>
        </row>
        <row r="34">
          <cell r="DQ34">
            <v>0.03</v>
          </cell>
          <cell r="DR34">
            <v>99833.333333333343</v>
          </cell>
          <cell r="DT34">
            <v>0</v>
          </cell>
          <cell r="DU34" t="str">
            <v/>
          </cell>
          <cell r="DW34">
            <v>0.03</v>
          </cell>
          <cell r="DX34">
            <v>80933.333333333343</v>
          </cell>
          <cell r="DZ34">
            <v>0</v>
          </cell>
          <cell r="EA34" t="str">
            <v/>
          </cell>
          <cell r="EC34">
            <v>0</v>
          </cell>
          <cell r="ED34" t="str">
            <v/>
          </cell>
          <cell r="EF34">
            <v>0</v>
          </cell>
          <cell r="EG34" t="str">
            <v/>
          </cell>
          <cell r="EI34">
            <v>0</v>
          </cell>
          <cell r="EJ34" t="str">
            <v/>
          </cell>
          <cell r="EL34">
            <v>0</v>
          </cell>
          <cell r="EM34" t="str">
            <v/>
          </cell>
          <cell r="EO34">
            <v>0</v>
          </cell>
          <cell r="EP34" t="str">
            <v/>
          </cell>
          <cell r="ER34">
            <v>0</v>
          </cell>
          <cell r="ES34" t="str">
            <v/>
          </cell>
          <cell r="EU34">
            <v>0</v>
          </cell>
          <cell r="EV34" t="str">
            <v/>
          </cell>
          <cell r="EX34">
            <v>0</v>
          </cell>
          <cell r="EY34" t="str">
            <v/>
          </cell>
          <cell r="FA34">
            <v>0</v>
          </cell>
          <cell r="FB34" t="str">
            <v/>
          </cell>
          <cell r="FD34">
            <v>0</v>
          </cell>
          <cell r="FE34" t="str">
            <v/>
          </cell>
          <cell r="FG34">
            <v>0</v>
          </cell>
          <cell r="FH34" t="str">
            <v/>
          </cell>
          <cell r="FJ34">
            <v>0</v>
          </cell>
          <cell r="FK34" t="str">
            <v/>
          </cell>
          <cell r="FM34">
            <v>0</v>
          </cell>
          <cell r="FN34" t="str">
            <v/>
          </cell>
          <cell r="FP34">
            <v>0</v>
          </cell>
          <cell r="FQ34" t="str">
            <v/>
          </cell>
          <cell r="FS34">
            <v>0</v>
          </cell>
          <cell r="FT34" t="str">
            <v/>
          </cell>
          <cell r="FV34">
            <v>0</v>
          </cell>
          <cell r="FW34" t="str">
            <v/>
          </cell>
          <cell r="FY34">
            <v>0</v>
          </cell>
          <cell r="FZ34" t="str">
            <v/>
          </cell>
          <cell r="GB34">
            <v>0</v>
          </cell>
          <cell r="GC34" t="str">
            <v/>
          </cell>
          <cell r="GE34">
            <v>0</v>
          </cell>
          <cell r="GF34" t="str">
            <v/>
          </cell>
          <cell r="GH34">
            <v>0</v>
          </cell>
          <cell r="GI34" t="str">
            <v/>
          </cell>
          <cell r="GK34">
            <v>0</v>
          </cell>
          <cell r="GL34" t="str">
            <v/>
          </cell>
          <cell r="GN34">
            <v>0</v>
          </cell>
          <cell r="GO34" t="str">
            <v/>
          </cell>
          <cell r="GQ34">
            <v>0</v>
          </cell>
          <cell r="GR34" t="str">
            <v/>
          </cell>
          <cell r="GT34">
            <v>0</v>
          </cell>
          <cell r="GU34" t="str">
            <v/>
          </cell>
          <cell r="GW34">
            <v>0</v>
          </cell>
          <cell r="GX34" t="str">
            <v/>
          </cell>
          <cell r="GZ34">
            <v>0</v>
          </cell>
          <cell r="HA34" t="str">
            <v/>
          </cell>
          <cell r="HC34">
            <v>0</v>
          </cell>
          <cell r="HD34" t="str">
            <v/>
          </cell>
          <cell r="HF34">
            <v>0</v>
          </cell>
          <cell r="HG34" t="str">
            <v/>
          </cell>
          <cell r="HI34">
            <v>0.32</v>
          </cell>
          <cell r="HJ34">
            <v>30775</v>
          </cell>
          <cell r="HL34">
            <v>0.03</v>
          </cell>
          <cell r="HM34">
            <v>28666.666666666668</v>
          </cell>
          <cell r="HO34">
            <v>0</v>
          </cell>
          <cell r="HP34" t="str">
            <v/>
          </cell>
          <cell r="HR34">
            <v>0</v>
          </cell>
          <cell r="HS34" t="str">
            <v/>
          </cell>
          <cell r="HU34">
            <v>0</v>
          </cell>
          <cell r="HV34" t="str">
            <v/>
          </cell>
        </row>
        <row r="35">
          <cell r="DQ35">
            <v>0.05</v>
          </cell>
          <cell r="DR35">
            <v>50760</v>
          </cell>
          <cell r="DT35">
            <v>0.01</v>
          </cell>
          <cell r="DU35">
            <v>91700</v>
          </cell>
          <cell r="DW35">
            <v>0</v>
          </cell>
          <cell r="DX35" t="str">
            <v/>
          </cell>
          <cell r="DZ35">
            <v>0</v>
          </cell>
          <cell r="EA35" t="str">
            <v/>
          </cell>
          <cell r="EC35">
            <v>0</v>
          </cell>
          <cell r="ED35" t="str">
            <v/>
          </cell>
          <cell r="EF35">
            <v>0</v>
          </cell>
          <cell r="EG35" t="str">
            <v/>
          </cell>
          <cell r="EI35">
            <v>0</v>
          </cell>
          <cell r="EJ35" t="str">
            <v/>
          </cell>
          <cell r="EL35">
            <v>0</v>
          </cell>
          <cell r="EM35" t="str">
            <v/>
          </cell>
          <cell r="EO35">
            <v>0</v>
          </cell>
          <cell r="EP35" t="str">
            <v/>
          </cell>
          <cell r="ER35">
            <v>0</v>
          </cell>
          <cell r="ES35" t="str">
            <v/>
          </cell>
          <cell r="EU35">
            <v>0</v>
          </cell>
          <cell r="EV35" t="str">
            <v/>
          </cell>
          <cell r="EX35">
            <v>0</v>
          </cell>
          <cell r="EY35" t="str">
            <v/>
          </cell>
          <cell r="FA35">
            <v>0</v>
          </cell>
          <cell r="FB35" t="str">
            <v/>
          </cell>
          <cell r="FD35">
            <v>0</v>
          </cell>
          <cell r="FE35" t="str">
            <v/>
          </cell>
          <cell r="FG35">
            <v>0</v>
          </cell>
          <cell r="FH35" t="str">
            <v/>
          </cell>
          <cell r="FJ35">
            <v>0</v>
          </cell>
          <cell r="FK35" t="str">
            <v/>
          </cell>
          <cell r="FM35">
            <v>0</v>
          </cell>
          <cell r="FN35" t="str">
            <v/>
          </cell>
          <cell r="FP35">
            <v>0</v>
          </cell>
          <cell r="FQ35" t="str">
            <v/>
          </cell>
          <cell r="FS35">
            <v>0</v>
          </cell>
          <cell r="FT35" t="str">
            <v/>
          </cell>
          <cell r="FV35">
            <v>0</v>
          </cell>
          <cell r="FW35" t="str">
            <v/>
          </cell>
          <cell r="FY35">
            <v>0</v>
          </cell>
          <cell r="FZ35" t="str">
            <v/>
          </cell>
          <cell r="GB35">
            <v>0</v>
          </cell>
          <cell r="GC35" t="str">
            <v/>
          </cell>
          <cell r="GE35">
            <v>0</v>
          </cell>
          <cell r="GF35" t="str">
            <v/>
          </cell>
          <cell r="GH35">
            <v>0</v>
          </cell>
          <cell r="GI35" t="str">
            <v/>
          </cell>
          <cell r="GK35">
            <v>0</v>
          </cell>
          <cell r="GL35" t="str">
            <v/>
          </cell>
          <cell r="GN35">
            <v>0</v>
          </cell>
          <cell r="GO35" t="str">
            <v/>
          </cell>
          <cell r="GQ35">
            <v>0</v>
          </cell>
          <cell r="GR35" t="str">
            <v/>
          </cell>
          <cell r="GT35">
            <v>0</v>
          </cell>
          <cell r="GU35" t="str">
            <v/>
          </cell>
          <cell r="GW35">
            <v>0</v>
          </cell>
          <cell r="GX35" t="str">
            <v/>
          </cell>
          <cell r="GZ35">
            <v>0</v>
          </cell>
          <cell r="HA35" t="str">
            <v/>
          </cell>
          <cell r="HC35">
            <v>0.32</v>
          </cell>
          <cell r="HD35">
            <v>34153.125</v>
          </cell>
          <cell r="HF35">
            <v>0</v>
          </cell>
          <cell r="HG35" t="str">
            <v/>
          </cell>
          <cell r="HI35">
            <v>0</v>
          </cell>
          <cell r="HJ35" t="str">
            <v/>
          </cell>
          <cell r="HL35">
            <v>0.52</v>
          </cell>
          <cell r="HM35">
            <v>23621.153846153844</v>
          </cell>
          <cell r="HO35">
            <v>0.02</v>
          </cell>
          <cell r="HP35">
            <v>31650</v>
          </cell>
          <cell r="HR35">
            <v>0</v>
          </cell>
          <cell r="HS35" t="str">
            <v/>
          </cell>
          <cell r="HU35">
            <v>0</v>
          </cell>
          <cell r="HV35" t="str">
            <v/>
          </cell>
        </row>
        <row r="36">
          <cell r="DQ36">
            <v>0.27</v>
          </cell>
          <cell r="DR36">
            <v>55029.629629629628</v>
          </cell>
          <cell r="DT36">
            <v>0.02</v>
          </cell>
          <cell r="DU36">
            <v>91900</v>
          </cell>
          <cell r="DW36">
            <v>0</v>
          </cell>
          <cell r="DX36" t="str">
            <v/>
          </cell>
          <cell r="DZ36">
            <v>0</v>
          </cell>
          <cell r="EA36" t="str">
            <v/>
          </cell>
          <cell r="EC36">
            <v>0</v>
          </cell>
          <cell r="ED36" t="str">
            <v/>
          </cell>
          <cell r="EF36">
            <v>0</v>
          </cell>
          <cell r="EG36" t="str">
            <v/>
          </cell>
          <cell r="EI36">
            <v>0</v>
          </cell>
          <cell r="EJ36" t="str">
            <v/>
          </cell>
          <cell r="EL36">
            <v>0</v>
          </cell>
          <cell r="EM36" t="str">
            <v/>
          </cell>
          <cell r="EO36">
            <v>0</v>
          </cell>
          <cell r="EP36" t="str">
            <v/>
          </cell>
          <cell r="ER36">
            <v>0</v>
          </cell>
          <cell r="ES36" t="str">
            <v/>
          </cell>
          <cell r="EU36">
            <v>0</v>
          </cell>
          <cell r="EV36" t="str">
            <v/>
          </cell>
          <cell r="EX36">
            <v>0</v>
          </cell>
          <cell r="EY36" t="str">
            <v/>
          </cell>
          <cell r="FA36">
            <v>0</v>
          </cell>
          <cell r="FB36" t="str">
            <v/>
          </cell>
          <cell r="FD36">
            <v>0</v>
          </cell>
          <cell r="FE36" t="str">
            <v/>
          </cell>
          <cell r="FG36">
            <v>0</v>
          </cell>
          <cell r="FH36" t="str">
            <v/>
          </cell>
          <cell r="FJ36">
            <v>0</v>
          </cell>
          <cell r="FK36" t="str">
            <v/>
          </cell>
          <cell r="FM36">
            <v>0</v>
          </cell>
          <cell r="FN36" t="str">
            <v/>
          </cell>
          <cell r="FP36">
            <v>0</v>
          </cell>
          <cell r="FQ36" t="str">
            <v/>
          </cell>
          <cell r="FS36">
            <v>0</v>
          </cell>
          <cell r="FT36" t="str">
            <v/>
          </cell>
          <cell r="FV36">
            <v>0</v>
          </cell>
          <cell r="FW36" t="str">
            <v/>
          </cell>
          <cell r="FY36">
            <v>0</v>
          </cell>
          <cell r="FZ36" t="str">
            <v/>
          </cell>
          <cell r="GB36">
            <v>0</v>
          </cell>
          <cell r="GC36" t="str">
            <v/>
          </cell>
          <cell r="GE36">
            <v>0</v>
          </cell>
          <cell r="GF36" t="str">
            <v/>
          </cell>
          <cell r="GH36">
            <v>0</v>
          </cell>
          <cell r="GI36" t="str">
            <v/>
          </cell>
          <cell r="GK36">
            <v>0</v>
          </cell>
          <cell r="GL36" t="str">
            <v/>
          </cell>
          <cell r="GN36">
            <v>0</v>
          </cell>
          <cell r="GO36" t="str">
            <v/>
          </cell>
          <cell r="GQ36">
            <v>0</v>
          </cell>
          <cell r="GR36" t="str">
            <v/>
          </cell>
          <cell r="GT36">
            <v>0</v>
          </cell>
          <cell r="GU36" t="str">
            <v/>
          </cell>
          <cell r="GW36">
            <v>0</v>
          </cell>
          <cell r="GX36" t="str">
            <v/>
          </cell>
          <cell r="GZ36">
            <v>0</v>
          </cell>
          <cell r="HA36" t="str">
            <v/>
          </cell>
          <cell r="HC36">
            <v>0.75</v>
          </cell>
          <cell r="HD36">
            <v>35846.666666666664</v>
          </cell>
          <cell r="HF36">
            <v>0</v>
          </cell>
          <cell r="HG36" t="str">
            <v/>
          </cell>
          <cell r="HI36">
            <v>0</v>
          </cell>
          <cell r="HJ36" t="str">
            <v/>
          </cell>
          <cell r="HL36">
            <v>2.81</v>
          </cell>
          <cell r="HM36">
            <v>26084.697508896796</v>
          </cell>
          <cell r="HO36">
            <v>0.03</v>
          </cell>
          <cell r="HP36">
            <v>23066.666666666668</v>
          </cell>
          <cell r="HR36">
            <v>0</v>
          </cell>
          <cell r="HS36" t="str">
            <v/>
          </cell>
          <cell r="HU36">
            <v>0</v>
          </cell>
          <cell r="HV36" t="str">
            <v/>
          </cell>
        </row>
        <row r="37">
          <cell r="DQ37">
            <v>0.32</v>
          </cell>
          <cell r="DR37">
            <v>55775</v>
          </cell>
          <cell r="DT37">
            <v>0.01</v>
          </cell>
          <cell r="DU37">
            <v>91700</v>
          </cell>
          <cell r="DW37">
            <v>0</v>
          </cell>
          <cell r="DX37" t="str">
            <v/>
          </cell>
          <cell r="DZ37">
            <v>0</v>
          </cell>
          <cell r="EA37" t="str">
            <v/>
          </cell>
          <cell r="EC37">
            <v>0</v>
          </cell>
          <cell r="ED37" t="str">
            <v/>
          </cell>
          <cell r="EF37">
            <v>0</v>
          </cell>
          <cell r="EG37" t="str">
            <v/>
          </cell>
          <cell r="EI37">
            <v>0</v>
          </cell>
          <cell r="EJ37" t="str">
            <v/>
          </cell>
          <cell r="EL37">
            <v>0</v>
          </cell>
          <cell r="EM37" t="str">
            <v/>
          </cell>
          <cell r="EO37">
            <v>0</v>
          </cell>
          <cell r="EP37" t="str">
            <v/>
          </cell>
          <cell r="ER37">
            <v>0</v>
          </cell>
          <cell r="ES37" t="str">
            <v/>
          </cell>
          <cell r="EU37">
            <v>0</v>
          </cell>
          <cell r="EV37" t="str">
            <v/>
          </cell>
          <cell r="EX37">
            <v>0</v>
          </cell>
          <cell r="EY37" t="str">
            <v/>
          </cell>
          <cell r="FA37">
            <v>0</v>
          </cell>
          <cell r="FB37" t="str">
            <v/>
          </cell>
          <cell r="FD37">
            <v>0</v>
          </cell>
          <cell r="FE37" t="str">
            <v/>
          </cell>
          <cell r="FG37">
            <v>0</v>
          </cell>
          <cell r="FH37" t="str">
            <v/>
          </cell>
          <cell r="FJ37">
            <v>0</v>
          </cell>
          <cell r="FK37" t="str">
            <v/>
          </cell>
          <cell r="FM37">
            <v>0</v>
          </cell>
          <cell r="FN37" t="str">
            <v/>
          </cell>
          <cell r="FP37">
            <v>0</v>
          </cell>
          <cell r="FQ37" t="str">
            <v/>
          </cell>
          <cell r="FS37">
            <v>0</v>
          </cell>
          <cell r="FT37" t="str">
            <v/>
          </cell>
          <cell r="FV37">
            <v>0</v>
          </cell>
          <cell r="FW37" t="str">
            <v/>
          </cell>
          <cell r="FY37">
            <v>0</v>
          </cell>
          <cell r="FZ37" t="str">
            <v/>
          </cell>
          <cell r="GB37">
            <v>0</v>
          </cell>
          <cell r="GC37" t="str">
            <v/>
          </cell>
          <cell r="GE37">
            <v>0</v>
          </cell>
          <cell r="GF37" t="str">
            <v/>
          </cell>
          <cell r="GH37">
            <v>0</v>
          </cell>
          <cell r="GI37" t="str">
            <v/>
          </cell>
          <cell r="GK37">
            <v>0</v>
          </cell>
          <cell r="GL37" t="str">
            <v/>
          </cell>
          <cell r="GN37">
            <v>0</v>
          </cell>
          <cell r="GO37" t="str">
            <v/>
          </cell>
          <cell r="GQ37">
            <v>0</v>
          </cell>
          <cell r="GR37" t="str">
            <v/>
          </cell>
          <cell r="GT37">
            <v>0</v>
          </cell>
          <cell r="GU37" t="str">
            <v/>
          </cell>
          <cell r="GW37">
            <v>0</v>
          </cell>
          <cell r="GX37" t="str">
            <v/>
          </cell>
          <cell r="GZ37">
            <v>0.4</v>
          </cell>
          <cell r="HA37">
            <v>28687.5</v>
          </cell>
          <cell r="HC37">
            <v>0.01</v>
          </cell>
          <cell r="HD37">
            <v>37900</v>
          </cell>
          <cell r="HF37">
            <v>0</v>
          </cell>
          <cell r="HG37" t="str">
            <v/>
          </cell>
          <cell r="HI37">
            <v>0</v>
          </cell>
          <cell r="HJ37" t="str">
            <v/>
          </cell>
          <cell r="HL37">
            <v>1.03</v>
          </cell>
          <cell r="HM37">
            <v>27062.135922330097</v>
          </cell>
          <cell r="HO37">
            <v>0.03</v>
          </cell>
          <cell r="HP37">
            <v>22880</v>
          </cell>
          <cell r="HR37">
            <v>0</v>
          </cell>
          <cell r="HS37" t="str">
            <v/>
          </cell>
          <cell r="HU37">
            <v>0</v>
          </cell>
          <cell r="HV37" t="str">
            <v/>
          </cell>
        </row>
        <row r="38">
          <cell r="DQ38">
            <v>0.26</v>
          </cell>
          <cell r="DR38">
            <v>63669.230769230766</v>
          </cell>
          <cell r="DT38">
            <v>0.03</v>
          </cell>
          <cell r="DU38">
            <v>74700</v>
          </cell>
          <cell r="DW38">
            <v>0.09</v>
          </cell>
          <cell r="DX38">
            <v>63344.444444444445</v>
          </cell>
          <cell r="DZ38">
            <v>0</v>
          </cell>
          <cell r="EA38" t="str">
            <v/>
          </cell>
          <cell r="EC38">
            <v>0</v>
          </cell>
          <cell r="ED38" t="str">
            <v/>
          </cell>
          <cell r="EF38">
            <v>0</v>
          </cell>
          <cell r="EG38" t="str">
            <v/>
          </cell>
          <cell r="EI38">
            <v>0</v>
          </cell>
          <cell r="EJ38" t="str">
            <v/>
          </cell>
          <cell r="EL38">
            <v>0</v>
          </cell>
          <cell r="EM38" t="str">
            <v/>
          </cell>
          <cell r="EO38">
            <v>0</v>
          </cell>
          <cell r="EP38" t="str">
            <v/>
          </cell>
          <cell r="ER38">
            <v>0</v>
          </cell>
          <cell r="ES38" t="str">
            <v/>
          </cell>
          <cell r="EU38">
            <v>0</v>
          </cell>
          <cell r="EV38" t="str">
            <v/>
          </cell>
          <cell r="EX38">
            <v>0</v>
          </cell>
          <cell r="EY38" t="str">
            <v/>
          </cell>
          <cell r="FA38">
            <v>0</v>
          </cell>
          <cell r="FB38" t="str">
            <v/>
          </cell>
          <cell r="FD38">
            <v>0</v>
          </cell>
          <cell r="FE38" t="str">
            <v/>
          </cell>
          <cell r="FG38">
            <v>0</v>
          </cell>
          <cell r="FH38" t="str">
            <v/>
          </cell>
          <cell r="FJ38">
            <v>0</v>
          </cell>
          <cell r="FK38" t="str">
            <v/>
          </cell>
          <cell r="FM38">
            <v>0</v>
          </cell>
          <cell r="FN38" t="str">
            <v/>
          </cell>
          <cell r="FP38">
            <v>0</v>
          </cell>
          <cell r="FQ38" t="str">
            <v/>
          </cell>
          <cell r="FS38">
            <v>0</v>
          </cell>
          <cell r="FT38" t="str">
            <v/>
          </cell>
          <cell r="FV38">
            <v>0</v>
          </cell>
          <cell r="FW38" t="str">
            <v/>
          </cell>
          <cell r="FY38">
            <v>0</v>
          </cell>
          <cell r="FZ38" t="str">
            <v/>
          </cell>
          <cell r="GB38">
            <v>0</v>
          </cell>
          <cell r="GC38" t="str">
            <v/>
          </cell>
          <cell r="GE38">
            <v>0</v>
          </cell>
          <cell r="GF38" t="str">
            <v/>
          </cell>
          <cell r="GH38">
            <v>0</v>
          </cell>
          <cell r="GI38" t="str">
            <v/>
          </cell>
          <cell r="GK38">
            <v>7.0000000000000007E-2</v>
          </cell>
          <cell r="GL38">
            <v>65914.28571428571</v>
          </cell>
          <cell r="GN38">
            <v>0</v>
          </cell>
          <cell r="GO38" t="str">
            <v/>
          </cell>
          <cell r="GQ38">
            <v>0</v>
          </cell>
          <cell r="GR38" t="str">
            <v/>
          </cell>
          <cell r="GT38">
            <v>0</v>
          </cell>
          <cell r="GU38" t="str">
            <v/>
          </cell>
          <cell r="GW38">
            <v>0</v>
          </cell>
          <cell r="GX38" t="str">
            <v/>
          </cell>
          <cell r="GZ38">
            <v>0.04</v>
          </cell>
          <cell r="HA38">
            <v>33400</v>
          </cell>
          <cell r="HC38">
            <v>0</v>
          </cell>
          <cell r="HD38" t="str">
            <v/>
          </cell>
          <cell r="HF38">
            <v>0</v>
          </cell>
          <cell r="HG38" t="str">
            <v/>
          </cell>
          <cell r="HI38">
            <v>0.01</v>
          </cell>
          <cell r="HJ38">
            <v>22880</v>
          </cell>
          <cell r="HL38">
            <v>0.17</v>
          </cell>
          <cell r="HM38">
            <v>36752.941176470587</v>
          </cell>
          <cell r="HO38">
            <v>0</v>
          </cell>
          <cell r="HP38" t="str">
            <v/>
          </cell>
          <cell r="HR38">
            <v>0</v>
          </cell>
          <cell r="HS38" t="str">
            <v/>
          </cell>
          <cell r="HU38">
            <v>0</v>
          </cell>
          <cell r="HV38" t="str">
            <v/>
          </cell>
        </row>
        <row r="39">
          <cell r="DQ39">
            <v>0.13</v>
          </cell>
          <cell r="DR39">
            <v>45776.923076923078</v>
          </cell>
          <cell r="DT39">
            <v>0.01</v>
          </cell>
          <cell r="DU39">
            <v>107100</v>
          </cell>
          <cell r="DW39">
            <v>0</v>
          </cell>
          <cell r="DX39" t="str">
            <v/>
          </cell>
          <cell r="DZ39">
            <v>0</v>
          </cell>
          <cell r="EA39" t="str">
            <v/>
          </cell>
          <cell r="EC39">
            <v>0</v>
          </cell>
          <cell r="ED39" t="str">
            <v/>
          </cell>
          <cell r="EF39">
            <v>0</v>
          </cell>
          <cell r="EG39" t="str">
            <v/>
          </cell>
          <cell r="EI39">
            <v>0</v>
          </cell>
          <cell r="EJ39" t="str">
            <v/>
          </cell>
          <cell r="EL39">
            <v>0</v>
          </cell>
          <cell r="EM39" t="str">
            <v/>
          </cell>
          <cell r="EO39">
            <v>0.09</v>
          </cell>
          <cell r="EP39">
            <v>54366.666666666672</v>
          </cell>
          <cell r="ER39">
            <v>0</v>
          </cell>
          <cell r="ES39" t="str">
            <v/>
          </cell>
          <cell r="EU39">
            <v>0</v>
          </cell>
          <cell r="EV39" t="str">
            <v/>
          </cell>
          <cell r="EX39">
            <v>0</v>
          </cell>
          <cell r="EY39" t="str">
            <v/>
          </cell>
          <cell r="FA39">
            <v>0</v>
          </cell>
          <cell r="FB39" t="str">
            <v/>
          </cell>
          <cell r="FD39">
            <v>0</v>
          </cell>
          <cell r="FE39" t="str">
            <v/>
          </cell>
          <cell r="FG39">
            <v>0</v>
          </cell>
          <cell r="FH39" t="str">
            <v/>
          </cell>
          <cell r="FJ39">
            <v>0</v>
          </cell>
          <cell r="FK39" t="str">
            <v/>
          </cell>
          <cell r="FM39">
            <v>0</v>
          </cell>
          <cell r="FN39" t="str">
            <v/>
          </cell>
          <cell r="FP39">
            <v>0</v>
          </cell>
          <cell r="FQ39" t="str">
            <v/>
          </cell>
          <cell r="FS39">
            <v>0</v>
          </cell>
          <cell r="FT39" t="str">
            <v/>
          </cell>
          <cell r="FV39">
            <v>0</v>
          </cell>
          <cell r="FW39" t="str">
            <v/>
          </cell>
          <cell r="FY39">
            <v>0</v>
          </cell>
          <cell r="FZ39" t="str">
            <v/>
          </cell>
          <cell r="GB39">
            <v>0</v>
          </cell>
          <cell r="GC39" t="str">
            <v/>
          </cell>
          <cell r="GE39">
            <v>0</v>
          </cell>
          <cell r="GF39" t="str">
            <v/>
          </cell>
          <cell r="GH39">
            <v>0</v>
          </cell>
          <cell r="GI39" t="str">
            <v/>
          </cell>
          <cell r="GK39">
            <v>0</v>
          </cell>
          <cell r="GL39" t="str">
            <v/>
          </cell>
          <cell r="GN39">
            <v>0</v>
          </cell>
          <cell r="GO39" t="str">
            <v/>
          </cell>
          <cell r="GQ39">
            <v>0</v>
          </cell>
          <cell r="GR39" t="str">
            <v/>
          </cell>
          <cell r="GT39">
            <v>0</v>
          </cell>
          <cell r="GU39" t="str">
            <v/>
          </cell>
          <cell r="GW39">
            <v>0</v>
          </cell>
          <cell r="GX39" t="str">
            <v/>
          </cell>
          <cell r="GZ39">
            <v>0</v>
          </cell>
          <cell r="HA39" t="str">
            <v/>
          </cell>
          <cell r="HC39">
            <v>0</v>
          </cell>
          <cell r="HD39" t="str">
            <v/>
          </cell>
          <cell r="HF39">
            <v>0</v>
          </cell>
          <cell r="HG39" t="str">
            <v/>
          </cell>
          <cell r="HI39">
            <v>0</v>
          </cell>
          <cell r="HJ39" t="str">
            <v/>
          </cell>
          <cell r="HL39">
            <v>0.72</v>
          </cell>
          <cell r="HM39">
            <v>23512.5</v>
          </cell>
          <cell r="HO39">
            <v>0</v>
          </cell>
          <cell r="HP39" t="str">
            <v/>
          </cell>
          <cell r="HR39">
            <v>0</v>
          </cell>
          <cell r="HS39" t="str">
            <v/>
          </cell>
          <cell r="HU39">
            <v>0</v>
          </cell>
          <cell r="HV39" t="str">
            <v/>
          </cell>
        </row>
        <row r="40">
          <cell r="DQ40">
            <v>0.48</v>
          </cell>
          <cell r="DR40">
            <v>42618.75</v>
          </cell>
          <cell r="DT40">
            <v>0.01</v>
          </cell>
          <cell r="DU40">
            <v>54300</v>
          </cell>
          <cell r="DW40">
            <v>0</v>
          </cell>
          <cell r="DX40" t="str">
            <v/>
          </cell>
          <cell r="DZ40">
            <v>0</v>
          </cell>
          <cell r="EA40" t="str">
            <v/>
          </cell>
          <cell r="EC40">
            <v>0</v>
          </cell>
          <cell r="ED40" t="str">
            <v/>
          </cell>
          <cell r="EF40">
            <v>0</v>
          </cell>
          <cell r="EG40" t="str">
            <v/>
          </cell>
          <cell r="EI40">
            <v>0</v>
          </cell>
          <cell r="EJ40" t="str">
            <v/>
          </cell>
          <cell r="EL40">
            <v>0</v>
          </cell>
          <cell r="EM40" t="str">
            <v/>
          </cell>
          <cell r="EO40">
            <v>0</v>
          </cell>
          <cell r="EP40" t="str">
            <v/>
          </cell>
          <cell r="ER40">
            <v>0</v>
          </cell>
          <cell r="ES40" t="str">
            <v/>
          </cell>
          <cell r="EU40">
            <v>0</v>
          </cell>
          <cell r="EV40" t="str">
            <v/>
          </cell>
          <cell r="EX40">
            <v>0</v>
          </cell>
          <cell r="EY40" t="str">
            <v/>
          </cell>
          <cell r="FA40">
            <v>0</v>
          </cell>
          <cell r="FB40" t="str">
            <v/>
          </cell>
          <cell r="FD40">
            <v>0</v>
          </cell>
          <cell r="FE40" t="str">
            <v/>
          </cell>
          <cell r="FG40">
            <v>0</v>
          </cell>
          <cell r="FH40" t="str">
            <v/>
          </cell>
          <cell r="FJ40">
            <v>0</v>
          </cell>
          <cell r="FK40" t="str">
            <v/>
          </cell>
          <cell r="FM40">
            <v>0</v>
          </cell>
          <cell r="FN40" t="str">
            <v/>
          </cell>
          <cell r="FP40">
            <v>0</v>
          </cell>
          <cell r="FQ40" t="str">
            <v/>
          </cell>
          <cell r="FS40">
            <v>0</v>
          </cell>
          <cell r="FT40" t="str">
            <v/>
          </cell>
          <cell r="FV40">
            <v>0</v>
          </cell>
          <cell r="FW40" t="str">
            <v/>
          </cell>
          <cell r="FY40">
            <v>0</v>
          </cell>
          <cell r="FZ40" t="str">
            <v/>
          </cell>
          <cell r="GB40">
            <v>0</v>
          </cell>
          <cell r="GC40" t="str">
            <v/>
          </cell>
          <cell r="GE40">
            <v>0</v>
          </cell>
          <cell r="GF40" t="str">
            <v/>
          </cell>
          <cell r="GH40">
            <v>0</v>
          </cell>
          <cell r="GI40" t="str">
            <v/>
          </cell>
          <cell r="GK40">
            <v>0</v>
          </cell>
          <cell r="GL40" t="str">
            <v/>
          </cell>
          <cell r="GN40">
            <v>0</v>
          </cell>
          <cell r="GO40" t="str">
            <v/>
          </cell>
          <cell r="GQ40">
            <v>0</v>
          </cell>
          <cell r="GR40" t="str">
            <v/>
          </cell>
          <cell r="GT40">
            <v>0</v>
          </cell>
          <cell r="GU40" t="str">
            <v/>
          </cell>
          <cell r="GW40">
            <v>0</v>
          </cell>
          <cell r="GX40" t="str">
            <v/>
          </cell>
          <cell r="GZ40">
            <v>0</v>
          </cell>
          <cell r="HA40" t="str">
            <v/>
          </cell>
          <cell r="HC40">
            <v>0.12</v>
          </cell>
          <cell r="HD40">
            <v>29758.333333333336</v>
          </cell>
          <cell r="HF40">
            <v>0</v>
          </cell>
          <cell r="HG40" t="str">
            <v/>
          </cell>
          <cell r="HI40">
            <v>0</v>
          </cell>
          <cell r="HJ40" t="str">
            <v/>
          </cell>
          <cell r="HL40">
            <v>0.17</v>
          </cell>
          <cell r="HM40">
            <v>27670.588235294115</v>
          </cell>
          <cell r="HO40">
            <v>7.0000000000000007E-2</v>
          </cell>
          <cell r="HP40">
            <v>26171.428571428569</v>
          </cell>
          <cell r="HR40">
            <v>0</v>
          </cell>
          <cell r="HS40" t="str">
            <v/>
          </cell>
          <cell r="HU40">
            <v>0</v>
          </cell>
          <cell r="HV40" t="str">
            <v/>
          </cell>
        </row>
        <row r="41">
          <cell r="DQ41">
            <v>0</v>
          </cell>
          <cell r="DR41" t="str">
            <v/>
          </cell>
          <cell r="DT41">
            <v>0.05</v>
          </cell>
          <cell r="DU41">
            <v>79240</v>
          </cell>
          <cell r="DW41">
            <v>0</v>
          </cell>
          <cell r="DX41" t="str">
            <v/>
          </cell>
          <cell r="DZ41">
            <v>0.05</v>
          </cell>
          <cell r="EA41">
            <v>85720</v>
          </cell>
          <cell r="EC41">
            <v>0</v>
          </cell>
          <cell r="ED41" t="str">
            <v/>
          </cell>
          <cell r="EF41">
            <v>0</v>
          </cell>
          <cell r="EG41" t="str">
            <v/>
          </cell>
          <cell r="EI41">
            <v>0</v>
          </cell>
          <cell r="EJ41" t="str">
            <v/>
          </cell>
          <cell r="EL41">
            <v>0</v>
          </cell>
          <cell r="EM41" t="str">
            <v/>
          </cell>
          <cell r="EO41">
            <v>0</v>
          </cell>
          <cell r="EP41" t="str">
            <v/>
          </cell>
          <cell r="ER41">
            <v>0</v>
          </cell>
          <cell r="ES41" t="str">
            <v/>
          </cell>
          <cell r="EU41">
            <v>0</v>
          </cell>
          <cell r="EV41" t="str">
            <v/>
          </cell>
          <cell r="EX41">
            <v>0</v>
          </cell>
          <cell r="EY41" t="str">
            <v/>
          </cell>
          <cell r="FA41">
            <v>0</v>
          </cell>
          <cell r="FB41" t="str">
            <v/>
          </cell>
          <cell r="FD41">
            <v>0</v>
          </cell>
          <cell r="FE41" t="str">
            <v/>
          </cell>
          <cell r="FG41">
            <v>0</v>
          </cell>
          <cell r="FH41" t="str">
            <v/>
          </cell>
          <cell r="FJ41">
            <v>0</v>
          </cell>
          <cell r="FK41" t="str">
            <v/>
          </cell>
          <cell r="FM41">
            <v>0</v>
          </cell>
          <cell r="FN41" t="str">
            <v/>
          </cell>
          <cell r="FP41">
            <v>0</v>
          </cell>
          <cell r="FQ41" t="str">
            <v/>
          </cell>
          <cell r="FS41">
            <v>0</v>
          </cell>
          <cell r="FT41" t="str">
            <v/>
          </cell>
          <cell r="FV41">
            <v>0</v>
          </cell>
          <cell r="FW41" t="str">
            <v/>
          </cell>
          <cell r="FY41">
            <v>0</v>
          </cell>
          <cell r="FZ41" t="str">
            <v/>
          </cell>
          <cell r="GB41">
            <v>0</v>
          </cell>
          <cell r="GC41" t="str">
            <v/>
          </cell>
          <cell r="GE41">
            <v>0</v>
          </cell>
          <cell r="GF41" t="str">
            <v/>
          </cell>
          <cell r="GH41">
            <v>0</v>
          </cell>
          <cell r="GI41" t="str">
            <v/>
          </cell>
          <cell r="GK41">
            <v>0</v>
          </cell>
          <cell r="GL41" t="str">
            <v/>
          </cell>
          <cell r="GN41">
            <v>0</v>
          </cell>
          <cell r="GO41" t="str">
            <v/>
          </cell>
          <cell r="GQ41">
            <v>0</v>
          </cell>
          <cell r="GR41" t="str">
            <v/>
          </cell>
          <cell r="GT41">
            <v>0</v>
          </cell>
          <cell r="GU41" t="str">
            <v/>
          </cell>
          <cell r="GW41">
            <v>0</v>
          </cell>
          <cell r="GX41" t="str">
            <v/>
          </cell>
          <cell r="GZ41">
            <v>2.88</v>
          </cell>
          <cell r="HA41">
            <v>51451.736111111109</v>
          </cell>
          <cell r="HC41">
            <v>0</v>
          </cell>
          <cell r="HD41" t="str">
            <v/>
          </cell>
          <cell r="HF41">
            <v>0</v>
          </cell>
          <cell r="HG41" t="str">
            <v/>
          </cell>
          <cell r="HI41">
            <v>0</v>
          </cell>
          <cell r="HJ41" t="str">
            <v/>
          </cell>
          <cell r="HL41">
            <v>0.13</v>
          </cell>
          <cell r="HM41">
            <v>70000</v>
          </cell>
          <cell r="HO41">
            <v>0.01</v>
          </cell>
          <cell r="HP41">
            <v>47200</v>
          </cell>
          <cell r="HR41">
            <v>0</v>
          </cell>
          <cell r="HS41" t="str">
            <v/>
          </cell>
          <cell r="HU41">
            <v>0</v>
          </cell>
          <cell r="HV41" t="str">
            <v/>
          </cell>
        </row>
        <row r="42">
          <cell r="DQ42">
            <v>1</v>
          </cell>
          <cell r="DR42">
            <v>47265</v>
          </cell>
          <cell r="DT42">
            <v>0.13</v>
          </cell>
          <cell r="DU42">
            <v>84446.153846153844</v>
          </cell>
          <cell r="DW42">
            <v>0</v>
          </cell>
          <cell r="DX42" t="str">
            <v/>
          </cell>
          <cell r="DZ42">
            <v>0</v>
          </cell>
          <cell r="EA42" t="str">
            <v/>
          </cell>
          <cell r="EC42">
            <v>0</v>
          </cell>
          <cell r="ED42" t="str">
            <v/>
          </cell>
          <cell r="EF42">
            <v>0</v>
          </cell>
          <cell r="EG42" t="str">
            <v/>
          </cell>
          <cell r="EI42">
            <v>0</v>
          </cell>
          <cell r="EJ42" t="str">
            <v/>
          </cell>
          <cell r="EL42">
            <v>0</v>
          </cell>
          <cell r="EM42" t="str">
            <v/>
          </cell>
          <cell r="EO42">
            <v>0</v>
          </cell>
          <cell r="EP42" t="str">
            <v/>
          </cell>
          <cell r="ER42">
            <v>0</v>
          </cell>
          <cell r="ES42" t="str">
            <v/>
          </cell>
          <cell r="EU42">
            <v>0</v>
          </cell>
          <cell r="EV42" t="str">
            <v/>
          </cell>
          <cell r="EX42">
            <v>0</v>
          </cell>
          <cell r="EY42" t="str">
            <v/>
          </cell>
          <cell r="FA42">
            <v>0</v>
          </cell>
          <cell r="FB42" t="str">
            <v/>
          </cell>
          <cell r="FD42">
            <v>0</v>
          </cell>
          <cell r="FE42" t="str">
            <v/>
          </cell>
          <cell r="FG42">
            <v>0</v>
          </cell>
          <cell r="FH42" t="str">
            <v/>
          </cell>
          <cell r="FJ42">
            <v>0</v>
          </cell>
          <cell r="FK42" t="str">
            <v/>
          </cell>
          <cell r="FM42">
            <v>0</v>
          </cell>
          <cell r="FN42" t="str">
            <v/>
          </cell>
          <cell r="FP42">
            <v>0</v>
          </cell>
          <cell r="FQ42" t="str">
            <v/>
          </cell>
          <cell r="FS42">
            <v>0</v>
          </cell>
          <cell r="FT42" t="str">
            <v/>
          </cell>
          <cell r="FV42">
            <v>0</v>
          </cell>
          <cell r="FW42" t="str">
            <v/>
          </cell>
          <cell r="FY42">
            <v>0</v>
          </cell>
          <cell r="FZ42" t="str">
            <v/>
          </cell>
          <cell r="GB42">
            <v>0</v>
          </cell>
          <cell r="GC42" t="str">
            <v/>
          </cell>
          <cell r="GE42">
            <v>0</v>
          </cell>
          <cell r="GF42" t="str">
            <v/>
          </cell>
          <cell r="GH42">
            <v>0</v>
          </cell>
          <cell r="GI42" t="str">
            <v/>
          </cell>
          <cell r="GK42">
            <v>0</v>
          </cell>
          <cell r="GL42" t="str">
            <v/>
          </cell>
          <cell r="GN42">
            <v>0</v>
          </cell>
          <cell r="GO42" t="str">
            <v/>
          </cell>
          <cell r="GQ42">
            <v>0</v>
          </cell>
          <cell r="GR42" t="str">
            <v/>
          </cell>
          <cell r="GT42">
            <v>0</v>
          </cell>
          <cell r="GU42" t="str">
            <v/>
          </cell>
          <cell r="GW42">
            <v>1</v>
          </cell>
          <cell r="GX42">
            <v>32746</v>
          </cell>
          <cell r="GZ42">
            <v>0</v>
          </cell>
          <cell r="HA42" t="str">
            <v/>
          </cell>
          <cell r="HC42">
            <v>0</v>
          </cell>
          <cell r="HD42" t="str">
            <v/>
          </cell>
          <cell r="HF42">
            <v>0</v>
          </cell>
          <cell r="HG42" t="str">
            <v/>
          </cell>
          <cell r="HI42">
            <v>0</v>
          </cell>
          <cell r="HJ42" t="str">
            <v/>
          </cell>
          <cell r="HL42">
            <v>4.3</v>
          </cell>
          <cell r="HM42">
            <v>29594.651162790698</v>
          </cell>
          <cell r="HO42">
            <v>0.24</v>
          </cell>
          <cell r="HP42">
            <v>39629.166666666672</v>
          </cell>
          <cell r="HR42">
            <v>0.12</v>
          </cell>
          <cell r="HS42">
            <v>48216.666666666672</v>
          </cell>
          <cell r="HU42">
            <v>0</v>
          </cell>
          <cell r="HV42" t="str">
            <v/>
          </cell>
        </row>
        <row r="43">
          <cell r="DQ43">
            <v>0</v>
          </cell>
          <cell r="DR43" t="str">
            <v/>
          </cell>
          <cell r="DT43">
            <v>0</v>
          </cell>
          <cell r="DU43" t="str">
            <v/>
          </cell>
          <cell r="DW43">
            <v>0</v>
          </cell>
          <cell r="DX43" t="str">
            <v/>
          </cell>
          <cell r="DZ43">
            <v>0</v>
          </cell>
          <cell r="EA43" t="str">
            <v/>
          </cell>
          <cell r="EC43">
            <v>0</v>
          </cell>
          <cell r="ED43" t="str">
            <v/>
          </cell>
          <cell r="EF43">
            <v>0</v>
          </cell>
          <cell r="EG43" t="str">
            <v/>
          </cell>
          <cell r="EI43">
            <v>0</v>
          </cell>
          <cell r="EJ43" t="str">
            <v/>
          </cell>
          <cell r="EL43">
            <v>0</v>
          </cell>
          <cell r="EM43" t="str">
            <v/>
          </cell>
          <cell r="EO43">
            <v>0</v>
          </cell>
          <cell r="EP43" t="str">
            <v/>
          </cell>
          <cell r="ER43">
            <v>0</v>
          </cell>
          <cell r="ES43" t="str">
            <v/>
          </cell>
          <cell r="EU43">
            <v>0</v>
          </cell>
          <cell r="EV43" t="str">
            <v/>
          </cell>
          <cell r="EX43">
            <v>0</v>
          </cell>
          <cell r="EY43" t="str">
            <v/>
          </cell>
          <cell r="FA43">
            <v>0</v>
          </cell>
          <cell r="FB43" t="str">
            <v/>
          </cell>
          <cell r="FD43">
            <v>0</v>
          </cell>
          <cell r="FE43" t="str">
            <v/>
          </cell>
          <cell r="FG43">
            <v>0</v>
          </cell>
          <cell r="FH43" t="str">
            <v/>
          </cell>
          <cell r="FJ43">
            <v>0</v>
          </cell>
          <cell r="FK43" t="str">
            <v/>
          </cell>
          <cell r="FM43">
            <v>0</v>
          </cell>
          <cell r="FN43" t="str">
            <v/>
          </cell>
          <cell r="FP43">
            <v>0</v>
          </cell>
          <cell r="FQ43" t="str">
            <v/>
          </cell>
          <cell r="FS43">
            <v>0</v>
          </cell>
          <cell r="FT43" t="str">
            <v/>
          </cell>
          <cell r="FV43">
            <v>0</v>
          </cell>
          <cell r="FW43" t="str">
            <v/>
          </cell>
          <cell r="FY43">
            <v>0</v>
          </cell>
          <cell r="FZ43" t="str">
            <v/>
          </cell>
          <cell r="GB43">
            <v>0</v>
          </cell>
          <cell r="GC43" t="str">
            <v/>
          </cell>
          <cell r="GE43">
            <v>0</v>
          </cell>
          <cell r="GF43" t="str">
            <v/>
          </cell>
          <cell r="GH43">
            <v>0</v>
          </cell>
          <cell r="GI43" t="str">
            <v/>
          </cell>
          <cell r="GK43">
            <v>0</v>
          </cell>
          <cell r="GL43" t="str">
            <v/>
          </cell>
          <cell r="GN43">
            <v>0</v>
          </cell>
          <cell r="GO43" t="str">
            <v/>
          </cell>
          <cell r="GQ43">
            <v>0</v>
          </cell>
          <cell r="GR43" t="str">
            <v/>
          </cell>
          <cell r="GT43">
            <v>0</v>
          </cell>
          <cell r="GU43" t="str">
            <v/>
          </cell>
          <cell r="GW43">
            <v>0</v>
          </cell>
          <cell r="GX43" t="str">
            <v/>
          </cell>
          <cell r="GZ43">
            <v>0</v>
          </cell>
          <cell r="HA43" t="str">
            <v/>
          </cell>
          <cell r="HC43">
            <v>0</v>
          </cell>
          <cell r="HD43" t="str">
            <v/>
          </cell>
          <cell r="HF43">
            <v>0</v>
          </cell>
          <cell r="HG43" t="str">
            <v/>
          </cell>
          <cell r="HI43">
            <v>0</v>
          </cell>
          <cell r="HJ43" t="str">
            <v/>
          </cell>
          <cell r="HL43">
            <v>4.26</v>
          </cell>
          <cell r="HM43">
            <v>30363.145539906105</v>
          </cell>
          <cell r="HO43">
            <v>0</v>
          </cell>
          <cell r="HP43" t="str">
            <v/>
          </cell>
          <cell r="HR43">
            <v>0</v>
          </cell>
          <cell r="HS43" t="str">
            <v/>
          </cell>
          <cell r="HU43">
            <v>0</v>
          </cell>
          <cell r="HV43" t="str">
            <v/>
          </cell>
        </row>
        <row r="44">
          <cell r="DQ44">
            <v>0</v>
          </cell>
          <cell r="DR44" t="str">
            <v/>
          </cell>
          <cell r="DT44">
            <v>0.23</v>
          </cell>
          <cell r="DU44">
            <v>66086.956521739121</v>
          </cell>
          <cell r="DW44">
            <v>0.5</v>
          </cell>
          <cell r="DX44">
            <v>51382</v>
          </cell>
          <cell r="DZ44">
            <v>0</v>
          </cell>
          <cell r="EA44" t="str">
            <v/>
          </cell>
          <cell r="EC44">
            <v>0</v>
          </cell>
          <cell r="ED44" t="str">
            <v/>
          </cell>
          <cell r="EF44">
            <v>0</v>
          </cell>
          <cell r="EG44" t="str">
            <v/>
          </cell>
          <cell r="EI44">
            <v>0</v>
          </cell>
          <cell r="EJ44" t="str">
            <v/>
          </cell>
          <cell r="EL44">
            <v>0</v>
          </cell>
          <cell r="EM44" t="str">
            <v/>
          </cell>
          <cell r="EO44">
            <v>0</v>
          </cell>
          <cell r="EP44" t="str">
            <v/>
          </cell>
          <cell r="ER44">
            <v>0</v>
          </cell>
          <cell r="ES44" t="str">
            <v/>
          </cell>
          <cell r="EU44">
            <v>0</v>
          </cell>
          <cell r="EV44" t="str">
            <v/>
          </cell>
          <cell r="EX44">
            <v>0</v>
          </cell>
          <cell r="EY44" t="str">
            <v/>
          </cell>
          <cell r="FA44">
            <v>0</v>
          </cell>
          <cell r="FB44" t="str">
            <v/>
          </cell>
          <cell r="FD44">
            <v>0</v>
          </cell>
          <cell r="FE44" t="str">
            <v/>
          </cell>
          <cell r="FG44">
            <v>0</v>
          </cell>
          <cell r="FH44" t="str">
            <v/>
          </cell>
          <cell r="FJ44">
            <v>0</v>
          </cell>
          <cell r="FK44" t="str">
            <v/>
          </cell>
          <cell r="FM44">
            <v>0</v>
          </cell>
          <cell r="FN44" t="str">
            <v/>
          </cell>
          <cell r="FP44">
            <v>0</v>
          </cell>
          <cell r="FQ44" t="str">
            <v/>
          </cell>
          <cell r="FS44">
            <v>0</v>
          </cell>
          <cell r="FT44" t="str">
            <v/>
          </cell>
          <cell r="FV44">
            <v>0</v>
          </cell>
          <cell r="FW44" t="str">
            <v/>
          </cell>
          <cell r="FY44">
            <v>0</v>
          </cell>
          <cell r="FZ44" t="str">
            <v/>
          </cell>
          <cell r="GB44">
            <v>0</v>
          </cell>
          <cell r="GC44" t="str">
            <v/>
          </cell>
          <cell r="GE44">
            <v>0</v>
          </cell>
          <cell r="GF44" t="str">
            <v/>
          </cell>
          <cell r="GH44">
            <v>0</v>
          </cell>
          <cell r="GI44" t="str">
            <v/>
          </cell>
          <cell r="GK44">
            <v>0</v>
          </cell>
          <cell r="GL44" t="str">
            <v/>
          </cell>
          <cell r="GN44">
            <v>0</v>
          </cell>
          <cell r="GO44" t="str">
            <v/>
          </cell>
          <cell r="GQ44">
            <v>0</v>
          </cell>
          <cell r="GR44" t="str">
            <v/>
          </cell>
          <cell r="GT44">
            <v>0.9</v>
          </cell>
          <cell r="GU44">
            <v>38357.777777777774</v>
          </cell>
          <cell r="GW44">
            <v>0</v>
          </cell>
          <cell r="GX44" t="str">
            <v/>
          </cell>
          <cell r="GZ44">
            <v>0.02</v>
          </cell>
          <cell r="HA44">
            <v>47000</v>
          </cell>
          <cell r="HC44">
            <v>0</v>
          </cell>
          <cell r="HD44" t="str">
            <v/>
          </cell>
          <cell r="HF44">
            <v>0</v>
          </cell>
          <cell r="HG44" t="str">
            <v/>
          </cell>
          <cell r="HI44">
            <v>0</v>
          </cell>
          <cell r="HJ44" t="str">
            <v/>
          </cell>
          <cell r="HL44">
            <v>0</v>
          </cell>
          <cell r="HM44" t="str">
            <v/>
          </cell>
          <cell r="HO44">
            <v>0.2</v>
          </cell>
          <cell r="HP44">
            <v>40115</v>
          </cell>
          <cell r="HR44">
            <v>0</v>
          </cell>
          <cell r="HS44" t="str">
            <v/>
          </cell>
          <cell r="HU44">
            <v>0</v>
          </cell>
          <cell r="HV44" t="str">
            <v/>
          </cell>
        </row>
        <row r="45">
          <cell r="DQ45">
            <v>0</v>
          </cell>
          <cell r="DR45" t="str">
            <v/>
          </cell>
          <cell r="DT45">
            <v>0.01</v>
          </cell>
          <cell r="DU45">
            <v>66100</v>
          </cell>
          <cell r="DW45">
            <v>0</v>
          </cell>
          <cell r="DX45" t="str">
            <v/>
          </cell>
          <cell r="DZ45">
            <v>0</v>
          </cell>
          <cell r="EA45" t="str">
            <v/>
          </cell>
          <cell r="EC45">
            <v>0</v>
          </cell>
          <cell r="ED45" t="str">
            <v/>
          </cell>
          <cell r="EF45">
            <v>0</v>
          </cell>
          <cell r="EG45" t="str">
            <v/>
          </cell>
          <cell r="EI45">
            <v>0</v>
          </cell>
          <cell r="EJ45" t="str">
            <v/>
          </cell>
          <cell r="EL45">
            <v>0</v>
          </cell>
          <cell r="EM45" t="str">
            <v/>
          </cell>
          <cell r="EO45">
            <v>0</v>
          </cell>
          <cell r="EP45" t="str">
            <v/>
          </cell>
          <cell r="ER45">
            <v>0</v>
          </cell>
          <cell r="ES45" t="str">
            <v/>
          </cell>
          <cell r="EU45">
            <v>0</v>
          </cell>
          <cell r="EV45" t="str">
            <v/>
          </cell>
          <cell r="EX45">
            <v>0</v>
          </cell>
          <cell r="EY45" t="str">
            <v/>
          </cell>
          <cell r="FA45">
            <v>0</v>
          </cell>
          <cell r="FB45" t="str">
            <v/>
          </cell>
          <cell r="FD45">
            <v>0</v>
          </cell>
          <cell r="FE45" t="str">
            <v/>
          </cell>
          <cell r="FG45">
            <v>0</v>
          </cell>
          <cell r="FH45" t="str">
            <v/>
          </cell>
          <cell r="FJ45">
            <v>0</v>
          </cell>
          <cell r="FK45" t="str">
            <v/>
          </cell>
          <cell r="FM45">
            <v>0</v>
          </cell>
          <cell r="FN45" t="str">
            <v/>
          </cell>
          <cell r="FP45">
            <v>0</v>
          </cell>
          <cell r="FQ45" t="str">
            <v/>
          </cell>
          <cell r="FS45">
            <v>0</v>
          </cell>
          <cell r="FT45" t="str">
            <v/>
          </cell>
          <cell r="FV45">
            <v>0</v>
          </cell>
          <cell r="FW45" t="str">
            <v/>
          </cell>
          <cell r="FY45">
            <v>0</v>
          </cell>
          <cell r="FZ45" t="str">
            <v/>
          </cell>
          <cell r="GB45">
            <v>0</v>
          </cell>
          <cell r="GC45" t="str">
            <v/>
          </cell>
          <cell r="GE45">
            <v>0</v>
          </cell>
          <cell r="GF45" t="str">
            <v/>
          </cell>
          <cell r="GH45">
            <v>0</v>
          </cell>
          <cell r="GI45" t="str">
            <v/>
          </cell>
          <cell r="GK45">
            <v>0</v>
          </cell>
          <cell r="GL45" t="str">
            <v/>
          </cell>
          <cell r="GN45">
            <v>0</v>
          </cell>
          <cell r="GO45" t="str">
            <v/>
          </cell>
          <cell r="GQ45">
            <v>0</v>
          </cell>
          <cell r="GR45" t="str">
            <v/>
          </cell>
          <cell r="GT45">
            <v>0.23</v>
          </cell>
          <cell r="GU45">
            <v>62400</v>
          </cell>
          <cell r="GW45">
            <v>0</v>
          </cell>
          <cell r="GX45" t="str">
            <v/>
          </cell>
          <cell r="GZ45">
            <v>0</v>
          </cell>
          <cell r="HA45" t="str">
            <v/>
          </cell>
          <cell r="HC45">
            <v>0.33</v>
          </cell>
          <cell r="HD45">
            <v>52236.363636363632</v>
          </cell>
          <cell r="HF45">
            <v>0</v>
          </cell>
          <cell r="HG45" t="str">
            <v/>
          </cell>
          <cell r="HI45">
            <v>0</v>
          </cell>
          <cell r="HJ45" t="str">
            <v/>
          </cell>
          <cell r="HL45">
            <v>0.97</v>
          </cell>
          <cell r="HM45">
            <v>26899.412371134022</v>
          </cell>
          <cell r="HO45">
            <v>0.1</v>
          </cell>
          <cell r="HP45">
            <v>40110</v>
          </cell>
          <cell r="HR45">
            <v>0</v>
          </cell>
          <cell r="HS45" t="str">
            <v/>
          </cell>
          <cell r="HU45">
            <v>0</v>
          </cell>
          <cell r="HV45" t="str">
            <v/>
          </cell>
        </row>
        <row r="46">
          <cell r="DQ46">
            <v>0.45</v>
          </cell>
          <cell r="DR46">
            <v>64435.555555555555</v>
          </cell>
          <cell r="DT46">
            <v>0.2</v>
          </cell>
          <cell r="DU46">
            <v>49880</v>
          </cell>
          <cell r="DW46">
            <v>0</v>
          </cell>
          <cell r="DX46" t="str">
            <v/>
          </cell>
          <cell r="DZ46">
            <v>0</v>
          </cell>
          <cell r="EA46" t="str">
            <v/>
          </cell>
          <cell r="EC46">
            <v>0</v>
          </cell>
          <cell r="ED46" t="str">
            <v/>
          </cell>
          <cell r="EF46">
            <v>0</v>
          </cell>
          <cell r="EG46" t="str">
            <v/>
          </cell>
          <cell r="EI46">
            <v>0</v>
          </cell>
          <cell r="EJ46" t="str">
            <v/>
          </cell>
          <cell r="EL46">
            <v>0</v>
          </cell>
          <cell r="EM46" t="str">
            <v/>
          </cell>
          <cell r="EO46">
            <v>0</v>
          </cell>
          <cell r="EP46" t="str">
            <v/>
          </cell>
          <cell r="ER46">
            <v>0</v>
          </cell>
          <cell r="ES46" t="str">
            <v/>
          </cell>
          <cell r="EU46">
            <v>0</v>
          </cell>
          <cell r="EV46" t="str">
            <v/>
          </cell>
          <cell r="EX46">
            <v>0</v>
          </cell>
          <cell r="EY46" t="str">
            <v/>
          </cell>
          <cell r="FA46">
            <v>0</v>
          </cell>
          <cell r="FB46" t="str">
            <v/>
          </cell>
          <cell r="FD46">
            <v>0</v>
          </cell>
          <cell r="FE46" t="str">
            <v/>
          </cell>
          <cell r="FG46">
            <v>0</v>
          </cell>
          <cell r="FH46" t="str">
            <v/>
          </cell>
          <cell r="FJ46">
            <v>0</v>
          </cell>
          <cell r="FK46" t="str">
            <v/>
          </cell>
          <cell r="FM46">
            <v>0</v>
          </cell>
          <cell r="FN46" t="str">
            <v/>
          </cell>
          <cell r="FP46">
            <v>0</v>
          </cell>
          <cell r="FQ46" t="str">
            <v/>
          </cell>
          <cell r="FS46">
            <v>0</v>
          </cell>
          <cell r="FT46" t="str">
            <v/>
          </cell>
          <cell r="FV46">
            <v>0</v>
          </cell>
          <cell r="FW46" t="str">
            <v/>
          </cell>
          <cell r="FY46">
            <v>0</v>
          </cell>
          <cell r="FZ46" t="str">
            <v/>
          </cell>
          <cell r="GB46">
            <v>0</v>
          </cell>
          <cell r="GC46" t="str">
            <v/>
          </cell>
          <cell r="GE46">
            <v>0</v>
          </cell>
          <cell r="GF46" t="str">
            <v/>
          </cell>
          <cell r="GH46">
            <v>0</v>
          </cell>
          <cell r="GI46" t="str">
            <v/>
          </cell>
          <cell r="GK46">
            <v>0</v>
          </cell>
          <cell r="GL46" t="str">
            <v/>
          </cell>
          <cell r="GN46">
            <v>0</v>
          </cell>
          <cell r="GO46" t="str">
            <v/>
          </cell>
          <cell r="GQ46">
            <v>0</v>
          </cell>
          <cell r="GR46" t="str">
            <v/>
          </cell>
          <cell r="GT46">
            <v>0</v>
          </cell>
          <cell r="GU46" t="str">
            <v/>
          </cell>
          <cell r="GW46">
            <v>0</v>
          </cell>
          <cell r="GX46" t="str">
            <v/>
          </cell>
          <cell r="GZ46">
            <v>0</v>
          </cell>
          <cell r="HA46" t="str">
            <v/>
          </cell>
          <cell r="HC46">
            <v>0</v>
          </cell>
          <cell r="HD46" t="str">
            <v/>
          </cell>
          <cell r="HF46">
            <v>0</v>
          </cell>
          <cell r="HG46" t="str">
            <v/>
          </cell>
          <cell r="HI46">
            <v>0.05</v>
          </cell>
          <cell r="HJ46">
            <v>41820</v>
          </cell>
          <cell r="HL46">
            <v>1.67</v>
          </cell>
          <cell r="HM46">
            <v>29431.137724550899</v>
          </cell>
          <cell r="HO46">
            <v>0.26</v>
          </cell>
          <cell r="HP46">
            <v>30803.846153846152</v>
          </cell>
          <cell r="HR46">
            <v>5.0000000000000001E-3</v>
          </cell>
          <cell r="HS46">
            <v>43200</v>
          </cell>
          <cell r="HU46">
            <v>0</v>
          </cell>
          <cell r="HV46" t="str">
            <v/>
          </cell>
        </row>
        <row r="47">
          <cell r="DQ47">
            <v>4</v>
          </cell>
          <cell r="DR47">
            <v>61826.25</v>
          </cell>
          <cell r="DT47">
            <v>4</v>
          </cell>
          <cell r="DU47">
            <v>52367.75</v>
          </cell>
          <cell r="DW47">
            <v>0</v>
          </cell>
          <cell r="DX47" t="str">
            <v/>
          </cell>
          <cell r="DZ47">
            <v>0</v>
          </cell>
          <cell r="EA47" t="str">
            <v/>
          </cell>
          <cell r="EC47">
            <v>0</v>
          </cell>
          <cell r="ED47" t="str">
            <v/>
          </cell>
          <cell r="EF47">
            <v>0</v>
          </cell>
          <cell r="EG47" t="str">
            <v/>
          </cell>
          <cell r="EI47">
            <v>0</v>
          </cell>
          <cell r="EJ47" t="str">
            <v/>
          </cell>
          <cell r="EL47">
            <v>1.2</v>
          </cell>
          <cell r="EM47">
            <v>59924.166666666672</v>
          </cell>
          <cell r="EO47">
            <v>1.5</v>
          </cell>
          <cell r="EP47">
            <v>55761.333333333336</v>
          </cell>
          <cell r="ER47">
            <v>0</v>
          </cell>
          <cell r="ES47" t="str">
            <v/>
          </cell>
          <cell r="EU47">
            <v>0</v>
          </cell>
          <cell r="EV47" t="str">
            <v/>
          </cell>
          <cell r="EX47">
            <v>0</v>
          </cell>
          <cell r="EY47" t="str">
            <v/>
          </cell>
          <cell r="FA47">
            <v>0</v>
          </cell>
          <cell r="FB47" t="str">
            <v/>
          </cell>
          <cell r="FD47">
            <v>0</v>
          </cell>
          <cell r="FE47" t="str">
            <v/>
          </cell>
          <cell r="FG47">
            <v>0</v>
          </cell>
          <cell r="FH47" t="str">
            <v/>
          </cell>
          <cell r="FJ47">
            <v>0</v>
          </cell>
          <cell r="FK47" t="str">
            <v/>
          </cell>
          <cell r="FM47">
            <v>0</v>
          </cell>
          <cell r="FN47" t="str">
            <v/>
          </cell>
          <cell r="FP47">
            <v>0</v>
          </cell>
          <cell r="FQ47" t="str">
            <v/>
          </cell>
          <cell r="FS47">
            <v>0</v>
          </cell>
          <cell r="FT47" t="str">
            <v/>
          </cell>
          <cell r="FV47">
            <v>0</v>
          </cell>
          <cell r="FW47" t="str">
            <v/>
          </cell>
          <cell r="FY47">
            <v>0</v>
          </cell>
          <cell r="FZ47" t="str">
            <v/>
          </cell>
          <cell r="GB47">
            <v>0</v>
          </cell>
          <cell r="GC47" t="str">
            <v/>
          </cell>
          <cell r="GE47">
            <v>0</v>
          </cell>
          <cell r="GF47" t="str">
            <v/>
          </cell>
          <cell r="GH47">
            <v>0</v>
          </cell>
          <cell r="GI47" t="str">
            <v/>
          </cell>
          <cell r="GK47">
            <v>0</v>
          </cell>
          <cell r="GL47" t="str">
            <v/>
          </cell>
          <cell r="GN47">
            <v>0</v>
          </cell>
          <cell r="GO47" t="str">
            <v/>
          </cell>
          <cell r="GQ47">
            <v>0</v>
          </cell>
          <cell r="GR47" t="str">
            <v/>
          </cell>
          <cell r="GT47">
            <v>0</v>
          </cell>
          <cell r="GU47" t="str">
            <v/>
          </cell>
          <cell r="GW47">
            <v>0</v>
          </cell>
          <cell r="GX47" t="str">
            <v/>
          </cell>
          <cell r="GZ47">
            <v>0</v>
          </cell>
          <cell r="HA47" t="str">
            <v/>
          </cell>
          <cell r="HC47">
            <v>0</v>
          </cell>
          <cell r="HD47" t="str">
            <v/>
          </cell>
          <cell r="HF47">
            <v>36</v>
          </cell>
          <cell r="HG47">
            <v>32686.722222222223</v>
          </cell>
          <cell r="HI47">
            <v>0</v>
          </cell>
          <cell r="HJ47" t="str">
            <v/>
          </cell>
          <cell r="HL47">
            <v>40</v>
          </cell>
          <cell r="HM47">
            <v>44128.974999999999</v>
          </cell>
          <cell r="HO47">
            <v>2.75</v>
          </cell>
          <cell r="HP47">
            <v>28876.727272727272</v>
          </cell>
          <cell r="HR47">
            <v>0.5</v>
          </cell>
          <cell r="HS47">
            <v>22880</v>
          </cell>
          <cell r="HU47">
            <v>0</v>
          </cell>
          <cell r="HV47" t="str">
            <v/>
          </cell>
        </row>
        <row r="48">
          <cell r="DQ48">
            <v>0</v>
          </cell>
          <cell r="DR48" t="str">
            <v/>
          </cell>
          <cell r="DT48">
            <v>0</v>
          </cell>
          <cell r="DU48" t="str">
            <v/>
          </cell>
          <cell r="DW48">
            <v>0</v>
          </cell>
          <cell r="DX48" t="str">
            <v/>
          </cell>
          <cell r="DZ48">
            <v>0</v>
          </cell>
          <cell r="EA48" t="str">
            <v/>
          </cell>
          <cell r="EC48">
            <v>0</v>
          </cell>
          <cell r="ED48" t="str">
            <v/>
          </cell>
          <cell r="EF48">
            <v>0</v>
          </cell>
          <cell r="EG48" t="str">
            <v/>
          </cell>
          <cell r="EI48">
            <v>0</v>
          </cell>
          <cell r="EJ48" t="str">
            <v/>
          </cell>
          <cell r="EL48">
            <v>0</v>
          </cell>
          <cell r="EM48" t="str">
            <v/>
          </cell>
          <cell r="EO48">
            <v>0</v>
          </cell>
          <cell r="EP48" t="str">
            <v/>
          </cell>
          <cell r="ER48">
            <v>0</v>
          </cell>
          <cell r="ES48" t="str">
            <v/>
          </cell>
          <cell r="EU48">
            <v>0</v>
          </cell>
          <cell r="EV48" t="str">
            <v/>
          </cell>
          <cell r="EX48">
            <v>0</v>
          </cell>
          <cell r="EY48" t="str">
            <v/>
          </cell>
          <cell r="FA48">
            <v>0</v>
          </cell>
          <cell r="FB48" t="str">
            <v/>
          </cell>
          <cell r="FD48">
            <v>0</v>
          </cell>
          <cell r="FE48" t="str">
            <v/>
          </cell>
          <cell r="FG48">
            <v>0</v>
          </cell>
          <cell r="FH48" t="str">
            <v/>
          </cell>
          <cell r="FJ48">
            <v>0</v>
          </cell>
          <cell r="FK48" t="str">
            <v/>
          </cell>
          <cell r="FM48">
            <v>0</v>
          </cell>
          <cell r="FN48" t="str">
            <v/>
          </cell>
          <cell r="FP48">
            <v>0</v>
          </cell>
          <cell r="FQ48" t="str">
            <v/>
          </cell>
          <cell r="FS48">
            <v>0</v>
          </cell>
          <cell r="FT48" t="str">
            <v/>
          </cell>
          <cell r="FV48">
            <v>0</v>
          </cell>
          <cell r="FW48" t="str">
            <v/>
          </cell>
          <cell r="FY48">
            <v>0</v>
          </cell>
          <cell r="FZ48" t="str">
            <v/>
          </cell>
          <cell r="GB48">
            <v>0</v>
          </cell>
          <cell r="GC48" t="str">
            <v/>
          </cell>
          <cell r="GE48">
            <v>0</v>
          </cell>
          <cell r="GF48" t="str">
            <v/>
          </cell>
          <cell r="GH48">
            <v>0</v>
          </cell>
          <cell r="GI48" t="str">
            <v/>
          </cell>
          <cell r="GK48">
            <v>0</v>
          </cell>
          <cell r="GL48" t="str">
            <v/>
          </cell>
          <cell r="GN48">
            <v>0</v>
          </cell>
          <cell r="GO48" t="str">
            <v/>
          </cell>
          <cell r="GQ48">
            <v>0</v>
          </cell>
          <cell r="GR48" t="str">
            <v/>
          </cell>
          <cell r="GT48">
            <v>0</v>
          </cell>
          <cell r="GU48" t="str">
            <v/>
          </cell>
          <cell r="GW48">
            <v>0</v>
          </cell>
          <cell r="GX48" t="str">
            <v/>
          </cell>
          <cell r="GZ48">
            <v>0</v>
          </cell>
          <cell r="HA48" t="str">
            <v/>
          </cell>
          <cell r="HC48">
            <v>0</v>
          </cell>
          <cell r="HD48" t="str">
            <v/>
          </cell>
          <cell r="HF48">
            <v>0</v>
          </cell>
          <cell r="HG48" t="str">
            <v/>
          </cell>
          <cell r="HI48">
            <v>0</v>
          </cell>
          <cell r="HJ48" t="str">
            <v/>
          </cell>
          <cell r="HL48">
            <v>0</v>
          </cell>
          <cell r="HM48" t="str">
            <v/>
          </cell>
          <cell r="HO48">
            <v>0</v>
          </cell>
          <cell r="HP48" t="str">
            <v/>
          </cell>
          <cell r="HR48">
            <v>0</v>
          </cell>
          <cell r="HS48" t="str">
            <v/>
          </cell>
          <cell r="HU48">
            <v>0</v>
          </cell>
          <cell r="HV48" t="str">
            <v/>
          </cell>
        </row>
        <row r="49">
          <cell r="DQ49">
            <v>0.01</v>
          </cell>
          <cell r="DR49">
            <v>72000</v>
          </cell>
          <cell r="DT49">
            <v>0.02</v>
          </cell>
          <cell r="DU49">
            <v>80650</v>
          </cell>
          <cell r="DW49">
            <v>0</v>
          </cell>
          <cell r="DX49" t="str">
            <v/>
          </cell>
          <cell r="DZ49">
            <v>0</v>
          </cell>
          <cell r="EA49" t="str">
            <v/>
          </cell>
          <cell r="EC49">
            <v>0</v>
          </cell>
          <cell r="ED49" t="str">
            <v/>
          </cell>
          <cell r="EF49">
            <v>0</v>
          </cell>
          <cell r="EG49" t="str">
            <v/>
          </cell>
          <cell r="EI49">
            <v>0</v>
          </cell>
          <cell r="EJ49" t="str">
            <v/>
          </cell>
          <cell r="EL49">
            <v>0</v>
          </cell>
          <cell r="EM49" t="str">
            <v/>
          </cell>
          <cell r="EO49">
            <v>0</v>
          </cell>
          <cell r="EP49" t="str">
            <v/>
          </cell>
          <cell r="ER49">
            <v>0</v>
          </cell>
          <cell r="ES49" t="str">
            <v/>
          </cell>
          <cell r="EU49">
            <v>0</v>
          </cell>
          <cell r="EV49" t="str">
            <v/>
          </cell>
          <cell r="EX49">
            <v>0</v>
          </cell>
          <cell r="EY49" t="str">
            <v/>
          </cell>
          <cell r="FA49">
            <v>0</v>
          </cell>
          <cell r="FB49" t="str">
            <v/>
          </cell>
          <cell r="FD49">
            <v>0</v>
          </cell>
          <cell r="FE49" t="str">
            <v/>
          </cell>
          <cell r="FG49">
            <v>0</v>
          </cell>
          <cell r="FH49" t="str">
            <v/>
          </cell>
          <cell r="FJ49">
            <v>0</v>
          </cell>
          <cell r="FK49" t="str">
            <v/>
          </cell>
          <cell r="FM49">
            <v>0</v>
          </cell>
          <cell r="FN49" t="str">
            <v/>
          </cell>
          <cell r="FP49">
            <v>0</v>
          </cell>
          <cell r="FQ49" t="str">
            <v/>
          </cell>
          <cell r="FS49">
            <v>0</v>
          </cell>
          <cell r="FT49" t="str">
            <v/>
          </cell>
          <cell r="FV49">
            <v>0</v>
          </cell>
          <cell r="FW49" t="str">
            <v/>
          </cell>
          <cell r="FY49">
            <v>0</v>
          </cell>
          <cell r="FZ49" t="str">
            <v/>
          </cell>
          <cell r="GB49">
            <v>0</v>
          </cell>
          <cell r="GC49" t="str">
            <v/>
          </cell>
          <cell r="GE49">
            <v>0</v>
          </cell>
          <cell r="GF49" t="str">
            <v/>
          </cell>
          <cell r="GH49">
            <v>0</v>
          </cell>
          <cell r="GI49" t="str">
            <v/>
          </cell>
          <cell r="GK49">
            <v>0</v>
          </cell>
          <cell r="GL49" t="str">
            <v/>
          </cell>
          <cell r="GN49">
            <v>0</v>
          </cell>
          <cell r="GO49" t="str">
            <v/>
          </cell>
          <cell r="GQ49">
            <v>0</v>
          </cell>
          <cell r="GR49" t="str">
            <v/>
          </cell>
          <cell r="GT49">
            <v>0</v>
          </cell>
          <cell r="GU49" t="str">
            <v/>
          </cell>
          <cell r="GW49">
            <v>0</v>
          </cell>
          <cell r="GX49" t="str">
            <v/>
          </cell>
          <cell r="GZ49">
            <v>0.83</v>
          </cell>
          <cell r="HA49">
            <v>75293.975903614468</v>
          </cell>
          <cell r="HC49">
            <v>0</v>
          </cell>
          <cell r="HD49" t="str">
            <v/>
          </cell>
          <cell r="HF49">
            <v>0</v>
          </cell>
          <cell r="HG49" t="str">
            <v/>
          </cell>
          <cell r="HI49">
            <v>0</v>
          </cell>
          <cell r="HJ49" t="str">
            <v/>
          </cell>
          <cell r="HL49">
            <v>0.08</v>
          </cell>
          <cell r="HM49">
            <v>27437.5</v>
          </cell>
          <cell r="HO49">
            <v>0.01</v>
          </cell>
          <cell r="HP49">
            <v>63600</v>
          </cell>
          <cell r="HR49">
            <v>0</v>
          </cell>
          <cell r="HS49" t="str">
            <v/>
          </cell>
          <cell r="HU49">
            <v>0</v>
          </cell>
          <cell r="HV49" t="str">
            <v/>
          </cell>
        </row>
        <row r="50">
          <cell r="DQ50">
            <v>0</v>
          </cell>
          <cell r="DR50" t="str">
            <v/>
          </cell>
          <cell r="DT50">
            <v>0.03</v>
          </cell>
          <cell r="DU50">
            <v>76766.666666666672</v>
          </cell>
          <cell r="DW50">
            <v>0</v>
          </cell>
          <cell r="DX50" t="str">
            <v/>
          </cell>
          <cell r="DZ50">
            <v>0</v>
          </cell>
          <cell r="EA50" t="str">
            <v/>
          </cell>
          <cell r="EC50">
            <v>0</v>
          </cell>
          <cell r="ED50" t="str">
            <v/>
          </cell>
          <cell r="EF50">
            <v>0</v>
          </cell>
          <cell r="EG50" t="str">
            <v/>
          </cell>
          <cell r="EI50">
            <v>0</v>
          </cell>
          <cell r="EJ50" t="str">
            <v/>
          </cell>
          <cell r="EL50">
            <v>0</v>
          </cell>
          <cell r="EM50" t="str">
            <v/>
          </cell>
          <cell r="EO50">
            <v>0</v>
          </cell>
          <cell r="EP50" t="str">
            <v/>
          </cell>
          <cell r="ER50">
            <v>0</v>
          </cell>
          <cell r="ES50" t="str">
            <v/>
          </cell>
          <cell r="EU50">
            <v>0</v>
          </cell>
          <cell r="EV50" t="str">
            <v/>
          </cell>
          <cell r="EX50">
            <v>0</v>
          </cell>
          <cell r="EY50" t="str">
            <v/>
          </cell>
          <cell r="FA50">
            <v>0</v>
          </cell>
          <cell r="FB50" t="str">
            <v/>
          </cell>
          <cell r="FD50">
            <v>0</v>
          </cell>
          <cell r="FE50" t="str">
            <v/>
          </cell>
          <cell r="FG50">
            <v>0</v>
          </cell>
          <cell r="FH50" t="str">
            <v/>
          </cell>
          <cell r="FJ50">
            <v>0</v>
          </cell>
          <cell r="FK50" t="str">
            <v/>
          </cell>
          <cell r="FM50">
            <v>0</v>
          </cell>
          <cell r="FN50" t="str">
            <v/>
          </cell>
          <cell r="FP50">
            <v>0</v>
          </cell>
          <cell r="FQ50" t="str">
            <v/>
          </cell>
          <cell r="FS50">
            <v>0</v>
          </cell>
          <cell r="FT50" t="str">
            <v/>
          </cell>
          <cell r="FV50">
            <v>0</v>
          </cell>
          <cell r="FW50" t="str">
            <v/>
          </cell>
          <cell r="FY50">
            <v>0</v>
          </cell>
          <cell r="FZ50" t="str">
            <v/>
          </cell>
          <cell r="GB50">
            <v>0</v>
          </cell>
          <cell r="GC50" t="str">
            <v/>
          </cell>
          <cell r="GE50">
            <v>0</v>
          </cell>
          <cell r="GF50" t="str">
            <v/>
          </cell>
          <cell r="GH50">
            <v>0</v>
          </cell>
          <cell r="GI50" t="str">
            <v/>
          </cell>
          <cell r="GK50">
            <v>0</v>
          </cell>
          <cell r="GL50" t="str">
            <v/>
          </cell>
          <cell r="GN50">
            <v>0</v>
          </cell>
          <cell r="GO50" t="str">
            <v/>
          </cell>
          <cell r="GQ50">
            <v>0</v>
          </cell>
          <cell r="GR50" t="str">
            <v/>
          </cell>
          <cell r="GT50">
            <v>0</v>
          </cell>
          <cell r="GU50" t="str">
            <v/>
          </cell>
          <cell r="GW50">
            <v>0</v>
          </cell>
          <cell r="GX50" t="str">
            <v/>
          </cell>
          <cell r="GZ50">
            <v>0.34</v>
          </cell>
          <cell r="HA50">
            <v>74191.176470588223</v>
          </cell>
          <cell r="HC50">
            <v>0</v>
          </cell>
          <cell r="HD50" t="str">
            <v/>
          </cell>
          <cell r="HF50">
            <v>0</v>
          </cell>
          <cell r="HG50" t="str">
            <v/>
          </cell>
          <cell r="HI50">
            <v>0</v>
          </cell>
          <cell r="HJ50" t="str">
            <v/>
          </cell>
          <cell r="HL50">
            <v>0</v>
          </cell>
          <cell r="HM50" t="str">
            <v/>
          </cell>
          <cell r="HO50">
            <v>0.02</v>
          </cell>
          <cell r="HP50">
            <v>58600</v>
          </cell>
          <cell r="HR50">
            <v>0</v>
          </cell>
          <cell r="HS50" t="str">
            <v/>
          </cell>
          <cell r="HU50">
            <v>0</v>
          </cell>
          <cell r="HV50" t="str">
            <v/>
          </cell>
        </row>
        <row r="51">
          <cell r="DQ51">
            <v>0.04</v>
          </cell>
          <cell r="DR51">
            <v>46000</v>
          </cell>
          <cell r="DT51">
            <v>0.02</v>
          </cell>
          <cell r="DU51">
            <v>57550</v>
          </cell>
          <cell r="DW51">
            <v>0</v>
          </cell>
          <cell r="DX51" t="str">
            <v/>
          </cell>
          <cell r="DZ51">
            <v>0</v>
          </cell>
          <cell r="EA51" t="str">
            <v/>
          </cell>
          <cell r="EC51">
            <v>0</v>
          </cell>
          <cell r="ED51" t="str">
            <v/>
          </cell>
          <cell r="EF51">
            <v>0</v>
          </cell>
          <cell r="EG51" t="str">
            <v/>
          </cell>
          <cell r="EI51">
            <v>0</v>
          </cell>
          <cell r="EJ51" t="str">
            <v/>
          </cell>
          <cell r="EL51">
            <v>0</v>
          </cell>
          <cell r="EM51" t="str">
            <v/>
          </cell>
          <cell r="EO51">
            <v>0</v>
          </cell>
          <cell r="EP51" t="str">
            <v/>
          </cell>
          <cell r="ER51">
            <v>0</v>
          </cell>
          <cell r="ES51" t="str">
            <v/>
          </cell>
          <cell r="EU51">
            <v>0</v>
          </cell>
          <cell r="EV51" t="str">
            <v/>
          </cell>
          <cell r="EX51">
            <v>0</v>
          </cell>
          <cell r="EY51" t="str">
            <v/>
          </cell>
          <cell r="FA51">
            <v>0</v>
          </cell>
          <cell r="FB51" t="str">
            <v/>
          </cell>
          <cell r="FD51">
            <v>0</v>
          </cell>
          <cell r="FE51" t="str">
            <v/>
          </cell>
          <cell r="FG51">
            <v>0</v>
          </cell>
          <cell r="FH51" t="str">
            <v/>
          </cell>
          <cell r="FJ51">
            <v>0</v>
          </cell>
          <cell r="FK51" t="str">
            <v/>
          </cell>
          <cell r="FM51">
            <v>0</v>
          </cell>
          <cell r="FN51" t="str">
            <v/>
          </cell>
          <cell r="FP51">
            <v>0</v>
          </cell>
          <cell r="FQ51" t="str">
            <v/>
          </cell>
          <cell r="FS51">
            <v>0</v>
          </cell>
          <cell r="FT51" t="str">
            <v/>
          </cell>
          <cell r="FV51">
            <v>0</v>
          </cell>
          <cell r="FW51" t="str">
            <v/>
          </cell>
          <cell r="FY51">
            <v>0</v>
          </cell>
          <cell r="FZ51" t="str">
            <v/>
          </cell>
          <cell r="GB51">
            <v>0</v>
          </cell>
          <cell r="GC51" t="str">
            <v/>
          </cell>
          <cell r="GE51">
            <v>0</v>
          </cell>
          <cell r="GF51" t="str">
            <v/>
          </cell>
          <cell r="GH51">
            <v>0</v>
          </cell>
          <cell r="GI51" t="str">
            <v/>
          </cell>
          <cell r="GK51">
            <v>0</v>
          </cell>
          <cell r="GL51" t="str">
            <v/>
          </cell>
          <cell r="GN51">
            <v>0</v>
          </cell>
          <cell r="GO51" t="str">
            <v/>
          </cell>
          <cell r="GQ51">
            <v>0</v>
          </cell>
          <cell r="GR51" t="str">
            <v/>
          </cell>
          <cell r="GT51">
            <v>0</v>
          </cell>
          <cell r="GU51" t="str">
            <v/>
          </cell>
          <cell r="GW51">
            <v>0</v>
          </cell>
          <cell r="GX51" t="str">
            <v/>
          </cell>
          <cell r="GZ51">
            <v>0</v>
          </cell>
          <cell r="HA51" t="str">
            <v/>
          </cell>
          <cell r="HC51">
            <v>0.06</v>
          </cell>
          <cell r="HD51">
            <v>45233.333333333336</v>
          </cell>
          <cell r="HF51">
            <v>0</v>
          </cell>
          <cell r="HG51" t="str">
            <v/>
          </cell>
          <cell r="HI51">
            <v>0</v>
          </cell>
          <cell r="HJ51" t="str">
            <v/>
          </cell>
          <cell r="HL51">
            <v>0.43</v>
          </cell>
          <cell r="HM51">
            <v>37851.162790697672</v>
          </cell>
          <cell r="HO51">
            <v>0</v>
          </cell>
          <cell r="HP51" t="str">
            <v/>
          </cell>
          <cell r="HR51">
            <v>0</v>
          </cell>
          <cell r="HS51" t="str">
            <v/>
          </cell>
          <cell r="HU51">
            <v>0</v>
          </cell>
          <cell r="HV51" t="str">
            <v/>
          </cell>
        </row>
        <row r="52">
          <cell r="DQ52">
            <v>0</v>
          </cell>
          <cell r="DR52" t="str">
            <v/>
          </cell>
          <cell r="DT52">
            <v>1.62</v>
          </cell>
          <cell r="DU52">
            <v>77259.259259259255</v>
          </cell>
          <cell r="DW52">
            <v>0</v>
          </cell>
          <cell r="DX52" t="str">
            <v/>
          </cell>
          <cell r="DZ52">
            <v>0</v>
          </cell>
          <cell r="EA52" t="str">
            <v/>
          </cell>
          <cell r="EC52">
            <v>0</v>
          </cell>
          <cell r="ED52" t="str">
            <v/>
          </cell>
          <cell r="EF52">
            <v>0</v>
          </cell>
          <cell r="EG52" t="str">
            <v/>
          </cell>
          <cell r="EI52">
            <v>0</v>
          </cell>
          <cell r="EJ52" t="str">
            <v/>
          </cell>
          <cell r="EL52">
            <v>0.36</v>
          </cell>
          <cell r="EM52">
            <v>70400</v>
          </cell>
          <cell r="EO52">
            <v>0</v>
          </cell>
          <cell r="EP52" t="str">
            <v/>
          </cell>
          <cell r="ER52">
            <v>0</v>
          </cell>
          <cell r="ES52" t="str">
            <v/>
          </cell>
          <cell r="EU52">
            <v>0</v>
          </cell>
          <cell r="EV52" t="str">
            <v/>
          </cell>
          <cell r="EX52">
            <v>0</v>
          </cell>
          <cell r="EY52" t="str">
            <v/>
          </cell>
          <cell r="FA52">
            <v>0</v>
          </cell>
          <cell r="FB52" t="str">
            <v/>
          </cell>
          <cell r="FD52">
            <v>0</v>
          </cell>
          <cell r="FE52" t="str">
            <v/>
          </cell>
          <cell r="FG52">
            <v>0</v>
          </cell>
          <cell r="FH52" t="str">
            <v/>
          </cell>
          <cell r="FJ52">
            <v>0</v>
          </cell>
          <cell r="FK52" t="str">
            <v/>
          </cell>
          <cell r="FM52">
            <v>0</v>
          </cell>
          <cell r="FN52" t="str">
            <v/>
          </cell>
          <cell r="FP52">
            <v>0</v>
          </cell>
          <cell r="FQ52" t="str">
            <v/>
          </cell>
          <cell r="FS52">
            <v>0</v>
          </cell>
          <cell r="FT52" t="str">
            <v/>
          </cell>
          <cell r="FV52">
            <v>0</v>
          </cell>
          <cell r="FW52" t="str">
            <v/>
          </cell>
          <cell r="FY52">
            <v>0</v>
          </cell>
          <cell r="FZ52" t="str">
            <v/>
          </cell>
          <cell r="GB52">
            <v>0</v>
          </cell>
          <cell r="GC52" t="str">
            <v/>
          </cell>
          <cell r="GE52">
            <v>0</v>
          </cell>
          <cell r="GF52" t="str">
            <v/>
          </cell>
          <cell r="GH52">
            <v>0</v>
          </cell>
          <cell r="GI52" t="str">
            <v/>
          </cell>
          <cell r="GK52">
            <v>0</v>
          </cell>
          <cell r="GL52" t="str">
            <v/>
          </cell>
          <cell r="GN52">
            <v>0</v>
          </cell>
          <cell r="GO52" t="str">
            <v/>
          </cell>
          <cell r="GQ52">
            <v>0</v>
          </cell>
          <cell r="GR52" t="str">
            <v/>
          </cell>
          <cell r="GT52">
            <v>0</v>
          </cell>
          <cell r="GU52" t="str">
            <v/>
          </cell>
          <cell r="GW52">
            <v>0.21000000000000002</v>
          </cell>
          <cell r="GX52">
            <v>68000</v>
          </cell>
          <cell r="GZ52">
            <v>0</v>
          </cell>
          <cell r="HA52" t="str">
            <v/>
          </cell>
          <cell r="HC52">
            <v>9.75</v>
          </cell>
          <cell r="HD52">
            <v>44177.846153846156</v>
          </cell>
          <cell r="HF52">
            <v>0</v>
          </cell>
          <cell r="HG52" t="str">
            <v/>
          </cell>
          <cell r="HI52">
            <v>6.1499999999999995</v>
          </cell>
          <cell r="HJ52">
            <v>40056.585365853665</v>
          </cell>
          <cell r="HL52">
            <v>37.68</v>
          </cell>
          <cell r="HM52">
            <v>27761.464968152868</v>
          </cell>
          <cell r="HO52">
            <v>0</v>
          </cell>
          <cell r="HP52" t="str">
            <v/>
          </cell>
          <cell r="HR52">
            <v>0</v>
          </cell>
          <cell r="HS52" t="str">
            <v/>
          </cell>
          <cell r="HU52">
            <v>0</v>
          </cell>
          <cell r="HV52" t="str">
            <v/>
          </cell>
        </row>
        <row r="53">
          <cell r="DQ53">
            <v>0</v>
          </cell>
          <cell r="DR53" t="str">
            <v/>
          </cell>
          <cell r="DT53">
            <v>0.05</v>
          </cell>
          <cell r="DU53">
            <v>79660</v>
          </cell>
          <cell r="DW53">
            <v>0</v>
          </cell>
          <cell r="DX53" t="str">
            <v/>
          </cell>
          <cell r="DZ53">
            <v>0</v>
          </cell>
          <cell r="EA53" t="str">
            <v/>
          </cell>
          <cell r="EC53">
            <v>0</v>
          </cell>
          <cell r="ED53" t="str">
            <v/>
          </cell>
          <cell r="EF53">
            <v>0</v>
          </cell>
          <cell r="EG53" t="str">
            <v/>
          </cell>
          <cell r="EI53">
            <v>0</v>
          </cell>
          <cell r="EJ53" t="str">
            <v/>
          </cell>
          <cell r="EL53">
            <v>0</v>
          </cell>
          <cell r="EM53" t="str">
            <v/>
          </cell>
          <cell r="EO53">
            <v>0</v>
          </cell>
          <cell r="EP53" t="str">
            <v/>
          </cell>
          <cell r="ER53">
            <v>0</v>
          </cell>
          <cell r="ES53" t="str">
            <v/>
          </cell>
          <cell r="EU53">
            <v>0</v>
          </cell>
          <cell r="EV53" t="str">
            <v/>
          </cell>
          <cell r="EX53">
            <v>0</v>
          </cell>
          <cell r="EY53" t="str">
            <v/>
          </cell>
          <cell r="FA53">
            <v>0</v>
          </cell>
          <cell r="FB53" t="str">
            <v/>
          </cell>
          <cell r="FD53">
            <v>0</v>
          </cell>
          <cell r="FE53" t="str">
            <v/>
          </cell>
          <cell r="FG53">
            <v>0</v>
          </cell>
          <cell r="FH53" t="str">
            <v/>
          </cell>
          <cell r="FJ53">
            <v>0</v>
          </cell>
          <cell r="FK53" t="str">
            <v/>
          </cell>
          <cell r="FM53">
            <v>0</v>
          </cell>
          <cell r="FN53" t="str">
            <v/>
          </cell>
          <cell r="FP53">
            <v>0</v>
          </cell>
          <cell r="FQ53" t="str">
            <v/>
          </cell>
          <cell r="FS53">
            <v>0</v>
          </cell>
          <cell r="FT53" t="str">
            <v/>
          </cell>
          <cell r="FV53">
            <v>0</v>
          </cell>
          <cell r="FW53" t="str">
            <v/>
          </cell>
          <cell r="FY53">
            <v>0</v>
          </cell>
          <cell r="FZ53" t="str">
            <v/>
          </cell>
          <cell r="GB53">
            <v>0</v>
          </cell>
          <cell r="GC53" t="str">
            <v/>
          </cell>
          <cell r="GE53">
            <v>0</v>
          </cell>
          <cell r="GF53" t="str">
            <v/>
          </cell>
          <cell r="GH53">
            <v>0</v>
          </cell>
          <cell r="GI53" t="str">
            <v/>
          </cell>
          <cell r="GK53">
            <v>0</v>
          </cell>
          <cell r="GL53" t="str">
            <v/>
          </cell>
          <cell r="GN53">
            <v>0</v>
          </cell>
          <cell r="GO53" t="str">
            <v/>
          </cell>
          <cell r="GQ53">
            <v>0</v>
          </cell>
          <cell r="GR53" t="str">
            <v/>
          </cell>
          <cell r="GT53">
            <v>0</v>
          </cell>
          <cell r="GU53" t="str">
            <v/>
          </cell>
          <cell r="GW53">
            <v>0</v>
          </cell>
          <cell r="GX53" t="str">
            <v/>
          </cell>
          <cell r="GZ53">
            <v>0</v>
          </cell>
          <cell r="HA53" t="str">
            <v/>
          </cell>
          <cell r="HC53">
            <v>0.88</v>
          </cell>
          <cell r="HD53">
            <v>44348.86363636364</v>
          </cell>
          <cell r="HF53">
            <v>0</v>
          </cell>
          <cell r="HG53" t="str">
            <v/>
          </cell>
          <cell r="HI53">
            <v>0</v>
          </cell>
          <cell r="HJ53" t="str">
            <v/>
          </cell>
          <cell r="HL53">
            <v>0.44</v>
          </cell>
          <cell r="HM53">
            <v>27647.727272727272</v>
          </cell>
          <cell r="HO53">
            <v>0.61</v>
          </cell>
          <cell r="HP53">
            <v>40716.393442622953</v>
          </cell>
          <cell r="HR53">
            <v>0</v>
          </cell>
          <cell r="HS53" t="str">
            <v/>
          </cell>
          <cell r="HU53">
            <v>0</v>
          </cell>
          <cell r="HV53" t="str">
            <v/>
          </cell>
        </row>
        <row r="54">
          <cell r="DQ54">
            <v>0</v>
          </cell>
          <cell r="DR54" t="str">
            <v/>
          </cell>
          <cell r="DT54">
            <v>0</v>
          </cell>
          <cell r="DU54" t="str">
            <v/>
          </cell>
          <cell r="DW54">
            <v>0</v>
          </cell>
          <cell r="DX54" t="str">
            <v/>
          </cell>
          <cell r="DZ54">
            <v>0</v>
          </cell>
          <cell r="EA54" t="str">
            <v/>
          </cell>
          <cell r="EC54">
            <v>0</v>
          </cell>
          <cell r="ED54" t="str">
            <v/>
          </cell>
          <cell r="EF54">
            <v>0</v>
          </cell>
          <cell r="EG54" t="str">
            <v/>
          </cell>
          <cell r="EI54">
            <v>0</v>
          </cell>
          <cell r="EJ54" t="str">
            <v/>
          </cell>
          <cell r="EL54">
            <v>0</v>
          </cell>
          <cell r="EM54" t="str">
            <v/>
          </cell>
          <cell r="EO54">
            <v>0</v>
          </cell>
          <cell r="EP54" t="str">
            <v/>
          </cell>
          <cell r="ER54">
            <v>0</v>
          </cell>
          <cell r="ES54" t="str">
            <v/>
          </cell>
          <cell r="EU54">
            <v>0</v>
          </cell>
          <cell r="EV54" t="str">
            <v/>
          </cell>
          <cell r="EX54">
            <v>0</v>
          </cell>
          <cell r="EY54" t="str">
            <v/>
          </cell>
          <cell r="FA54">
            <v>0</v>
          </cell>
          <cell r="FB54" t="str">
            <v/>
          </cell>
          <cell r="FD54">
            <v>0</v>
          </cell>
          <cell r="FE54" t="str">
            <v/>
          </cell>
          <cell r="FG54">
            <v>0</v>
          </cell>
          <cell r="FH54" t="str">
            <v/>
          </cell>
          <cell r="FJ54">
            <v>0</v>
          </cell>
          <cell r="FK54" t="str">
            <v/>
          </cell>
          <cell r="FM54">
            <v>0</v>
          </cell>
          <cell r="FN54" t="str">
            <v/>
          </cell>
          <cell r="FP54">
            <v>0</v>
          </cell>
          <cell r="FQ54" t="str">
            <v/>
          </cell>
          <cell r="FS54">
            <v>0</v>
          </cell>
          <cell r="FT54" t="str">
            <v/>
          </cell>
          <cell r="FV54">
            <v>0</v>
          </cell>
          <cell r="FW54" t="str">
            <v/>
          </cell>
          <cell r="FY54">
            <v>0</v>
          </cell>
          <cell r="FZ54" t="str">
            <v/>
          </cell>
          <cell r="GB54">
            <v>0</v>
          </cell>
          <cell r="GC54" t="str">
            <v/>
          </cell>
          <cell r="GE54">
            <v>0</v>
          </cell>
          <cell r="GF54" t="str">
            <v/>
          </cell>
          <cell r="GH54">
            <v>0</v>
          </cell>
          <cell r="GI54" t="str">
            <v/>
          </cell>
          <cell r="GK54">
            <v>0</v>
          </cell>
          <cell r="GL54" t="str">
            <v/>
          </cell>
          <cell r="GN54">
            <v>0</v>
          </cell>
          <cell r="GO54" t="str">
            <v/>
          </cell>
          <cell r="GQ54">
            <v>0</v>
          </cell>
          <cell r="GR54" t="str">
            <v/>
          </cell>
          <cell r="GT54">
            <v>0</v>
          </cell>
          <cell r="GU54" t="str">
            <v/>
          </cell>
          <cell r="GW54">
            <v>0</v>
          </cell>
          <cell r="GX54" t="str">
            <v/>
          </cell>
          <cell r="GZ54">
            <v>0</v>
          </cell>
          <cell r="HA54" t="str">
            <v/>
          </cell>
          <cell r="HC54">
            <v>0.03</v>
          </cell>
          <cell r="HD54">
            <v>32033.333333333336</v>
          </cell>
          <cell r="HF54">
            <v>0</v>
          </cell>
          <cell r="HG54" t="str">
            <v/>
          </cell>
          <cell r="HI54">
            <v>0</v>
          </cell>
          <cell r="HJ54" t="str">
            <v/>
          </cell>
          <cell r="HL54">
            <v>0.01</v>
          </cell>
          <cell r="HM54">
            <v>29900</v>
          </cell>
          <cell r="HO54">
            <v>0.01</v>
          </cell>
          <cell r="HP54">
            <v>61100</v>
          </cell>
          <cell r="HR54">
            <v>0</v>
          </cell>
          <cell r="HS54" t="str">
            <v/>
          </cell>
          <cell r="HU54">
            <v>0</v>
          </cell>
          <cell r="HV54" t="str">
            <v/>
          </cell>
        </row>
        <row r="55">
          <cell r="DQ55">
            <v>0</v>
          </cell>
          <cell r="DR55" t="str">
            <v/>
          </cell>
          <cell r="DT55">
            <v>0</v>
          </cell>
          <cell r="DU55" t="str">
            <v/>
          </cell>
          <cell r="DW55">
            <v>0</v>
          </cell>
          <cell r="DX55" t="str">
            <v/>
          </cell>
          <cell r="DZ55">
            <v>0</v>
          </cell>
          <cell r="EA55" t="str">
            <v/>
          </cell>
          <cell r="EC55">
            <v>0</v>
          </cell>
          <cell r="ED55" t="str">
            <v/>
          </cell>
          <cell r="EF55">
            <v>0</v>
          </cell>
          <cell r="EG55" t="str">
            <v/>
          </cell>
          <cell r="EI55">
            <v>0</v>
          </cell>
          <cell r="EJ55" t="str">
            <v/>
          </cell>
          <cell r="EL55">
            <v>0</v>
          </cell>
          <cell r="EM55" t="str">
            <v/>
          </cell>
          <cell r="EO55">
            <v>0</v>
          </cell>
          <cell r="EP55" t="str">
            <v/>
          </cell>
          <cell r="ER55">
            <v>0</v>
          </cell>
          <cell r="ES55" t="str">
            <v/>
          </cell>
          <cell r="EU55">
            <v>0</v>
          </cell>
          <cell r="EV55" t="str">
            <v/>
          </cell>
          <cell r="EX55">
            <v>0</v>
          </cell>
          <cell r="EY55" t="str">
            <v/>
          </cell>
          <cell r="FA55">
            <v>0</v>
          </cell>
          <cell r="FB55" t="str">
            <v/>
          </cell>
          <cell r="FD55">
            <v>0</v>
          </cell>
          <cell r="FE55" t="str">
            <v/>
          </cell>
          <cell r="FG55">
            <v>0</v>
          </cell>
          <cell r="FH55" t="str">
            <v/>
          </cell>
          <cell r="FJ55">
            <v>0</v>
          </cell>
          <cell r="FK55" t="str">
            <v/>
          </cell>
          <cell r="FM55">
            <v>0</v>
          </cell>
          <cell r="FN55" t="str">
            <v/>
          </cell>
          <cell r="FP55">
            <v>0</v>
          </cell>
          <cell r="FQ55" t="str">
            <v/>
          </cell>
          <cell r="FS55">
            <v>0</v>
          </cell>
          <cell r="FT55" t="str">
            <v/>
          </cell>
          <cell r="FV55">
            <v>0</v>
          </cell>
          <cell r="FW55" t="str">
            <v/>
          </cell>
          <cell r="FY55">
            <v>0</v>
          </cell>
          <cell r="FZ55" t="str">
            <v/>
          </cell>
          <cell r="GB55">
            <v>0</v>
          </cell>
          <cell r="GC55" t="str">
            <v/>
          </cell>
          <cell r="GE55">
            <v>0</v>
          </cell>
          <cell r="GF55" t="str">
            <v/>
          </cell>
          <cell r="GH55">
            <v>0</v>
          </cell>
          <cell r="GI55" t="str">
            <v/>
          </cell>
          <cell r="GK55">
            <v>0</v>
          </cell>
          <cell r="GL55" t="str">
            <v/>
          </cell>
          <cell r="GN55">
            <v>0</v>
          </cell>
          <cell r="GO55" t="str">
            <v/>
          </cell>
          <cell r="GQ55">
            <v>0</v>
          </cell>
          <cell r="GR55" t="str">
            <v/>
          </cell>
          <cell r="GT55">
            <v>0</v>
          </cell>
          <cell r="GU55" t="str">
            <v/>
          </cell>
          <cell r="GW55">
            <v>0</v>
          </cell>
          <cell r="GX55" t="str">
            <v/>
          </cell>
          <cell r="GZ55">
            <v>0</v>
          </cell>
          <cell r="HA55" t="str">
            <v/>
          </cell>
          <cell r="HC55">
            <v>0</v>
          </cell>
          <cell r="HD55" t="str">
            <v/>
          </cell>
          <cell r="HF55">
            <v>0</v>
          </cell>
          <cell r="HG55" t="str">
            <v/>
          </cell>
          <cell r="HI55">
            <v>0</v>
          </cell>
          <cell r="HJ55" t="str">
            <v/>
          </cell>
          <cell r="HL55">
            <v>0</v>
          </cell>
          <cell r="HM55" t="str">
            <v/>
          </cell>
          <cell r="HO55">
            <v>0</v>
          </cell>
          <cell r="HP55" t="str">
            <v/>
          </cell>
          <cell r="HR55">
            <v>0</v>
          </cell>
          <cell r="HS55" t="str">
            <v/>
          </cell>
          <cell r="HU55">
            <v>0</v>
          </cell>
          <cell r="HV55" t="str">
            <v/>
          </cell>
        </row>
        <row r="56">
          <cell r="DQ56">
            <v>1</v>
          </cell>
          <cell r="DR56">
            <v>55899</v>
          </cell>
          <cell r="DT56">
            <v>0</v>
          </cell>
          <cell r="DU56" t="str">
            <v/>
          </cell>
          <cell r="DW56">
            <v>0</v>
          </cell>
          <cell r="DX56" t="str">
            <v/>
          </cell>
          <cell r="DZ56">
            <v>0</v>
          </cell>
          <cell r="EA56" t="str">
            <v/>
          </cell>
          <cell r="EC56">
            <v>0</v>
          </cell>
          <cell r="ED56" t="str">
            <v/>
          </cell>
          <cell r="EF56">
            <v>0</v>
          </cell>
          <cell r="EG56" t="str">
            <v/>
          </cell>
          <cell r="EI56">
            <v>0</v>
          </cell>
          <cell r="EJ56" t="str">
            <v/>
          </cell>
          <cell r="EL56">
            <v>0</v>
          </cell>
          <cell r="EM56" t="str">
            <v/>
          </cell>
          <cell r="EO56">
            <v>0</v>
          </cell>
          <cell r="EP56" t="str">
            <v/>
          </cell>
          <cell r="ER56">
            <v>0</v>
          </cell>
          <cell r="ES56" t="str">
            <v/>
          </cell>
          <cell r="EU56">
            <v>0</v>
          </cell>
          <cell r="EV56" t="str">
            <v/>
          </cell>
          <cell r="EX56">
            <v>0</v>
          </cell>
          <cell r="EY56" t="str">
            <v/>
          </cell>
          <cell r="FA56">
            <v>0</v>
          </cell>
          <cell r="FB56" t="str">
            <v/>
          </cell>
          <cell r="FD56">
            <v>0</v>
          </cell>
          <cell r="FE56" t="str">
            <v/>
          </cell>
          <cell r="FG56">
            <v>0</v>
          </cell>
          <cell r="FH56" t="str">
            <v/>
          </cell>
          <cell r="FJ56">
            <v>0</v>
          </cell>
          <cell r="FK56" t="str">
            <v/>
          </cell>
          <cell r="FM56">
            <v>0</v>
          </cell>
          <cell r="FN56" t="str">
            <v/>
          </cell>
          <cell r="FP56">
            <v>0</v>
          </cell>
          <cell r="FQ56" t="str">
            <v/>
          </cell>
          <cell r="FS56">
            <v>0</v>
          </cell>
          <cell r="FT56" t="str">
            <v/>
          </cell>
          <cell r="FV56">
            <v>0</v>
          </cell>
          <cell r="FW56" t="str">
            <v/>
          </cell>
          <cell r="FY56">
            <v>0</v>
          </cell>
          <cell r="FZ56" t="str">
            <v/>
          </cell>
          <cell r="GB56">
            <v>0</v>
          </cell>
          <cell r="GC56" t="str">
            <v/>
          </cell>
          <cell r="GE56">
            <v>0</v>
          </cell>
          <cell r="GF56" t="str">
            <v/>
          </cell>
          <cell r="GH56">
            <v>0</v>
          </cell>
          <cell r="GI56" t="str">
            <v/>
          </cell>
          <cell r="GK56">
            <v>0</v>
          </cell>
          <cell r="GL56" t="str">
            <v/>
          </cell>
          <cell r="GN56">
            <v>0</v>
          </cell>
          <cell r="GO56" t="str">
            <v/>
          </cell>
          <cell r="GQ56">
            <v>0</v>
          </cell>
          <cell r="GR56" t="str">
            <v/>
          </cell>
          <cell r="GT56">
            <v>0</v>
          </cell>
          <cell r="GU56" t="str">
            <v/>
          </cell>
          <cell r="GW56">
            <v>0</v>
          </cell>
          <cell r="GX56" t="str">
            <v/>
          </cell>
          <cell r="GZ56">
            <v>4</v>
          </cell>
          <cell r="HA56">
            <v>39478.5</v>
          </cell>
          <cell r="HC56">
            <v>0</v>
          </cell>
          <cell r="HD56" t="str">
            <v/>
          </cell>
          <cell r="HF56">
            <v>0.5</v>
          </cell>
          <cell r="HG56">
            <v>30804</v>
          </cell>
          <cell r="HI56">
            <v>0</v>
          </cell>
          <cell r="HJ56" t="str">
            <v/>
          </cell>
          <cell r="HL56">
            <v>0</v>
          </cell>
          <cell r="HM56" t="str">
            <v/>
          </cell>
          <cell r="HO56">
            <v>0</v>
          </cell>
          <cell r="HP56" t="str">
            <v/>
          </cell>
          <cell r="HR56">
            <v>0</v>
          </cell>
          <cell r="HS56" t="str">
            <v/>
          </cell>
          <cell r="HU56">
            <v>0</v>
          </cell>
          <cell r="HV56" t="str">
            <v/>
          </cell>
        </row>
        <row r="57">
          <cell r="DQ57">
            <v>0</v>
          </cell>
          <cell r="DR57" t="str">
            <v/>
          </cell>
          <cell r="DT57">
            <v>0</v>
          </cell>
          <cell r="DU57" t="str">
            <v/>
          </cell>
          <cell r="DW57">
            <v>0</v>
          </cell>
          <cell r="DX57" t="str">
            <v/>
          </cell>
          <cell r="DZ57">
            <v>0</v>
          </cell>
          <cell r="EA57" t="str">
            <v/>
          </cell>
          <cell r="EC57">
            <v>0</v>
          </cell>
          <cell r="ED57" t="str">
            <v/>
          </cell>
          <cell r="EF57">
            <v>0</v>
          </cell>
          <cell r="EG57" t="str">
            <v/>
          </cell>
          <cell r="EI57">
            <v>0</v>
          </cell>
          <cell r="EJ57" t="str">
            <v/>
          </cell>
          <cell r="EL57">
            <v>0</v>
          </cell>
          <cell r="EM57" t="str">
            <v/>
          </cell>
          <cell r="EO57">
            <v>0</v>
          </cell>
          <cell r="EP57" t="str">
            <v/>
          </cell>
          <cell r="ER57">
            <v>0</v>
          </cell>
          <cell r="ES57" t="str">
            <v/>
          </cell>
          <cell r="EU57">
            <v>0</v>
          </cell>
          <cell r="EV57" t="str">
            <v/>
          </cell>
          <cell r="EX57">
            <v>0</v>
          </cell>
          <cell r="EY57" t="str">
            <v/>
          </cell>
          <cell r="FA57">
            <v>0</v>
          </cell>
          <cell r="FB57" t="str">
            <v/>
          </cell>
          <cell r="FD57">
            <v>0</v>
          </cell>
          <cell r="FE57" t="str">
            <v/>
          </cell>
          <cell r="FG57">
            <v>0</v>
          </cell>
          <cell r="FH57" t="str">
            <v/>
          </cell>
          <cell r="FJ57">
            <v>0</v>
          </cell>
          <cell r="FK57" t="str">
            <v/>
          </cell>
          <cell r="FM57">
            <v>0</v>
          </cell>
          <cell r="FN57" t="str">
            <v/>
          </cell>
          <cell r="FP57">
            <v>0</v>
          </cell>
          <cell r="FQ57" t="str">
            <v/>
          </cell>
          <cell r="FS57">
            <v>0</v>
          </cell>
          <cell r="FT57" t="str">
            <v/>
          </cell>
          <cell r="FV57">
            <v>0</v>
          </cell>
          <cell r="FW57" t="str">
            <v/>
          </cell>
          <cell r="FY57">
            <v>0</v>
          </cell>
          <cell r="FZ57" t="str">
            <v/>
          </cell>
          <cell r="GB57">
            <v>0</v>
          </cell>
          <cell r="GC57" t="str">
            <v/>
          </cell>
          <cell r="GE57">
            <v>0</v>
          </cell>
          <cell r="GF57" t="str">
            <v/>
          </cell>
          <cell r="GH57">
            <v>0</v>
          </cell>
          <cell r="GI57" t="str">
            <v/>
          </cell>
          <cell r="GK57">
            <v>0</v>
          </cell>
          <cell r="GL57" t="str">
            <v/>
          </cell>
          <cell r="GN57">
            <v>0</v>
          </cell>
          <cell r="GO57" t="str">
            <v/>
          </cell>
          <cell r="GQ57">
            <v>0</v>
          </cell>
          <cell r="GR57" t="str">
            <v/>
          </cell>
          <cell r="GT57">
            <v>0</v>
          </cell>
          <cell r="GU57" t="str">
            <v/>
          </cell>
          <cell r="GW57">
            <v>0</v>
          </cell>
          <cell r="GX57" t="str">
            <v/>
          </cell>
          <cell r="GZ57">
            <v>0</v>
          </cell>
          <cell r="HA57" t="str">
            <v/>
          </cell>
          <cell r="HC57">
            <v>0</v>
          </cell>
          <cell r="HD57" t="str">
            <v/>
          </cell>
          <cell r="HF57">
            <v>0</v>
          </cell>
          <cell r="HG57" t="str">
            <v/>
          </cell>
          <cell r="HI57">
            <v>0</v>
          </cell>
          <cell r="HJ57" t="str">
            <v/>
          </cell>
          <cell r="HL57">
            <v>0</v>
          </cell>
          <cell r="HM57" t="str">
            <v/>
          </cell>
          <cell r="HO57">
            <v>0</v>
          </cell>
          <cell r="HP57" t="str">
            <v/>
          </cell>
          <cell r="HR57">
            <v>0</v>
          </cell>
          <cell r="HS57" t="str">
            <v/>
          </cell>
          <cell r="HU57">
            <v>0</v>
          </cell>
          <cell r="HV57" t="str">
            <v/>
          </cell>
        </row>
        <row r="58">
          <cell r="DQ58">
            <v>0.6</v>
          </cell>
          <cell r="DR58">
            <v>30000</v>
          </cell>
          <cell r="DT58">
            <v>0</v>
          </cell>
          <cell r="DU58" t="str">
            <v/>
          </cell>
          <cell r="DW58">
            <v>0</v>
          </cell>
          <cell r="DX58" t="str">
            <v/>
          </cell>
          <cell r="DZ58">
            <v>0</v>
          </cell>
          <cell r="EA58" t="str">
            <v/>
          </cell>
          <cell r="EC58">
            <v>0</v>
          </cell>
          <cell r="ED58" t="str">
            <v/>
          </cell>
          <cell r="EF58">
            <v>0</v>
          </cell>
          <cell r="EG58" t="str">
            <v/>
          </cell>
          <cell r="EI58">
            <v>0</v>
          </cell>
          <cell r="EJ58" t="str">
            <v/>
          </cell>
          <cell r="EL58">
            <v>0</v>
          </cell>
          <cell r="EM58" t="str">
            <v/>
          </cell>
          <cell r="EO58">
            <v>0</v>
          </cell>
          <cell r="EP58" t="str">
            <v/>
          </cell>
          <cell r="ER58">
            <v>0</v>
          </cell>
          <cell r="ES58" t="str">
            <v/>
          </cell>
          <cell r="EU58">
            <v>0</v>
          </cell>
          <cell r="EV58" t="str">
            <v/>
          </cell>
          <cell r="EX58">
            <v>0</v>
          </cell>
          <cell r="EY58" t="str">
            <v/>
          </cell>
          <cell r="FA58">
            <v>0</v>
          </cell>
          <cell r="FB58" t="str">
            <v/>
          </cell>
          <cell r="FD58">
            <v>0</v>
          </cell>
          <cell r="FE58" t="str">
            <v/>
          </cell>
          <cell r="FG58">
            <v>0</v>
          </cell>
          <cell r="FH58" t="str">
            <v/>
          </cell>
          <cell r="FJ58">
            <v>0</v>
          </cell>
          <cell r="FK58" t="str">
            <v/>
          </cell>
          <cell r="FM58">
            <v>0</v>
          </cell>
          <cell r="FN58" t="str">
            <v/>
          </cell>
          <cell r="FP58">
            <v>0</v>
          </cell>
          <cell r="FQ58" t="str">
            <v/>
          </cell>
          <cell r="FS58">
            <v>0</v>
          </cell>
          <cell r="FT58" t="str">
            <v/>
          </cell>
          <cell r="FV58">
            <v>0</v>
          </cell>
          <cell r="FW58" t="str">
            <v/>
          </cell>
          <cell r="FY58">
            <v>0</v>
          </cell>
          <cell r="FZ58" t="str">
            <v/>
          </cell>
          <cell r="GB58">
            <v>0</v>
          </cell>
          <cell r="GC58" t="str">
            <v/>
          </cell>
          <cell r="GE58">
            <v>0</v>
          </cell>
          <cell r="GF58" t="str">
            <v/>
          </cell>
          <cell r="GH58">
            <v>0</v>
          </cell>
          <cell r="GI58" t="str">
            <v/>
          </cell>
          <cell r="GK58">
            <v>0</v>
          </cell>
          <cell r="GL58" t="str">
            <v/>
          </cell>
          <cell r="GN58">
            <v>0</v>
          </cell>
          <cell r="GO58" t="str">
            <v/>
          </cell>
          <cell r="GQ58">
            <v>0</v>
          </cell>
          <cell r="GR58" t="str">
            <v/>
          </cell>
          <cell r="GT58">
            <v>0</v>
          </cell>
          <cell r="GU58" t="str">
            <v/>
          </cell>
          <cell r="GW58">
            <v>0</v>
          </cell>
          <cell r="GX58" t="str">
            <v/>
          </cell>
          <cell r="GZ58">
            <v>0</v>
          </cell>
          <cell r="HA58" t="str">
            <v/>
          </cell>
          <cell r="HC58">
            <v>0</v>
          </cell>
          <cell r="HD58" t="str">
            <v/>
          </cell>
          <cell r="HF58">
            <v>0</v>
          </cell>
          <cell r="HG58" t="str">
            <v/>
          </cell>
          <cell r="HI58">
            <v>0</v>
          </cell>
          <cell r="HJ58" t="str">
            <v/>
          </cell>
          <cell r="HL58">
            <v>0</v>
          </cell>
          <cell r="HM58" t="str">
            <v/>
          </cell>
          <cell r="HO58">
            <v>0</v>
          </cell>
          <cell r="HP58" t="str">
            <v/>
          </cell>
          <cell r="HR58">
            <v>0</v>
          </cell>
          <cell r="HS58" t="str">
            <v/>
          </cell>
          <cell r="HU58">
            <v>0</v>
          </cell>
          <cell r="HV58" t="str">
            <v/>
          </cell>
        </row>
        <row r="59">
          <cell r="DQ59">
            <v>0</v>
          </cell>
          <cell r="DR59" t="str">
            <v/>
          </cell>
          <cell r="DT59">
            <v>0</v>
          </cell>
          <cell r="DU59" t="str">
            <v/>
          </cell>
          <cell r="DW59">
            <v>0</v>
          </cell>
          <cell r="DX59" t="str">
            <v/>
          </cell>
          <cell r="DZ59">
            <v>0</v>
          </cell>
          <cell r="EA59" t="str">
            <v/>
          </cell>
          <cell r="EC59">
            <v>0</v>
          </cell>
          <cell r="ED59" t="str">
            <v/>
          </cell>
          <cell r="EF59">
            <v>0</v>
          </cell>
          <cell r="EG59" t="str">
            <v/>
          </cell>
          <cell r="EI59">
            <v>0</v>
          </cell>
          <cell r="EJ59" t="str">
            <v/>
          </cell>
          <cell r="EL59">
            <v>0</v>
          </cell>
          <cell r="EM59" t="str">
            <v/>
          </cell>
          <cell r="EO59">
            <v>0</v>
          </cell>
          <cell r="EP59" t="str">
            <v/>
          </cell>
          <cell r="ER59">
            <v>0</v>
          </cell>
          <cell r="ES59" t="str">
            <v/>
          </cell>
          <cell r="EU59">
            <v>0</v>
          </cell>
          <cell r="EV59" t="str">
            <v/>
          </cell>
          <cell r="EX59">
            <v>0</v>
          </cell>
          <cell r="EY59" t="str">
            <v/>
          </cell>
          <cell r="FA59">
            <v>0</v>
          </cell>
          <cell r="FB59" t="str">
            <v/>
          </cell>
          <cell r="FD59">
            <v>0</v>
          </cell>
          <cell r="FE59" t="str">
            <v/>
          </cell>
          <cell r="FG59">
            <v>0</v>
          </cell>
          <cell r="FH59" t="str">
            <v/>
          </cell>
          <cell r="FJ59">
            <v>0</v>
          </cell>
          <cell r="FK59" t="str">
            <v/>
          </cell>
          <cell r="FM59">
            <v>0</v>
          </cell>
          <cell r="FN59" t="str">
            <v/>
          </cell>
          <cell r="FP59">
            <v>0</v>
          </cell>
          <cell r="FQ59" t="str">
            <v/>
          </cell>
          <cell r="FS59">
            <v>0</v>
          </cell>
          <cell r="FT59" t="str">
            <v/>
          </cell>
          <cell r="FV59">
            <v>0</v>
          </cell>
          <cell r="FW59" t="str">
            <v/>
          </cell>
          <cell r="FY59">
            <v>0</v>
          </cell>
          <cell r="FZ59" t="str">
            <v/>
          </cell>
          <cell r="GB59">
            <v>0</v>
          </cell>
          <cell r="GC59" t="str">
            <v/>
          </cell>
          <cell r="GE59">
            <v>0</v>
          </cell>
          <cell r="GF59" t="str">
            <v/>
          </cell>
          <cell r="GH59">
            <v>0</v>
          </cell>
          <cell r="GI59" t="str">
            <v/>
          </cell>
          <cell r="GK59">
            <v>0</v>
          </cell>
          <cell r="GL59" t="str">
            <v/>
          </cell>
          <cell r="GN59">
            <v>0</v>
          </cell>
          <cell r="GO59" t="str">
            <v/>
          </cell>
          <cell r="GQ59">
            <v>0</v>
          </cell>
          <cell r="GR59" t="str">
            <v/>
          </cell>
          <cell r="GT59">
            <v>0</v>
          </cell>
          <cell r="GU59" t="str">
            <v/>
          </cell>
          <cell r="GW59">
            <v>0</v>
          </cell>
          <cell r="GX59" t="str">
            <v/>
          </cell>
          <cell r="GZ59">
            <v>0</v>
          </cell>
          <cell r="HA59" t="str">
            <v/>
          </cell>
          <cell r="HC59">
            <v>0</v>
          </cell>
          <cell r="HD59" t="str">
            <v/>
          </cell>
          <cell r="HF59">
            <v>0</v>
          </cell>
          <cell r="HG59" t="str">
            <v/>
          </cell>
          <cell r="HI59">
            <v>0</v>
          </cell>
          <cell r="HJ59" t="str">
            <v/>
          </cell>
          <cell r="HL59">
            <v>0.5</v>
          </cell>
          <cell r="HM59">
            <v>28244</v>
          </cell>
          <cell r="HO59">
            <v>0</v>
          </cell>
          <cell r="HP59" t="str">
            <v/>
          </cell>
          <cell r="HR59">
            <v>0</v>
          </cell>
          <cell r="HS59" t="str">
            <v/>
          </cell>
          <cell r="HU59">
            <v>0</v>
          </cell>
          <cell r="HV59" t="str">
            <v/>
          </cell>
        </row>
        <row r="60">
          <cell r="DQ60">
            <v>0</v>
          </cell>
          <cell r="DR60" t="str">
            <v/>
          </cell>
          <cell r="DT60">
            <v>0</v>
          </cell>
          <cell r="DU60" t="str">
            <v/>
          </cell>
          <cell r="DW60">
            <v>0</v>
          </cell>
          <cell r="DX60" t="str">
            <v/>
          </cell>
          <cell r="DZ60">
            <v>0</v>
          </cell>
          <cell r="EA60" t="str">
            <v/>
          </cell>
          <cell r="EC60">
            <v>0</v>
          </cell>
          <cell r="ED60" t="str">
            <v/>
          </cell>
          <cell r="EF60">
            <v>0</v>
          </cell>
          <cell r="EG60" t="str">
            <v/>
          </cell>
          <cell r="EI60">
            <v>0</v>
          </cell>
          <cell r="EJ60" t="str">
            <v/>
          </cell>
          <cell r="EL60">
            <v>0</v>
          </cell>
          <cell r="EM60" t="str">
            <v/>
          </cell>
          <cell r="EO60">
            <v>0</v>
          </cell>
          <cell r="EP60" t="str">
            <v/>
          </cell>
          <cell r="ER60">
            <v>0</v>
          </cell>
          <cell r="ES60" t="str">
            <v/>
          </cell>
          <cell r="EU60">
            <v>0</v>
          </cell>
          <cell r="EV60" t="str">
            <v/>
          </cell>
          <cell r="EX60">
            <v>0</v>
          </cell>
          <cell r="EY60" t="str">
            <v/>
          </cell>
          <cell r="FA60">
            <v>0</v>
          </cell>
          <cell r="FB60" t="str">
            <v/>
          </cell>
          <cell r="FD60">
            <v>0</v>
          </cell>
          <cell r="FE60" t="str">
            <v/>
          </cell>
          <cell r="FG60">
            <v>0</v>
          </cell>
          <cell r="FH60" t="str">
            <v/>
          </cell>
          <cell r="FJ60">
            <v>0</v>
          </cell>
          <cell r="FK60" t="str">
            <v/>
          </cell>
          <cell r="FM60">
            <v>0</v>
          </cell>
          <cell r="FN60" t="str">
            <v/>
          </cell>
          <cell r="FP60">
            <v>0</v>
          </cell>
          <cell r="FQ60" t="str">
            <v/>
          </cell>
          <cell r="FS60">
            <v>0</v>
          </cell>
          <cell r="FT60" t="str">
            <v/>
          </cell>
          <cell r="FV60">
            <v>0</v>
          </cell>
          <cell r="FW60" t="str">
            <v/>
          </cell>
          <cell r="FY60">
            <v>0</v>
          </cell>
          <cell r="FZ60" t="str">
            <v/>
          </cell>
          <cell r="GB60">
            <v>0</v>
          </cell>
          <cell r="GC60" t="str">
            <v/>
          </cell>
          <cell r="GE60">
            <v>0</v>
          </cell>
          <cell r="GF60" t="str">
            <v/>
          </cell>
          <cell r="GH60">
            <v>0</v>
          </cell>
          <cell r="GI60" t="str">
            <v/>
          </cell>
          <cell r="GK60">
            <v>0</v>
          </cell>
          <cell r="GL60" t="str">
            <v/>
          </cell>
          <cell r="GN60">
            <v>0</v>
          </cell>
          <cell r="GO60" t="str">
            <v/>
          </cell>
          <cell r="GQ60">
            <v>0</v>
          </cell>
          <cell r="GR60" t="str">
            <v/>
          </cell>
          <cell r="GT60">
            <v>0</v>
          </cell>
          <cell r="GU60" t="str">
            <v/>
          </cell>
          <cell r="GW60">
            <v>0</v>
          </cell>
          <cell r="GX60" t="str">
            <v/>
          </cell>
          <cell r="GZ60">
            <v>0</v>
          </cell>
          <cell r="HA60" t="str">
            <v/>
          </cell>
          <cell r="HC60">
            <v>0</v>
          </cell>
          <cell r="HD60" t="str">
            <v/>
          </cell>
          <cell r="HF60">
            <v>0</v>
          </cell>
          <cell r="HG60" t="str">
            <v/>
          </cell>
          <cell r="HI60">
            <v>0</v>
          </cell>
          <cell r="HJ60" t="str">
            <v/>
          </cell>
          <cell r="HL60">
            <v>0</v>
          </cell>
          <cell r="HM60" t="str">
            <v/>
          </cell>
          <cell r="HO60">
            <v>0</v>
          </cell>
          <cell r="HP60" t="str">
            <v/>
          </cell>
          <cell r="HR60">
            <v>0</v>
          </cell>
          <cell r="HS60" t="str">
            <v/>
          </cell>
          <cell r="HU60">
            <v>0</v>
          </cell>
          <cell r="HV60" t="str">
            <v/>
          </cell>
        </row>
        <row r="61">
          <cell r="DQ61">
            <v>0</v>
          </cell>
          <cell r="DR61" t="str">
            <v/>
          </cell>
          <cell r="DT61">
            <v>0</v>
          </cell>
          <cell r="DU61" t="str">
            <v/>
          </cell>
          <cell r="DW61">
            <v>0</v>
          </cell>
          <cell r="DX61" t="str">
            <v/>
          </cell>
          <cell r="DZ61">
            <v>0</v>
          </cell>
          <cell r="EA61" t="str">
            <v/>
          </cell>
          <cell r="EC61">
            <v>0</v>
          </cell>
          <cell r="ED61" t="str">
            <v/>
          </cell>
          <cell r="EF61">
            <v>0</v>
          </cell>
          <cell r="EG61" t="str">
            <v/>
          </cell>
          <cell r="EI61">
            <v>0</v>
          </cell>
          <cell r="EJ61" t="str">
            <v/>
          </cell>
          <cell r="EL61">
            <v>0</v>
          </cell>
          <cell r="EM61" t="str">
            <v/>
          </cell>
          <cell r="EO61">
            <v>0</v>
          </cell>
          <cell r="EP61" t="str">
            <v/>
          </cell>
          <cell r="ER61">
            <v>0</v>
          </cell>
          <cell r="ES61" t="str">
            <v/>
          </cell>
          <cell r="EU61">
            <v>0</v>
          </cell>
          <cell r="EV61" t="str">
            <v/>
          </cell>
          <cell r="EX61">
            <v>0</v>
          </cell>
          <cell r="EY61" t="str">
            <v/>
          </cell>
          <cell r="FA61">
            <v>0</v>
          </cell>
          <cell r="FB61" t="str">
            <v/>
          </cell>
          <cell r="FD61">
            <v>0</v>
          </cell>
          <cell r="FE61" t="str">
            <v/>
          </cell>
          <cell r="FG61">
            <v>0</v>
          </cell>
          <cell r="FH61" t="str">
            <v/>
          </cell>
          <cell r="FJ61">
            <v>0</v>
          </cell>
          <cell r="FK61" t="str">
            <v/>
          </cell>
          <cell r="FM61">
            <v>0</v>
          </cell>
          <cell r="FN61" t="str">
            <v/>
          </cell>
          <cell r="FP61">
            <v>0</v>
          </cell>
          <cell r="FQ61" t="str">
            <v/>
          </cell>
          <cell r="FS61">
            <v>0</v>
          </cell>
          <cell r="FT61" t="str">
            <v/>
          </cell>
          <cell r="FV61">
            <v>0</v>
          </cell>
          <cell r="FW61" t="str">
            <v/>
          </cell>
          <cell r="FY61">
            <v>0</v>
          </cell>
          <cell r="FZ61" t="str">
            <v/>
          </cell>
          <cell r="GB61">
            <v>0</v>
          </cell>
          <cell r="GC61" t="str">
            <v/>
          </cell>
          <cell r="GE61">
            <v>0</v>
          </cell>
          <cell r="GF61" t="str">
            <v/>
          </cell>
          <cell r="GH61">
            <v>0</v>
          </cell>
          <cell r="GI61" t="str">
            <v/>
          </cell>
          <cell r="GK61">
            <v>0</v>
          </cell>
          <cell r="GL61" t="str">
            <v/>
          </cell>
          <cell r="GN61">
            <v>0</v>
          </cell>
          <cell r="GO61" t="str">
            <v/>
          </cell>
          <cell r="GQ61">
            <v>0</v>
          </cell>
          <cell r="GR61" t="str">
            <v/>
          </cell>
          <cell r="GT61">
            <v>0</v>
          </cell>
          <cell r="GU61" t="str">
            <v/>
          </cell>
          <cell r="GW61">
            <v>1.72</v>
          </cell>
          <cell r="GX61">
            <v>37342.151162790695</v>
          </cell>
          <cell r="GZ61">
            <v>0.57999999999999996</v>
          </cell>
          <cell r="HA61">
            <v>37464.827586206899</v>
          </cell>
          <cell r="HC61">
            <v>0</v>
          </cell>
          <cell r="HD61" t="str">
            <v/>
          </cell>
          <cell r="HF61">
            <v>0</v>
          </cell>
          <cell r="HG61" t="str">
            <v/>
          </cell>
          <cell r="HI61">
            <v>0</v>
          </cell>
          <cell r="HJ61" t="str">
            <v/>
          </cell>
          <cell r="HL61">
            <v>1.02</v>
          </cell>
          <cell r="HM61">
            <v>39413.725490196077</v>
          </cell>
          <cell r="HO61">
            <v>0</v>
          </cell>
          <cell r="HP61" t="str">
            <v/>
          </cell>
          <cell r="HR61">
            <v>0</v>
          </cell>
          <cell r="HS61" t="str">
            <v/>
          </cell>
          <cell r="HU61">
            <v>0</v>
          </cell>
          <cell r="HV61" t="str">
            <v/>
          </cell>
        </row>
        <row r="62">
          <cell r="DQ62">
            <v>1</v>
          </cell>
          <cell r="DR62">
            <v>51967.6</v>
          </cell>
          <cell r="DT62">
            <v>0</v>
          </cell>
          <cell r="DU62" t="str">
            <v/>
          </cell>
          <cell r="DW62">
            <v>0</v>
          </cell>
          <cell r="DX62" t="str">
            <v/>
          </cell>
          <cell r="DZ62">
            <v>0</v>
          </cell>
          <cell r="EA62" t="str">
            <v/>
          </cell>
          <cell r="EC62">
            <v>0</v>
          </cell>
          <cell r="ED62" t="str">
            <v/>
          </cell>
          <cell r="EF62">
            <v>0</v>
          </cell>
          <cell r="EG62" t="str">
            <v/>
          </cell>
          <cell r="EI62">
            <v>0</v>
          </cell>
          <cell r="EJ62" t="str">
            <v/>
          </cell>
          <cell r="EL62">
            <v>0</v>
          </cell>
          <cell r="EM62" t="str">
            <v/>
          </cell>
          <cell r="EO62">
            <v>0</v>
          </cell>
          <cell r="EP62" t="str">
            <v/>
          </cell>
          <cell r="ER62">
            <v>0</v>
          </cell>
          <cell r="ES62" t="str">
            <v/>
          </cell>
          <cell r="EU62">
            <v>0</v>
          </cell>
          <cell r="EV62" t="str">
            <v/>
          </cell>
          <cell r="EX62">
            <v>0</v>
          </cell>
          <cell r="EY62" t="str">
            <v/>
          </cell>
          <cell r="FA62">
            <v>0</v>
          </cell>
          <cell r="FB62" t="str">
            <v/>
          </cell>
          <cell r="FD62">
            <v>0</v>
          </cell>
          <cell r="FE62" t="str">
            <v/>
          </cell>
          <cell r="FG62">
            <v>0</v>
          </cell>
          <cell r="FH62" t="str">
            <v/>
          </cell>
          <cell r="FJ62">
            <v>0</v>
          </cell>
          <cell r="FK62" t="str">
            <v/>
          </cell>
          <cell r="FM62">
            <v>0</v>
          </cell>
          <cell r="FN62" t="str">
            <v/>
          </cell>
          <cell r="FP62">
            <v>0</v>
          </cell>
          <cell r="FQ62" t="str">
            <v/>
          </cell>
          <cell r="FS62">
            <v>0</v>
          </cell>
          <cell r="FT62" t="str">
            <v/>
          </cell>
          <cell r="FV62">
            <v>0</v>
          </cell>
          <cell r="FW62" t="str">
            <v/>
          </cell>
          <cell r="FY62">
            <v>0</v>
          </cell>
          <cell r="FZ62" t="str">
            <v/>
          </cell>
          <cell r="GB62">
            <v>0</v>
          </cell>
          <cell r="GC62" t="str">
            <v/>
          </cell>
          <cell r="GE62">
            <v>0</v>
          </cell>
          <cell r="GF62" t="str">
            <v/>
          </cell>
          <cell r="GH62">
            <v>0</v>
          </cell>
          <cell r="GI62" t="str">
            <v/>
          </cell>
          <cell r="GK62">
            <v>0</v>
          </cell>
          <cell r="GL62" t="str">
            <v/>
          </cell>
          <cell r="GN62">
            <v>0</v>
          </cell>
          <cell r="GO62" t="str">
            <v/>
          </cell>
          <cell r="GQ62">
            <v>0</v>
          </cell>
          <cell r="GR62" t="str">
            <v/>
          </cell>
          <cell r="GT62">
            <v>0</v>
          </cell>
          <cell r="GU62" t="str">
            <v/>
          </cell>
          <cell r="GW62">
            <v>0.03</v>
          </cell>
          <cell r="GX62">
            <v>48608.333333333336</v>
          </cell>
          <cell r="GZ62">
            <v>0</v>
          </cell>
          <cell r="HA62" t="str">
            <v/>
          </cell>
          <cell r="HC62">
            <v>0</v>
          </cell>
          <cell r="HD62" t="str">
            <v/>
          </cell>
          <cell r="HF62">
            <v>0</v>
          </cell>
          <cell r="HG62" t="str">
            <v/>
          </cell>
          <cell r="HI62">
            <v>0</v>
          </cell>
          <cell r="HJ62" t="str">
            <v/>
          </cell>
          <cell r="HL62">
            <v>1</v>
          </cell>
          <cell r="HM62">
            <v>38111.050000000003</v>
          </cell>
          <cell r="HO62">
            <v>0</v>
          </cell>
          <cell r="HP62" t="str">
            <v/>
          </cell>
          <cell r="HR62">
            <v>0.01</v>
          </cell>
          <cell r="HS62">
            <v>59000</v>
          </cell>
          <cell r="HU62">
            <v>0</v>
          </cell>
          <cell r="HV62" t="str">
            <v/>
          </cell>
        </row>
        <row r="63">
          <cell r="DQ63">
            <v>0</v>
          </cell>
          <cell r="DR63" t="str">
            <v/>
          </cell>
          <cell r="DT63">
            <v>0</v>
          </cell>
          <cell r="DU63" t="str">
            <v/>
          </cell>
          <cell r="DW63">
            <v>0</v>
          </cell>
          <cell r="DX63" t="str">
            <v/>
          </cell>
          <cell r="DZ63">
            <v>0</v>
          </cell>
          <cell r="EA63" t="str">
            <v/>
          </cell>
          <cell r="EC63">
            <v>0</v>
          </cell>
          <cell r="ED63" t="str">
            <v/>
          </cell>
          <cell r="EF63">
            <v>0</v>
          </cell>
          <cell r="EG63" t="str">
            <v/>
          </cell>
          <cell r="EI63">
            <v>0</v>
          </cell>
          <cell r="EJ63" t="str">
            <v/>
          </cell>
          <cell r="EL63">
            <v>0</v>
          </cell>
          <cell r="EM63" t="str">
            <v/>
          </cell>
          <cell r="EO63">
            <v>0</v>
          </cell>
          <cell r="EP63" t="str">
            <v/>
          </cell>
          <cell r="ER63">
            <v>0</v>
          </cell>
          <cell r="ES63" t="str">
            <v/>
          </cell>
          <cell r="EU63">
            <v>0</v>
          </cell>
          <cell r="EV63" t="str">
            <v/>
          </cell>
          <cell r="EX63">
            <v>0</v>
          </cell>
          <cell r="EY63" t="str">
            <v/>
          </cell>
          <cell r="FA63">
            <v>0</v>
          </cell>
          <cell r="FB63" t="str">
            <v/>
          </cell>
          <cell r="FD63">
            <v>0</v>
          </cell>
          <cell r="FE63" t="str">
            <v/>
          </cell>
          <cell r="FG63">
            <v>0</v>
          </cell>
          <cell r="FH63" t="str">
            <v/>
          </cell>
          <cell r="FJ63">
            <v>0</v>
          </cell>
          <cell r="FK63" t="str">
            <v/>
          </cell>
          <cell r="FM63">
            <v>0</v>
          </cell>
          <cell r="FN63" t="str">
            <v/>
          </cell>
          <cell r="FP63">
            <v>0</v>
          </cell>
          <cell r="FQ63" t="str">
            <v/>
          </cell>
          <cell r="FS63">
            <v>0</v>
          </cell>
          <cell r="FT63" t="str">
            <v/>
          </cell>
          <cell r="FV63">
            <v>0</v>
          </cell>
          <cell r="FW63" t="str">
            <v/>
          </cell>
          <cell r="FY63">
            <v>0</v>
          </cell>
          <cell r="FZ63" t="str">
            <v/>
          </cell>
          <cell r="GB63">
            <v>0</v>
          </cell>
          <cell r="GC63" t="str">
            <v/>
          </cell>
          <cell r="GE63">
            <v>0</v>
          </cell>
          <cell r="GF63" t="str">
            <v/>
          </cell>
          <cell r="GH63">
            <v>0</v>
          </cell>
          <cell r="GI63" t="str">
            <v/>
          </cell>
          <cell r="GK63">
            <v>0</v>
          </cell>
          <cell r="GL63" t="str">
            <v/>
          </cell>
          <cell r="GN63">
            <v>0</v>
          </cell>
          <cell r="GO63" t="str">
            <v/>
          </cell>
          <cell r="GQ63">
            <v>0</v>
          </cell>
          <cell r="GR63" t="str">
            <v/>
          </cell>
          <cell r="GT63">
            <v>0</v>
          </cell>
          <cell r="GU63" t="str">
            <v/>
          </cell>
          <cell r="GW63">
            <v>0</v>
          </cell>
          <cell r="GX63" t="str">
            <v/>
          </cell>
          <cell r="GZ63">
            <v>0</v>
          </cell>
          <cell r="HA63" t="str">
            <v/>
          </cell>
          <cell r="HC63">
            <v>0</v>
          </cell>
          <cell r="HD63" t="str">
            <v/>
          </cell>
          <cell r="HF63">
            <v>0</v>
          </cell>
          <cell r="HG63" t="str">
            <v/>
          </cell>
          <cell r="HI63">
            <v>0</v>
          </cell>
          <cell r="HJ63" t="str">
            <v/>
          </cell>
          <cell r="HL63">
            <v>0</v>
          </cell>
          <cell r="HM63" t="str">
            <v/>
          </cell>
          <cell r="HO63">
            <v>0</v>
          </cell>
          <cell r="HP63" t="str">
            <v/>
          </cell>
          <cell r="HR63">
            <v>0</v>
          </cell>
          <cell r="HS63" t="str">
            <v/>
          </cell>
          <cell r="HU63">
            <v>0</v>
          </cell>
          <cell r="HV63" t="str">
            <v/>
          </cell>
        </row>
        <row r="64">
          <cell r="DQ64">
            <v>0</v>
          </cell>
          <cell r="DR64" t="str">
            <v/>
          </cell>
          <cell r="DT64">
            <v>0</v>
          </cell>
          <cell r="DU64" t="str">
            <v/>
          </cell>
          <cell r="DW64">
            <v>0</v>
          </cell>
          <cell r="DX64" t="str">
            <v/>
          </cell>
          <cell r="DZ64">
            <v>0</v>
          </cell>
          <cell r="EA64" t="str">
            <v/>
          </cell>
          <cell r="EC64">
            <v>0</v>
          </cell>
          <cell r="ED64" t="str">
            <v/>
          </cell>
          <cell r="EF64">
            <v>0</v>
          </cell>
          <cell r="EG64" t="str">
            <v/>
          </cell>
          <cell r="EI64">
            <v>0</v>
          </cell>
          <cell r="EJ64" t="str">
            <v/>
          </cell>
          <cell r="EL64">
            <v>0</v>
          </cell>
          <cell r="EM64" t="str">
            <v/>
          </cell>
          <cell r="EO64">
            <v>0</v>
          </cell>
          <cell r="EP64" t="str">
            <v/>
          </cell>
          <cell r="ER64">
            <v>0</v>
          </cell>
          <cell r="ES64" t="str">
            <v/>
          </cell>
          <cell r="EU64">
            <v>0</v>
          </cell>
          <cell r="EV64" t="str">
            <v/>
          </cell>
          <cell r="EX64">
            <v>0</v>
          </cell>
          <cell r="EY64" t="str">
            <v/>
          </cell>
          <cell r="FA64">
            <v>0</v>
          </cell>
          <cell r="FB64" t="str">
            <v/>
          </cell>
          <cell r="FD64">
            <v>0</v>
          </cell>
          <cell r="FE64" t="str">
            <v/>
          </cell>
          <cell r="FG64">
            <v>0</v>
          </cell>
          <cell r="FH64" t="str">
            <v/>
          </cell>
          <cell r="FJ64">
            <v>0</v>
          </cell>
          <cell r="FK64" t="str">
            <v/>
          </cell>
          <cell r="FM64">
            <v>0</v>
          </cell>
          <cell r="FN64" t="str">
            <v/>
          </cell>
          <cell r="FP64">
            <v>0</v>
          </cell>
          <cell r="FQ64" t="str">
            <v/>
          </cell>
          <cell r="FS64">
            <v>0</v>
          </cell>
          <cell r="FT64" t="str">
            <v/>
          </cell>
          <cell r="FV64">
            <v>0</v>
          </cell>
          <cell r="FW64" t="str">
            <v/>
          </cell>
          <cell r="FY64">
            <v>0</v>
          </cell>
          <cell r="FZ64" t="str">
            <v/>
          </cell>
          <cell r="GB64">
            <v>0</v>
          </cell>
          <cell r="GC64" t="str">
            <v/>
          </cell>
          <cell r="GE64">
            <v>0</v>
          </cell>
          <cell r="GF64" t="str">
            <v/>
          </cell>
          <cell r="GH64">
            <v>0</v>
          </cell>
          <cell r="GI64" t="str">
            <v/>
          </cell>
          <cell r="GK64">
            <v>0</v>
          </cell>
          <cell r="GL64" t="str">
            <v/>
          </cell>
          <cell r="GN64">
            <v>0</v>
          </cell>
          <cell r="GO64" t="str">
            <v/>
          </cell>
          <cell r="GQ64">
            <v>0</v>
          </cell>
          <cell r="GR64" t="str">
            <v/>
          </cell>
          <cell r="GT64">
            <v>0</v>
          </cell>
          <cell r="GU64" t="str">
            <v/>
          </cell>
          <cell r="GW64">
            <v>0.26</v>
          </cell>
          <cell r="GX64">
            <v>44968</v>
          </cell>
          <cell r="GZ64">
            <v>0</v>
          </cell>
          <cell r="HA64" t="str">
            <v/>
          </cell>
          <cell r="HC64">
            <v>0</v>
          </cell>
          <cell r="HD64" t="str">
            <v/>
          </cell>
          <cell r="HF64">
            <v>0</v>
          </cell>
          <cell r="HG64" t="str">
            <v/>
          </cell>
          <cell r="HI64">
            <v>0</v>
          </cell>
          <cell r="HJ64" t="str">
            <v/>
          </cell>
          <cell r="HL64">
            <v>1.56</v>
          </cell>
          <cell r="HM64">
            <v>60027.88461538461</v>
          </cell>
          <cell r="HO64">
            <v>0</v>
          </cell>
          <cell r="HP64" t="str">
            <v/>
          </cell>
          <cell r="HR64">
            <v>0</v>
          </cell>
          <cell r="HS64" t="str">
            <v/>
          </cell>
          <cell r="HU64">
            <v>0</v>
          </cell>
          <cell r="HV64" t="str">
            <v/>
          </cell>
        </row>
        <row r="65">
          <cell r="DQ65">
            <v>0</v>
          </cell>
          <cell r="DR65" t="str">
            <v/>
          </cell>
          <cell r="DT65">
            <v>0</v>
          </cell>
          <cell r="DU65" t="str">
            <v/>
          </cell>
          <cell r="DW65">
            <v>0</v>
          </cell>
          <cell r="DX65" t="str">
            <v/>
          </cell>
          <cell r="DZ65">
            <v>0</v>
          </cell>
          <cell r="EA65" t="str">
            <v/>
          </cell>
          <cell r="EC65">
            <v>0</v>
          </cell>
          <cell r="ED65" t="str">
            <v/>
          </cell>
          <cell r="EF65">
            <v>0</v>
          </cell>
          <cell r="EG65" t="str">
            <v/>
          </cell>
          <cell r="EI65">
            <v>0</v>
          </cell>
          <cell r="EJ65" t="str">
            <v/>
          </cell>
          <cell r="EL65">
            <v>0</v>
          </cell>
          <cell r="EM65" t="str">
            <v/>
          </cell>
          <cell r="EO65">
            <v>0</v>
          </cell>
          <cell r="EP65" t="str">
            <v/>
          </cell>
          <cell r="ER65">
            <v>0</v>
          </cell>
          <cell r="ES65" t="str">
            <v/>
          </cell>
          <cell r="EU65">
            <v>0</v>
          </cell>
          <cell r="EV65" t="str">
            <v/>
          </cell>
          <cell r="EX65">
            <v>0</v>
          </cell>
          <cell r="EY65" t="str">
            <v/>
          </cell>
          <cell r="FA65">
            <v>0</v>
          </cell>
          <cell r="FB65" t="str">
            <v/>
          </cell>
          <cell r="FD65">
            <v>0</v>
          </cell>
          <cell r="FE65" t="str">
            <v/>
          </cell>
          <cell r="FG65">
            <v>0</v>
          </cell>
          <cell r="FH65" t="str">
            <v/>
          </cell>
          <cell r="FJ65">
            <v>0</v>
          </cell>
          <cell r="FK65" t="str">
            <v/>
          </cell>
          <cell r="FM65">
            <v>0</v>
          </cell>
          <cell r="FN65" t="str">
            <v/>
          </cell>
          <cell r="FP65">
            <v>0</v>
          </cell>
          <cell r="FQ65" t="str">
            <v/>
          </cell>
          <cell r="FS65">
            <v>0</v>
          </cell>
          <cell r="FT65" t="str">
            <v/>
          </cell>
          <cell r="FV65">
            <v>0</v>
          </cell>
          <cell r="FW65" t="str">
            <v/>
          </cell>
          <cell r="FY65">
            <v>0</v>
          </cell>
          <cell r="FZ65" t="str">
            <v/>
          </cell>
          <cell r="GB65">
            <v>0</v>
          </cell>
          <cell r="GC65" t="str">
            <v/>
          </cell>
          <cell r="GE65">
            <v>0</v>
          </cell>
          <cell r="GF65" t="str">
            <v/>
          </cell>
          <cell r="GH65">
            <v>0</v>
          </cell>
          <cell r="GI65" t="str">
            <v/>
          </cell>
          <cell r="GK65">
            <v>0</v>
          </cell>
          <cell r="GL65" t="str">
            <v/>
          </cell>
          <cell r="GN65">
            <v>0</v>
          </cell>
          <cell r="GO65" t="str">
            <v/>
          </cell>
          <cell r="GQ65">
            <v>0</v>
          </cell>
          <cell r="GR65" t="str">
            <v/>
          </cell>
          <cell r="GT65">
            <v>0</v>
          </cell>
          <cell r="GU65" t="str">
            <v/>
          </cell>
          <cell r="GW65">
            <v>0</v>
          </cell>
          <cell r="GX65" t="str">
            <v/>
          </cell>
          <cell r="GZ65">
            <v>0</v>
          </cell>
          <cell r="HA65" t="str">
            <v/>
          </cell>
          <cell r="HC65">
            <v>0</v>
          </cell>
          <cell r="HD65" t="str">
            <v/>
          </cell>
          <cell r="HF65">
            <v>0</v>
          </cell>
          <cell r="HG65" t="str">
            <v/>
          </cell>
          <cell r="HI65">
            <v>0</v>
          </cell>
          <cell r="HJ65" t="str">
            <v/>
          </cell>
          <cell r="HL65">
            <v>0.28000000000000003</v>
          </cell>
          <cell r="HM65">
            <v>29674.999999999996</v>
          </cell>
          <cell r="HO65">
            <v>0</v>
          </cell>
          <cell r="HP65" t="str">
            <v/>
          </cell>
          <cell r="HR65">
            <v>0</v>
          </cell>
          <cell r="HS65" t="str">
            <v/>
          </cell>
          <cell r="HU65">
            <v>0</v>
          </cell>
          <cell r="HV65" t="str">
            <v/>
          </cell>
        </row>
        <row r="66">
          <cell r="DQ66">
            <v>1.1200000000000001</v>
          </cell>
          <cell r="DR66">
            <v>71614.50892857142</v>
          </cell>
          <cell r="DT66">
            <v>7.0000000000000007E-2</v>
          </cell>
          <cell r="DU66">
            <v>107725.57142857142</v>
          </cell>
          <cell r="DW66">
            <v>0</v>
          </cell>
          <cell r="DX66" t="str">
            <v/>
          </cell>
          <cell r="DZ66">
            <v>0</v>
          </cell>
          <cell r="EA66" t="str">
            <v/>
          </cell>
          <cell r="EC66">
            <v>0</v>
          </cell>
          <cell r="ED66" t="str">
            <v/>
          </cell>
          <cell r="EF66">
            <v>0</v>
          </cell>
          <cell r="EG66" t="str">
            <v/>
          </cell>
          <cell r="EI66">
            <v>0</v>
          </cell>
          <cell r="EJ66" t="str">
            <v/>
          </cell>
          <cell r="EL66">
            <v>0</v>
          </cell>
          <cell r="EM66" t="str">
            <v/>
          </cell>
          <cell r="EO66">
            <v>0</v>
          </cell>
          <cell r="EP66" t="str">
            <v/>
          </cell>
          <cell r="ER66">
            <v>0</v>
          </cell>
          <cell r="ES66" t="str">
            <v/>
          </cell>
          <cell r="EU66">
            <v>0</v>
          </cell>
          <cell r="EV66" t="str">
            <v/>
          </cell>
          <cell r="EX66">
            <v>0</v>
          </cell>
          <cell r="EY66" t="str">
            <v/>
          </cell>
          <cell r="FA66">
            <v>0</v>
          </cell>
          <cell r="FB66" t="str">
            <v/>
          </cell>
          <cell r="FD66">
            <v>0</v>
          </cell>
          <cell r="FE66" t="str">
            <v/>
          </cell>
          <cell r="FG66">
            <v>0</v>
          </cell>
          <cell r="FH66" t="str">
            <v/>
          </cell>
          <cell r="FJ66">
            <v>0</v>
          </cell>
          <cell r="FK66" t="str">
            <v/>
          </cell>
          <cell r="FM66">
            <v>0</v>
          </cell>
          <cell r="FN66" t="str">
            <v/>
          </cell>
          <cell r="FP66">
            <v>0</v>
          </cell>
          <cell r="FQ66" t="str">
            <v/>
          </cell>
          <cell r="FS66">
            <v>0</v>
          </cell>
          <cell r="FT66" t="str">
            <v/>
          </cell>
          <cell r="FV66">
            <v>0</v>
          </cell>
          <cell r="FW66" t="str">
            <v/>
          </cell>
          <cell r="FY66">
            <v>0</v>
          </cell>
          <cell r="FZ66" t="str">
            <v/>
          </cell>
          <cell r="GB66">
            <v>0.71</v>
          </cell>
          <cell r="GC66">
            <v>66105.408450704228</v>
          </cell>
          <cell r="GE66">
            <v>0</v>
          </cell>
          <cell r="GF66" t="str">
            <v/>
          </cell>
          <cell r="GH66">
            <v>0</v>
          </cell>
          <cell r="GI66" t="str">
            <v/>
          </cell>
          <cell r="GK66">
            <v>0</v>
          </cell>
          <cell r="GL66" t="str">
            <v/>
          </cell>
          <cell r="GN66">
            <v>0</v>
          </cell>
          <cell r="GO66" t="str">
            <v/>
          </cell>
          <cell r="GQ66">
            <v>0</v>
          </cell>
          <cell r="GR66" t="str">
            <v/>
          </cell>
          <cell r="GT66">
            <v>0</v>
          </cell>
          <cell r="GU66" t="str">
            <v/>
          </cell>
          <cell r="GW66">
            <v>0</v>
          </cell>
          <cell r="GX66" t="str">
            <v/>
          </cell>
          <cell r="GZ66">
            <v>0.39</v>
          </cell>
          <cell r="HA66">
            <v>40128.615384615383</v>
          </cell>
          <cell r="HC66">
            <v>0</v>
          </cell>
          <cell r="HD66" t="str">
            <v/>
          </cell>
          <cell r="HF66">
            <v>0</v>
          </cell>
          <cell r="HG66" t="str">
            <v/>
          </cell>
          <cell r="HI66">
            <v>0.2</v>
          </cell>
          <cell r="HJ66">
            <v>50745.299999999996</v>
          </cell>
          <cell r="HL66">
            <v>0.02</v>
          </cell>
          <cell r="HM66">
            <v>34450</v>
          </cell>
          <cell r="HO66">
            <v>0.39</v>
          </cell>
          <cell r="HP66">
            <v>30171.076923076922</v>
          </cell>
          <cell r="HR66">
            <v>0</v>
          </cell>
          <cell r="HS66" t="str">
            <v/>
          </cell>
          <cell r="HU66">
            <v>0</v>
          </cell>
          <cell r="HV66" t="str">
            <v/>
          </cell>
        </row>
        <row r="67">
          <cell r="DQ67">
            <v>0</v>
          </cell>
          <cell r="DR67" t="str">
            <v/>
          </cell>
          <cell r="DT67">
            <v>0</v>
          </cell>
          <cell r="DU67" t="str">
            <v/>
          </cell>
          <cell r="DW67">
            <v>1</v>
          </cell>
          <cell r="DX67">
            <v>68181</v>
          </cell>
          <cell r="DZ67">
            <v>0</v>
          </cell>
          <cell r="EA67" t="str">
            <v/>
          </cell>
          <cell r="EC67">
            <v>0</v>
          </cell>
          <cell r="ED67" t="str">
            <v/>
          </cell>
          <cell r="EF67">
            <v>0</v>
          </cell>
          <cell r="EG67" t="str">
            <v/>
          </cell>
          <cell r="EI67">
            <v>0</v>
          </cell>
          <cell r="EJ67" t="str">
            <v/>
          </cell>
          <cell r="EL67">
            <v>0</v>
          </cell>
          <cell r="EM67" t="str">
            <v/>
          </cell>
          <cell r="EO67">
            <v>0</v>
          </cell>
          <cell r="EP67" t="str">
            <v/>
          </cell>
          <cell r="ER67">
            <v>0</v>
          </cell>
          <cell r="ES67" t="str">
            <v/>
          </cell>
          <cell r="EU67">
            <v>0</v>
          </cell>
          <cell r="EV67" t="str">
            <v/>
          </cell>
          <cell r="EX67">
            <v>0</v>
          </cell>
          <cell r="EY67" t="str">
            <v/>
          </cell>
          <cell r="FA67">
            <v>0</v>
          </cell>
          <cell r="FB67" t="str">
            <v/>
          </cell>
          <cell r="FD67">
            <v>0</v>
          </cell>
          <cell r="FE67" t="str">
            <v/>
          </cell>
          <cell r="FG67">
            <v>0</v>
          </cell>
          <cell r="FH67" t="str">
            <v/>
          </cell>
          <cell r="FJ67">
            <v>0</v>
          </cell>
          <cell r="FK67" t="str">
            <v/>
          </cell>
          <cell r="FM67">
            <v>0</v>
          </cell>
          <cell r="FN67" t="str">
            <v/>
          </cell>
          <cell r="FP67">
            <v>0</v>
          </cell>
          <cell r="FQ67" t="str">
            <v/>
          </cell>
          <cell r="FS67">
            <v>0</v>
          </cell>
          <cell r="FT67" t="str">
            <v/>
          </cell>
          <cell r="FV67">
            <v>0</v>
          </cell>
          <cell r="FW67" t="str">
            <v/>
          </cell>
          <cell r="FY67">
            <v>0</v>
          </cell>
          <cell r="FZ67" t="str">
            <v/>
          </cell>
          <cell r="GB67">
            <v>0</v>
          </cell>
          <cell r="GC67" t="str">
            <v/>
          </cell>
          <cell r="GE67">
            <v>0</v>
          </cell>
          <cell r="GF67" t="str">
            <v/>
          </cell>
          <cell r="GH67">
            <v>0</v>
          </cell>
          <cell r="GI67" t="str">
            <v/>
          </cell>
          <cell r="GK67">
            <v>0</v>
          </cell>
          <cell r="GL67" t="str">
            <v/>
          </cell>
          <cell r="GN67">
            <v>0</v>
          </cell>
          <cell r="GO67" t="str">
            <v/>
          </cell>
          <cell r="GQ67">
            <v>0</v>
          </cell>
          <cell r="GR67" t="str">
            <v/>
          </cell>
          <cell r="GT67">
            <v>0</v>
          </cell>
          <cell r="GU67" t="str">
            <v/>
          </cell>
          <cell r="GW67">
            <v>0</v>
          </cell>
          <cell r="GX67" t="str">
            <v/>
          </cell>
          <cell r="GZ67">
            <v>0</v>
          </cell>
          <cell r="HA67" t="str">
            <v/>
          </cell>
          <cell r="HC67">
            <v>0</v>
          </cell>
          <cell r="HD67" t="str">
            <v/>
          </cell>
          <cell r="HF67">
            <v>0</v>
          </cell>
          <cell r="HG67" t="str">
            <v/>
          </cell>
          <cell r="HI67">
            <v>0</v>
          </cell>
          <cell r="HJ67" t="str">
            <v/>
          </cell>
          <cell r="HL67">
            <v>2.92</v>
          </cell>
          <cell r="HM67">
            <v>46800</v>
          </cell>
          <cell r="HO67">
            <v>0</v>
          </cell>
          <cell r="HP67" t="str">
            <v/>
          </cell>
          <cell r="HR67">
            <v>0</v>
          </cell>
          <cell r="HS67" t="str">
            <v/>
          </cell>
          <cell r="HU67">
            <v>0</v>
          </cell>
          <cell r="HV67" t="str">
            <v/>
          </cell>
        </row>
        <row r="68">
          <cell r="DQ68">
            <v>0.39</v>
          </cell>
          <cell r="DR68">
            <v>107970</v>
          </cell>
          <cell r="DT68">
            <v>0</v>
          </cell>
          <cell r="DU68" t="str">
            <v/>
          </cell>
          <cell r="DW68">
            <v>1</v>
          </cell>
          <cell r="DX68">
            <v>120895.82</v>
          </cell>
          <cell r="DZ68">
            <v>0</v>
          </cell>
          <cell r="EA68" t="str">
            <v/>
          </cell>
          <cell r="EC68">
            <v>1.1000000000000001</v>
          </cell>
          <cell r="ED68">
            <v>159013.0509090909</v>
          </cell>
          <cell r="EF68">
            <v>0</v>
          </cell>
          <cell r="EG68" t="str">
            <v/>
          </cell>
          <cell r="EI68">
            <v>2.8</v>
          </cell>
          <cell r="EJ68">
            <v>109487.925</v>
          </cell>
          <cell r="EL68">
            <v>0.24</v>
          </cell>
          <cell r="EM68">
            <v>83740.75</v>
          </cell>
          <cell r="EO68">
            <v>0</v>
          </cell>
          <cell r="EP68" t="str">
            <v/>
          </cell>
          <cell r="ER68">
            <v>0</v>
          </cell>
          <cell r="ES68" t="str">
            <v/>
          </cell>
          <cell r="EU68">
            <v>0</v>
          </cell>
          <cell r="EV68" t="str">
            <v/>
          </cell>
          <cell r="EX68">
            <v>0</v>
          </cell>
          <cell r="EY68" t="str">
            <v/>
          </cell>
          <cell r="FA68">
            <v>0</v>
          </cell>
          <cell r="FB68" t="str">
            <v/>
          </cell>
          <cell r="FD68">
            <v>0</v>
          </cell>
          <cell r="FE68" t="str">
            <v/>
          </cell>
          <cell r="FG68">
            <v>0</v>
          </cell>
          <cell r="FH68" t="str">
            <v/>
          </cell>
          <cell r="FJ68">
            <v>0</v>
          </cell>
          <cell r="FK68" t="str">
            <v/>
          </cell>
          <cell r="FM68">
            <v>0</v>
          </cell>
          <cell r="FN68" t="str">
            <v/>
          </cell>
          <cell r="FP68">
            <v>0</v>
          </cell>
          <cell r="FQ68" t="str">
            <v/>
          </cell>
          <cell r="FS68">
            <v>0</v>
          </cell>
          <cell r="FT68" t="str">
            <v/>
          </cell>
          <cell r="FV68">
            <v>0</v>
          </cell>
          <cell r="FW68" t="str">
            <v/>
          </cell>
          <cell r="FY68">
            <v>6.14</v>
          </cell>
          <cell r="FZ68">
            <v>84184.731270358316</v>
          </cell>
          <cell r="GB68">
            <v>3.75</v>
          </cell>
          <cell r="GC68">
            <v>64209.037333333334</v>
          </cell>
          <cell r="GE68">
            <v>14.81</v>
          </cell>
          <cell r="GF68">
            <v>68571.41390952059</v>
          </cell>
          <cell r="GH68">
            <v>6.26</v>
          </cell>
          <cell r="GI68">
            <v>53720.180511182116</v>
          </cell>
          <cell r="GK68">
            <v>1.03</v>
          </cell>
          <cell r="GL68">
            <v>79973.970873786413</v>
          </cell>
          <cell r="GN68">
            <v>0</v>
          </cell>
          <cell r="GO68" t="str">
            <v/>
          </cell>
          <cell r="GQ68">
            <v>0</v>
          </cell>
          <cell r="GR68" t="str">
            <v/>
          </cell>
          <cell r="GT68">
            <v>3.6</v>
          </cell>
          <cell r="GU68">
            <v>36566.944444444445</v>
          </cell>
          <cell r="GW68">
            <v>0</v>
          </cell>
          <cell r="GX68" t="str">
            <v/>
          </cell>
          <cell r="GZ68">
            <v>0</v>
          </cell>
          <cell r="HA68" t="str">
            <v/>
          </cell>
          <cell r="HC68">
            <v>0</v>
          </cell>
          <cell r="HD68" t="str">
            <v/>
          </cell>
          <cell r="HF68">
            <v>0</v>
          </cell>
          <cell r="HG68" t="str">
            <v/>
          </cell>
          <cell r="HI68">
            <v>0</v>
          </cell>
          <cell r="HJ68" t="str">
            <v/>
          </cell>
          <cell r="HL68">
            <v>0</v>
          </cell>
          <cell r="HM68" t="str">
            <v/>
          </cell>
          <cell r="HO68">
            <v>5.65</v>
          </cell>
          <cell r="HP68">
            <v>38242.272566371677</v>
          </cell>
          <cell r="HR68">
            <v>0</v>
          </cell>
          <cell r="HS68" t="str">
            <v/>
          </cell>
          <cell r="HU68">
            <v>0</v>
          </cell>
          <cell r="HV68" t="str">
            <v/>
          </cell>
        </row>
        <row r="69">
          <cell r="DQ69">
            <v>0</v>
          </cell>
          <cell r="DR69" t="str">
            <v/>
          </cell>
          <cell r="DT69">
            <v>2</v>
          </cell>
          <cell r="DU69">
            <v>35496</v>
          </cell>
          <cell r="DW69">
            <v>2</v>
          </cell>
          <cell r="DX69">
            <v>40968</v>
          </cell>
          <cell r="DZ69">
            <v>0</v>
          </cell>
          <cell r="EA69" t="str">
            <v/>
          </cell>
          <cell r="EC69">
            <v>0</v>
          </cell>
          <cell r="ED69" t="str">
            <v/>
          </cell>
          <cell r="EF69">
            <v>0</v>
          </cell>
          <cell r="EG69" t="str">
            <v/>
          </cell>
          <cell r="EI69">
            <v>0</v>
          </cell>
          <cell r="EJ69" t="str">
            <v/>
          </cell>
          <cell r="EL69">
            <v>0</v>
          </cell>
          <cell r="EM69" t="str">
            <v/>
          </cell>
          <cell r="EO69">
            <v>0</v>
          </cell>
          <cell r="EP69" t="str">
            <v/>
          </cell>
          <cell r="ER69">
            <v>0</v>
          </cell>
          <cell r="ES69" t="str">
            <v/>
          </cell>
          <cell r="EU69">
            <v>0</v>
          </cell>
          <cell r="EV69" t="str">
            <v/>
          </cell>
          <cell r="EX69">
            <v>0</v>
          </cell>
          <cell r="EY69" t="str">
            <v/>
          </cell>
          <cell r="FA69">
            <v>0</v>
          </cell>
          <cell r="FB69" t="str">
            <v/>
          </cell>
          <cell r="FD69">
            <v>0</v>
          </cell>
          <cell r="FE69" t="str">
            <v/>
          </cell>
          <cell r="FG69">
            <v>0</v>
          </cell>
          <cell r="FH69" t="str">
            <v/>
          </cell>
          <cell r="FJ69">
            <v>0</v>
          </cell>
          <cell r="FK69" t="str">
            <v/>
          </cell>
          <cell r="FM69">
            <v>0</v>
          </cell>
          <cell r="FN69" t="str">
            <v/>
          </cell>
          <cell r="FP69">
            <v>0</v>
          </cell>
          <cell r="FQ69" t="str">
            <v/>
          </cell>
          <cell r="FS69">
            <v>0</v>
          </cell>
          <cell r="FT69" t="str">
            <v/>
          </cell>
          <cell r="FV69">
            <v>0</v>
          </cell>
          <cell r="FW69" t="str">
            <v/>
          </cell>
          <cell r="FY69">
            <v>0</v>
          </cell>
          <cell r="FZ69" t="str">
            <v/>
          </cell>
          <cell r="GB69">
            <v>0</v>
          </cell>
          <cell r="GC69" t="str">
            <v/>
          </cell>
          <cell r="GE69">
            <v>0</v>
          </cell>
          <cell r="GF69" t="str">
            <v/>
          </cell>
          <cell r="GH69">
            <v>0</v>
          </cell>
          <cell r="GI69" t="str">
            <v/>
          </cell>
          <cell r="GK69">
            <v>0</v>
          </cell>
          <cell r="GL69" t="str">
            <v/>
          </cell>
          <cell r="GN69">
            <v>0</v>
          </cell>
          <cell r="GO69" t="str">
            <v/>
          </cell>
          <cell r="GQ69">
            <v>0</v>
          </cell>
          <cell r="GR69" t="str">
            <v/>
          </cell>
          <cell r="GT69">
            <v>0</v>
          </cell>
          <cell r="GU69" t="str">
            <v/>
          </cell>
          <cell r="GW69">
            <v>0</v>
          </cell>
          <cell r="GX69" t="str">
            <v/>
          </cell>
          <cell r="GZ69">
            <v>0</v>
          </cell>
          <cell r="HA69" t="str">
            <v/>
          </cell>
          <cell r="HC69">
            <v>0</v>
          </cell>
          <cell r="HD69" t="str">
            <v/>
          </cell>
          <cell r="HF69">
            <v>0</v>
          </cell>
          <cell r="HG69" t="str">
            <v/>
          </cell>
          <cell r="HI69">
            <v>0</v>
          </cell>
          <cell r="HJ69" t="str">
            <v/>
          </cell>
          <cell r="HL69">
            <v>0</v>
          </cell>
          <cell r="HM69" t="str">
            <v/>
          </cell>
          <cell r="HO69">
            <v>0</v>
          </cell>
          <cell r="HP69" t="str">
            <v/>
          </cell>
          <cell r="HR69">
            <v>0</v>
          </cell>
          <cell r="HS69" t="str">
            <v/>
          </cell>
          <cell r="HU69">
            <v>0</v>
          </cell>
          <cell r="HV69" t="str">
            <v/>
          </cell>
        </row>
        <row r="70">
          <cell r="DQ70">
            <v>4.5</v>
          </cell>
          <cell r="DR70">
            <v>70492.222222222219</v>
          </cell>
          <cell r="DT70">
            <v>0.6</v>
          </cell>
          <cell r="DU70">
            <v>188675</v>
          </cell>
          <cell r="DW70">
            <v>0</v>
          </cell>
          <cell r="DX70" t="str">
            <v/>
          </cell>
          <cell r="DZ70">
            <v>0.05</v>
          </cell>
          <cell r="EA70">
            <v>44500</v>
          </cell>
          <cell r="EC70">
            <v>0</v>
          </cell>
          <cell r="ED70" t="str">
            <v/>
          </cell>
          <cell r="EF70">
            <v>0</v>
          </cell>
          <cell r="EG70" t="str">
            <v/>
          </cell>
          <cell r="EI70">
            <v>0</v>
          </cell>
          <cell r="EJ70" t="str">
            <v/>
          </cell>
          <cell r="EL70">
            <v>0</v>
          </cell>
          <cell r="EM70" t="str">
            <v/>
          </cell>
          <cell r="EO70">
            <v>0</v>
          </cell>
          <cell r="EP70" t="str">
            <v/>
          </cell>
          <cell r="ER70">
            <v>0</v>
          </cell>
          <cell r="ES70" t="str">
            <v/>
          </cell>
          <cell r="EU70">
            <v>0</v>
          </cell>
          <cell r="EV70" t="str">
            <v/>
          </cell>
          <cell r="EX70">
            <v>0</v>
          </cell>
          <cell r="EY70" t="str">
            <v/>
          </cell>
          <cell r="FA70">
            <v>0</v>
          </cell>
          <cell r="FB70" t="str">
            <v/>
          </cell>
          <cell r="FD70">
            <v>0</v>
          </cell>
          <cell r="FE70" t="str">
            <v/>
          </cell>
          <cell r="FG70">
            <v>0</v>
          </cell>
          <cell r="FH70" t="str">
            <v/>
          </cell>
          <cell r="FJ70">
            <v>0</v>
          </cell>
          <cell r="FK70" t="str">
            <v/>
          </cell>
          <cell r="FM70">
            <v>0</v>
          </cell>
          <cell r="FN70" t="str">
            <v/>
          </cell>
          <cell r="FP70">
            <v>0</v>
          </cell>
          <cell r="FQ70" t="str">
            <v/>
          </cell>
          <cell r="FS70">
            <v>0</v>
          </cell>
          <cell r="FT70" t="str">
            <v/>
          </cell>
          <cell r="FV70">
            <v>0</v>
          </cell>
          <cell r="FW70" t="str">
            <v/>
          </cell>
          <cell r="FY70">
            <v>0</v>
          </cell>
          <cell r="FZ70" t="str">
            <v/>
          </cell>
          <cell r="GB70">
            <v>0</v>
          </cell>
          <cell r="GC70" t="str">
            <v/>
          </cell>
          <cell r="GE70">
            <v>0</v>
          </cell>
          <cell r="GF70" t="str">
            <v/>
          </cell>
          <cell r="GH70">
            <v>0</v>
          </cell>
          <cell r="GI70" t="str">
            <v/>
          </cell>
          <cell r="GK70">
            <v>0</v>
          </cell>
          <cell r="GL70" t="str">
            <v/>
          </cell>
          <cell r="GN70">
            <v>0</v>
          </cell>
          <cell r="GO70" t="str">
            <v/>
          </cell>
          <cell r="GQ70">
            <v>0</v>
          </cell>
          <cell r="GR70" t="str">
            <v/>
          </cell>
          <cell r="GT70">
            <v>0</v>
          </cell>
          <cell r="GU70" t="str">
            <v/>
          </cell>
          <cell r="GW70">
            <v>0</v>
          </cell>
          <cell r="GX70" t="str">
            <v/>
          </cell>
          <cell r="GZ70">
            <v>22.650000000000002</v>
          </cell>
          <cell r="HA70">
            <v>46488.96247240618</v>
          </cell>
          <cell r="HC70">
            <v>0</v>
          </cell>
          <cell r="HD70" t="str">
            <v/>
          </cell>
          <cell r="HF70">
            <v>0</v>
          </cell>
          <cell r="HG70" t="str">
            <v/>
          </cell>
          <cell r="HI70">
            <v>0</v>
          </cell>
          <cell r="HJ70" t="str">
            <v/>
          </cell>
          <cell r="HL70">
            <v>23.799999999999997</v>
          </cell>
          <cell r="HM70">
            <v>33146.218487394959</v>
          </cell>
          <cell r="HO70">
            <v>2.7</v>
          </cell>
          <cell r="HP70">
            <v>43725.92592592592</v>
          </cell>
          <cell r="HR70">
            <v>0</v>
          </cell>
          <cell r="HS70" t="str">
            <v/>
          </cell>
          <cell r="HU70">
            <v>0</v>
          </cell>
          <cell r="HV70" t="str">
            <v/>
          </cell>
        </row>
        <row r="71">
          <cell r="DQ71">
            <v>0.02</v>
          </cell>
          <cell r="DR71">
            <v>72200</v>
          </cell>
          <cell r="DT71">
            <v>0.02</v>
          </cell>
          <cell r="DU71">
            <v>204300</v>
          </cell>
          <cell r="DW71">
            <v>0</v>
          </cell>
          <cell r="DX71" t="str">
            <v/>
          </cell>
          <cell r="DZ71">
            <v>0</v>
          </cell>
          <cell r="EA71" t="str">
            <v/>
          </cell>
          <cell r="EC71">
            <v>0</v>
          </cell>
          <cell r="ED71" t="str">
            <v/>
          </cell>
          <cell r="EF71">
            <v>0</v>
          </cell>
          <cell r="EG71" t="str">
            <v/>
          </cell>
          <cell r="EI71">
            <v>0</v>
          </cell>
          <cell r="EJ71" t="str">
            <v/>
          </cell>
          <cell r="EL71">
            <v>0</v>
          </cell>
          <cell r="EM71" t="str">
            <v/>
          </cell>
          <cell r="EO71">
            <v>0</v>
          </cell>
          <cell r="EP71" t="str">
            <v/>
          </cell>
          <cell r="ER71">
            <v>0</v>
          </cell>
          <cell r="ES71" t="str">
            <v/>
          </cell>
          <cell r="EU71">
            <v>0</v>
          </cell>
          <cell r="EV71" t="str">
            <v/>
          </cell>
          <cell r="EX71">
            <v>0</v>
          </cell>
          <cell r="EY71" t="str">
            <v/>
          </cell>
          <cell r="FA71">
            <v>0</v>
          </cell>
          <cell r="FB71" t="str">
            <v/>
          </cell>
          <cell r="FD71">
            <v>0</v>
          </cell>
          <cell r="FE71" t="str">
            <v/>
          </cell>
          <cell r="FG71">
            <v>0</v>
          </cell>
          <cell r="FH71" t="str">
            <v/>
          </cell>
          <cell r="FJ71">
            <v>0</v>
          </cell>
          <cell r="FK71" t="str">
            <v/>
          </cell>
          <cell r="FM71">
            <v>0</v>
          </cell>
          <cell r="FN71" t="str">
            <v/>
          </cell>
          <cell r="FP71">
            <v>0</v>
          </cell>
          <cell r="FQ71" t="str">
            <v/>
          </cell>
          <cell r="FS71">
            <v>0</v>
          </cell>
          <cell r="FT71" t="str">
            <v/>
          </cell>
          <cell r="FV71">
            <v>0</v>
          </cell>
          <cell r="FW71" t="str">
            <v/>
          </cell>
          <cell r="FY71">
            <v>0</v>
          </cell>
          <cell r="FZ71" t="str">
            <v/>
          </cell>
          <cell r="GB71">
            <v>0</v>
          </cell>
          <cell r="GC71" t="str">
            <v/>
          </cell>
          <cell r="GE71">
            <v>0</v>
          </cell>
          <cell r="GF71" t="str">
            <v/>
          </cell>
          <cell r="GH71">
            <v>0</v>
          </cell>
          <cell r="GI71" t="str">
            <v/>
          </cell>
          <cell r="GK71">
            <v>0</v>
          </cell>
          <cell r="GL71" t="str">
            <v/>
          </cell>
          <cell r="GN71">
            <v>0</v>
          </cell>
          <cell r="GO71" t="str">
            <v/>
          </cell>
          <cell r="GQ71">
            <v>0</v>
          </cell>
          <cell r="GR71" t="str">
            <v/>
          </cell>
          <cell r="GT71">
            <v>0</v>
          </cell>
          <cell r="GU71" t="str">
            <v/>
          </cell>
          <cell r="GW71">
            <v>0</v>
          </cell>
          <cell r="GX71" t="str">
            <v/>
          </cell>
          <cell r="GZ71">
            <v>0</v>
          </cell>
          <cell r="HA71" t="str">
            <v/>
          </cell>
          <cell r="HC71">
            <v>0.04</v>
          </cell>
          <cell r="HD71">
            <v>60500</v>
          </cell>
          <cell r="HF71">
            <v>0</v>
          </cell>
          <cell r="HG71" t="str">
            <v/>
          </cell>
          <cell r="HI71">
            <v>0</v>
          </cell>
          <cell r="HJ71" t="str">
            <v/>
          </cell>
          <cell r="HL71">
            <v>0</v>
          </cell>
          <cell r="HM71" t="str">
            <v/>
          </cell>
          <cell r="HO71">
            <v>0</v>
          </cell>
          <cell r="HP71" t="str">
            <v/>
          </cell>
          <cell r="HR71">
            <v>0</v>
          </cell>
          <cell r="HS71" t="str">
            <v/>
          </cell>
          <cell r="HU71">
            <v>0</v>
          </cell>
          <cell r="HV71" t="str">
            <v/>
          </cell>
        </row>
        <row r="72">
          <cell r="DQ72">
            <v>0.04</v>
          </cell>
          <cell r="DR72">
            <v>57375</v>
          </cell>
          <cell r="DT72">
            <v>0</v>
          </cell>
          <cell r="DU72" t="str">
            <v/>
          </cell>
          <cell r="DW72">
            <v>0</v>
          </cell>
          <cell r="DX72" t="str">
            <v/>
          </cell>
          <cell r="DZ72">
            <v>0</v>
          </cell>
          <cell r="EA72" t="str">
            <v/>
          </cell>
          <cell r="EC72">
            <v>0</v>
          </cell>
          <cell r="ED72" t="str">
            <v/>
          </cell>
          <cell r="EF72">
            <v>0</v>
          </cell>
          <cell r="EG72" t="str">
            <v/>
          </cell>
          <cell r="EI72">
            <v>0</v>
          </cell>
          <cell r="EJ72" t="str">
            <v/>
          </cell>
          <cell r="EL72">
            <v>0</v>
          </cell>
          <cell r="EM72" t="str">
            <v/>
          </cell>
          <cell r="EO72">
            <v>0</v>
          </cell>
          <cell r="EP72" t="str">
            <v/>
          </cell>
          <cell r="ER72">
            <v>0</v>
          </cell>
          <cell r="ES72" t="str">
            <v/>
          </cell>
          <cell r="EU72">
            <v>0</v>
          </cell>
          <cell r="EV72" t="str">
            <v/>
          </cell>
          <cell r="EX72">
            <v>0</v>
          </cell>
          <cell r="EY72" t="str">
            <v/>
          </cell>
          <cell r="FA72">
            <v>0</v>
          </cell>
          <cell r="FB72" t="str">
            <v/>
          </cell>
          <cell r="FD72">
            <v>0</v>
          </cell>
          <cell r="FE72" t="str">
            <v/>
          </cell>
          <cell r="FG72">
            <v>0</v>
          </cell>
          <cell r="FH72" t="str">
            <v/>
          </cell>
          <cell r="FJ72">
            <v>0</v>
          </cell>
          <cell r="FK72" t="str">
            <v/>
          </cell>
          <cell r="FM72">
            <v>0</v>
          </cell>
          <cell r="FN72" t="str">
            <v/>
          </cell>
          <cell r="FP72">
            <v>0</v>
          </cell>
          <cell r="FQ72" t="str">
            <v/>
          </cell>
          <cell r="FS72">
            <v>0</v>
          </cell>
          <cell r="FT72" t="str">
            <v/>
          </cell>
          <cell r="FV72">
            <v>0</v>
          </cell>
          <cell r="FW72" t="str">
            <v/>
          </cell>
          <cell r="FY72">
            <v>0</v>
          </cell>
          <cell r="FZ72" t="str">
            <v/>
          </cell>
          <cell r="GB72">
            <v>0</v>
          </cell>
          <cell r="GC72" t="str">
            <v/>
          </cell>
          <cell r="GE72">
            <v>0</v>
          </cell>
          <cell r="GF72" t="str">
            <v/>
          </cell>
          <cell r="GH72">
            <v>0</v>
          </cell>
          <cell r="GI72" t="str">
            <v/>
          </cell>
          <cell r="GK72">
            <v>0</v>
          </cell>
          <cell r="GL72" t="str">
            <v/>
          </cell>
          <cell r="GN72">
            <v>0</v>
          </cell>
          <cell r="GO72" t="str">
            <v/>
          </cell>
          <cell r="GQ72">
            <v>0</v>
          </cell>
          <cell r="GR72" t="str">
            <v/>
          </cell>
          <cell r="GT72">
            <v>0</v>
          </cell>
          <cell r="GU72" t="str">
            <v/>
          </cell>
          <cell r="GW72">
            <v>0</v>
          </cell>
          <cell r="GX72" t="str">
            <v/>
          </cell>
          <cell r="GZ72">
            <v>0</v>
          </cell>
          <cell r="HA72" t="str">
            <v/>
          </cell>
          <cell r="HC72">
            <v>0</v>
          </cell>
          <cell r="HD72" t="str">
            <v/>
          </cell>
          <cell r="HF72">
            <v>0</v>
          </cell>
          <cell r="HG72" t="str">
            <v/>
          </cell>
          <cell r="HI72">
            <v>0</v>
          </cell>
          <cell r="HJ72" t="str">
            <v/>
          </cell>
          <cell r="HL72">
            <v>0</v>
          </cell>
          <cell r="HM72" t="str">
            <v/>
          </cell>
          <cell r="HO72">
            <v>0</v>
          </cell>
          <cell r="HP72" t="str">
            <v/>
          </cell>
          <cell r="HR72">
            <v>0</v>
          </cell>
          <cell r="HS72" t="str">
            <v/>
          </cell>
          <cell r="HU72">
            <v>0</v>
          </cell>
          <cell r="HV72" t="str">
            <v/>
          </cell>
        </row>
        <row r="73">
          <cell r="DQ73">
            <v>0.01</v>
          </cell>
          <cell r="DR73">
            <v>57400</v>
          </cell>
          <cell r="DT73">
            <v>0</v>
          </cell>
          <cell r="DU73" t="str">
            <v/>
          </cell>
          <cell r="DW73">
            <v>0</v>
          </cell>
          <cell r="DX73" t="str">
            <v/>
          </cell>
          <cell r="DZ73">
            <v>0</v>
          </cell>
          <cell r="EA73" t="str">
            <v/>
          </cell>
          <cell r="EC73">
            <v>0</v>
          </cell>
          <cell r="ED73" t="str">
            <v/>
          </cell>
          <cell r="EF73">
            <v>0</v>
          </cell>
          <cell r="EG73" t="str">
            <v/>
          </cell>
          <cell r="EI73">
            <v>0</v>
          </cell>
          <cell r="EJ73" t="str">
            <v/>
          </cell>
          <cell r="EL73">
            <v>0</v>
          </cell>
          <cell r="EM73" t="str">
            <v/>
          </cell>
          <cell r="EO73">
            <v>0</v>
          </cell>
          <cell r="EP73" t="str">
            <v/>
          </cell>
          <cell r="ER73">
            <v>0</v>
          </cell>
          <cell r="ES73" t="str">
            <v/>
          </cell>
          <cell r="EU73">
            <v>0</v>
          </cell>
          <cell r="EV73" t="str">
            <v/>
          </cell>
          <cell r="EX73">
            <v>0</v>
          </cell>
          <cell r="EY73" t="str">
            <v/>
          </cell>
          <cell r="FA73">
            <v>0</v>
          </cell>
          <cell r="FB73" t="str">
            <v/>
          </cell>
          <cell r="FD73">
            <v>0</v>
          </cell>
          <cell r="FE73" t="str">
            <v/>
          </cell>
          <cell r="FG73">
            <v>0</v>
          </cell>
          <cell r="FH73" t="str">
            <v/>
          </cell>
          <cell r="FJ73">
            <v>0</v>
          </cell>
          <cell r="FK73" t="str">
            <v/>
          </cell>
          <cell r="FM73">
            <v>0</v>
          </cell>
          <cell r="FN73" t="str">
            <v/>
          </cell>
          <cell r="FP73">
            <v>0</v>
          </cell>
          <cell r="FQ73" t="str">
            <v/>
          </cell>
          <cell r="FS73">
            <v>0</v>
          </cell>
          <cell r="FT73" t="str">
            <v/>
          </cell>
          <cell r="FV73">
            <v>0</v>
          </cell>
          <cell r="FW73" t="str">
            <v/>
          </cell>
          <cell r="FY73">
            <v>0</v>
          </cell>
          <cell r="FZ73" t="str">
            <v/>
          </cell>
          <cell r="GB73">
            <v>0</v>
          </cell>
          <cell r="GC73" t="str">
            <v/>
          </cell>
          <cell r="GE73">
            <v>0</v>
          </cell>
          <cell r="GF73" t="str">
            <v/>
          </cell>
          <cell r="GH73">
            <v>0</v>
          </cell>
          <cell r="GI73" t="str">
            <v/>
          </cell>
          <cell r="GK73">
            <v>0</v>
          </cell>
          <cell r="GL73" t="str">
            <v/>
          </cell>
          <cell r="GN73">
            <v>0</v>
          </cell>
          <cell r="GO73" t="str">
            <v/>
          </cell>
          <cell r="GQ73">
            <v>0</v>
          </cell>
          <cell r="GR73" t="str">
            <v/>
          </cell>
          <cell r="GT73">
            <v>0</v>
          </cell>
          <cell r="GU73" t="str">
            <v/>
          </cell>
          <cell r="GW73">
            <v>0</v>
          </cell>
          <cell r="GX73" t="str">
            <v/>
          </cell>
          <cell r="GZ73">
            <v>0.01</v>
          </cell>
          <cell r="HA73">
            <v>40000</v>
          </cell>
          <cell r="HC73">
            <v>0</v>
          </cell>
          <cell r="HD73" t="str">
            <v/>
          </cell>
          <cell r="HF73">
            <v>0</v>
          </cell>
          <cell r="HG73" t="str">
            <v/>
          </cell>
          <cell r="HI73">
            <v>0</v>
          </cell>
          <cell r="HJ73" t="str">
            <v/>
          </cell>
          <cell r="HL73">
            <v>0</v>
          </cell>
          <cell r="HM73" t="str">
            <v/>
          </cell>
          <cell r="HO73">
            <v>0</v>
          </cell>
          <cell r="HP73" t="str">
            <v/>
          </cell>
          <cell r="HR73">
            <v>0</v>
          </cell>
          <cell r="HS73" t="str">
            <v/>
          </cell>
          <cell r="HU73">
            <v>0</v>
          </cell>
          <cell r="HV73" t="str">
            <v/>
          </cell>
        </row>
        <row r="74">
          <cell r="DQ74">
            <v>0.74</v>
          </cell>
          <cell r="DR74">
            <v>55466.21621621622</v>
          </cell>
          <cell r="DT74">
            <v>0.15</v>
          </cell>
          <cell r="DU74">
            <v>94493.333333333343</v>
          </cell>
          <cell r="DW74">
            <v>0</v>
          </cell>
          <cell r="DX74" t="str">
            <v/>
          </cell>
          <cell r="DZ74">
            <v>0</v>
          </cell>
          <cell r="EA74" t="str">
            <v/>
          </cell>
          <cell r="EC74">
            <v>0</v>
          </cell>
          <cell r="ED74" t="str">
            <v/>
          </cell>
          <cell r="EF74">
            <v>0</v>
          </cell>
          <cell r="EG74" t="str">
            <v/>
          </cell>
          <cell r="EI74">
            <v>0</v>
          </cell>
          <cell r="EJ74" t="str">
            <v/>
          </cell>
          <cell r="EL74">
            <v>0.27</v>
          </cell>
          <cell r="EM74">
            <v>55999.999999999993</v>
          </cell>
          <cell r="EO74">
            <v>0</v>
          </cell>
          <cell r="EP74" t="str">
            <v/>
          </cell>
          <cell r="ER74">
            <v>0</v>
          </cell>
          <cell r="ES74" t="str">
            <v/>
          </cell>
          <cell r="EU74">
            <v>0</v>
          </cell>
          <cell r="EV74" t="str">
            <v/>
          </cell>
          <cell r="EX74">
            <v>0</v>
          </cell>
          <cell r="EY74" t="str">
            <v/>
          </cell>
          <cell r="FA74">
            <v>0</v>
          </cell>
          <cell r="FB74" t="str">
            <v/>
          </cell>
          <cell r="FD74">
            <v>0</v>
          </cell>
          <cell r="FE74" t="str">
            <v/>
          </cell>
          <cell r="FG74">
            <v>0</v>
          </cell>
          <cell r="FH74" t="str">
            <v/>
          </cell>
          <cell r="FJ74">
            <v>0</v>
          </cell>
          <cell r="FK74" t="str">
            <v/>
          </cell>
          <cell r="FM74">
            <v>0</v>
          </cell>
          <cell r="FN74" t="str">
            <v/>
          </cell>
          <cell r="FP74">
            <v>0</v>
          </cell>
          <cell r="FQ74" t="str">
            <v/>
          </cell>
          <cell r="FS74">
            <v>0</v>
          </cell>
          <cell r="FT74" t="str">
            <v/>
          </cell>
          <cell r="FV74">
            <v>0</v>
          </cell>
          <cell r="FW74" t="str">
            <v/>
          </cell>
          <cell r="FY74">
            <v>0</v>
          </cell>
          <cell r="FZ74" t="str">
            <v/>
          </cell>
          <cell r="GB74">
            <v>0</v>
          </cell>
          <cell r="GC74" t="str">
            <v/>
          </cell>
          <cell r="GE74">
            <v>0</v>
          </cell>
          <cell r="GF74" t="str">
            <v/>
          </cell>
          <cell r="GH74">
            <v>0</v>
          </cell>
          <cell r="GI74" t="str">
            <v/>
          </cell>
          <cell r="GK74">
            <v>0</v>
          </cell>
          <cell r="GL74" t="str">
            <v/>
          </cell>
          <cell r="GN74">
            <v>0</v>
          </cell>
          <cell r="GO74" t="str">
            <v/>
          </cell>
          <cell r="GQ74">
            <v>0</v>
          </cell>
          <cell r="GR74" t="str">
            <v/>
          </cell>
          <cell r="GT74">
            <v>0</v>
          </cell>
          <cell r="GU74" t="str">
            <v/>
          </cell>
          <cell r="GW74">
            <v>0</v>
          </cell>
          <cell r="GX74" t="str">
            <v/>
          </cell>
          <cell r="GZ74">
            <v>4.26</v>
          </cell>
          <cell r="HA74">
            <v>34073.708920187797</v>
          </cell>
          <cell r="HC74">
            <v>0</v>
          </cell>
          <cell r="HD74" t="str">
            <v/>
          </cell>
          <cell r="HF74">
            <v>0</v>
          </cell>
          <cell r="HG74" t="str">
            <v/>
          </cell>
          <cell r="HI74">
            <v>0</v>
          </cell>
          <cell r="HJ74" t="str">
            <v/>
          </cell>
          <cell r="HL74">
            <v>2.86</v>
          </cell>
          <cell r="HM74">
            <v>30786.013986013986</v>
          </cell>
          <cell r="HO74">
            <v>0</v>
          </cell>
          <cell r="HP74" t="str">
            <v/>
          </cell>
          <cell r="HR74">
            <v>0</v>
          </cell>
          <cell r="HS74" t="str">
            <v/>
          </cell>
          <cell r="HU74">
            <v>0</v>
          </cell>
          <cell r="HV74" t="str">
            <v/>
          </cell>
        </row>
        <row r="75">
          <cell r="DQ75">
            <v>0.02</v>
          </cell>
          <cell r="DR75">
            <v>59150</v>
          </cell>
          <cell r="DT75">
            <v>0</v>
          </cell>
          <cell r="DU75" t="str">
            <v/>
          </cell>
          <cell r="DW75">
            <v>0</v>
          </cell>
          <cell r="DX75" t="str">
            <v/>
          </cell>
          <cell r="DZ75">
            <v>0</v>
          </cell>
          <cell r="EA75" t="str">
            <v/>
          </cell>
          <cell r="EC75">
            <v>0</v>
          </cell>
          <cell r="ED75" t="str">
            <v/>
          </cell>
          <cell r="EF75">
            <v>0</v>
          </cell>
          <cell r="EG75" t="str">
            <v/>
          </cell>
          <cell r="EI75">
            <v>0</v>
          </cell>
          <cell r="EJ75" t="str">
            <v/>
          </cell>
          <cell r="EL75">
            <v>0</v>
          </cell>
          <cell r="EM75" t="str">
            <v/>
          </cell>
          <cell r="EO75">
            <v>0</v>
          </cell>
          <cell r="EP75" t="str">
            <v/>
          </cell>
          <cell r="ER75">
            <v>0</v>
          </cell>
          <cell r="ES75" t="str">
            <v/>
          </cell>
          <cell r="EU75">
            <v>0</v>
          </cell>
          <cell r="EV75" t="str">
            <v/>
          </cell>
          <cell r="EX75">
            <v>0</v>
          </cell>
          <cell r="EY75" t="str">
            <v/>
          </cell>
          <cell r="FA75">
            <v>0</v>
          </cell>
          <cell r="FB75" t="str">
            <v/>
          </cell>
          <cell r="FD75">
            <v>0</v>
          </cell>
          <cell r="FE75" t="str">
            <v/>
          </cell>
          <cell r="FG75">
            <v>0</v>
          </cell>
          <cell r="FH75" t="str">
            <v/>
          </cell>
          <cell r="FJ75">
            <v>0</v>
          </cell>
          <cell r="FK75" t="str">
            <v/>
          </cell>
          <cell r="FM75">
            <v>0</v>
          </cell>
          <cell r="FN75" t="str">
            <v/>
          </cell>
          <cell r="FP75">
            <v>0</v>
          </cell>
          <cell r="FQ75" t="str">
            <v/>
          </cell>
          <cell r="FS75">
            <v>0</v>
          </cell>
          <cell r="FT75" t="str">
            <v/>
          </cell>
          <cell r="FV75">
            <v>0</v>
          </cell>
          <cell r="FW75" t="str">
            <v/>
          </cell>
          <cell r="FY75">
            <v>0</v>
          </cell>
          <cell r="FZ75" t="str">
            <v/>
          </cell>
          <cell r="GB75">
            <v>0</v>
          </cell>
          <cell r="GC75" t="str">
            <v/>
          </cell>
          <cell r="GE75">
            <v>0</v>
          </cell>
          <cell r="GF75" t="str">
            <v/>
          </cell>
          <cell r="GH75">
            <v>0</v>
          </cell>
          <cell r="GI75" t="str">
            <v/>
          </cell>
          <cell r="GK75">
            <v>0</v>
          </cell>
          <cell r="GL75" t="str">
            <v/>
          </cell>
          <cell r="GN75">
            <v>0</v>
          </cell>
          <cell r="GO75" t="str">
            <v/>
          </cell>
          <cell r="GQ75">
            <v>0</v>
          </cell>
          <cell r="GR75" t="str">
            <v/>
          </cell>
          <cell r="GT75">
            <v>0</v>
          </cell>
          <cell r="GU75" t="str">
            <v/>
          </cell>
          <cell r="GW75">
            <v>0</v>
          </cell>
          <cell r="GX75" t="str">
            <v/>
          </cell>
          <cell r="GZ75">
            <v>0</v>
          </cell>
          <cell r="HA75" t="str">
            <v/>
          </cell>
          <cell r="HC75">
            <v>0</v>
          </cell>
          <cell r="HD75" t="str">
            <v/>
          </cell>
          <cell r="HF75">
            <v>0</v>
          </cell>
          <cell r="HG75" t="str">
            <v/>
          </cell>
          <cell r="HI75">
            <v>0</v>
          </cell>
          <cell r="HJ75" t="str">
            <v/>
          </cell>
          <cell r="HL75">
            <v>0</v>
          </cell>
          <cell r="HM75" t="str">
            <v/>
          </cell>
          <cell r="HO75">
            <v>0</v>
          </cell>
          <cell r="HP75" t="str">
            <v/>
          </cell>
          <cell r="HR75">
            <v>0</v>
          </cell>
          <cell r="HS75" t="str">
            <v/>
          </cell>
          <cell r="HU75">
            <v>0</v>
          </cell>
          <cell r="HV75" t="str">
            <v/>
          </cell>
        </row>
        <row r="76">
          <cell r="DQ76">
            <v>0</v>
          </cell>
          <cell r="DR76" t="str">
            <v/>
          </cell>
          <cell r="DT76">
            <v>0</v>
          </cell>
          <cell r="DU76" t="str">
            <v/>
          </cell>
          <cell r="DW76">
            <v>0</v>
          </cell>
          <cell r="DX76" t="str">
            <v/>
          </cell>
          <cell r="DZ76">
            <v>0</v>
          </cell>
          <cell r="EA76" t="str">
            <v/>
          </cell>
          <cell r="EC76">
            <v>0</v>
          </cell>
          <cell r="ED76" t="str">
            <v/>
          </cell>
          <cell r="EF76">
            <v>0</v>
          </cell>
          <cell r="EG76" t="str">
            <v/>
          </cell>
          <cell r="EI76">
            <v>0</v>
          </cell>
          <cell r="EJ76" t="str">
            <v/>
          </cell>
          <cell r="EL76">
            <v>0</v>
          </cell>
          <cell r="EM76" t="str">
            <v/>
          </cell>
          <cell r="EO76">
            <v>0</v>
          </cell>
          <cell r="EP76" t="str">
            <v/>
          </cell>
          <cell r="ER76">
            <v>0</v>
          </cell>
          <cell r="ES76" t="str">
            <v/>
          </cell>
          <cell r="EU76">
            <v>0</v>
          </cell>
          <cell r="EV76" t="str">
            <v/>
          </cell>
          <cell r="EX76">
            <v>0</v>
          </cell>
          <cell r="EY76" t="str">
            <v/>
          </cell>
          <cell r="FA76">
            <v>0</v>
          </cell>
          <cell r="FB76" t="str">
            <v/>
          </cell>
          <cell r="FD76">
            <v>0</v>
          </cell>
          <cell r="FE76" t="str">
            <v/>
          </cell>
          <cell r="FG76">
            <v>0</v>
          </cell>
          <cell r="FH76" t="str">
            <v/>
          </cell>
          <cell r="FJ76">
            <v>0</v>
          </cell>
          <cell r="FK76" t="str">
            <v/>
          </cell>
          <cell r="FM76">
            <v>0</v>
          </cell>
          <cell r="FN76" t="str">
            <v/>
          </cell>
          <cell r="FP76">
            <v>0</v>
          </cell>
          <cell r="FQ76" t="str">
            <v/>
          </cell>
          <cell r="FS76">
            <v>0</v>
          </cell>
          <cell r="FT76" t="str">
            <v/>
          </cell>
          <cell r="FV76">
            <v>0</v>
          </cell>
          <cell r="FW76" t="str">
            <v/>
          </cell>
          <cell r="FY76">
            <v>0</v>
          </cell>
          <cell r="FZ76" t="str">
            <v/>
          </cell>
          <cell r="GB76">
            <v>0</v>
          </cell>
          <cell r="GC76" t="str">
            <v/>
          </cell>
          <cell r="GE76">
            <v>0</v>
          </cell>
          <cell r="GF76" t="str">
            <v/>
          </cell>
          <cell r="GH76">
            <v>0</v>
          </cell>
          <cell r="GI76" t="str">
            <v/>
          </cell>
          <cell r="GK76">
            <v>0</v>
          </cell>
          <cell r="GL76" t="str">
            <v/>
          </cell>
          <cell r="GN76">
            <v>0</v>
          </cell>
          <cell r="GO76" t="str">
            <v/>
          </cell>
          <cell r="GQ76">
            <v>0</v>
          </cell>
          <cell r="GR76" t="str">
            <v/>
          </cell>
          <cell r="GT76">
            <v>0</v>
          </cell>
          <cell r="GU76" t="str">
            <v/>
          </cell>
          <cell r="GW76">
            <v>0</v>
          </cell>
          <cell r="GX76" t="str">
            <v/>
          </cell>
          <cell r="GZ76">
            <v>0</v>
          </cell>
          <cell r="HA76" t="str">
            <v/>
          </cell>
          <cell r="HC76">
            <v>0</v>
          </cell>
          <cell r="HD76" t="str">
            <v/>
          </cell>
          <cell r="HF76">
            <v>0</v>
          </cell>
          <cell r="HG76" t="str">
            <v/>
          </cell>
          <cell r="HI76">
            <v>0</v>
          </cell>
          <cell r="HJ76" t="str">
            <v/>
          </cell>
          <cell r="HL76">
            <v>0.13</v>
          </cell>
          <cell r="HM76">
            <v>52338.461538461539</v>
          </cell>
          <cell r="HO76">
            <v>0</v>
          </cell>
          <cell r="HP76" t="str">
            <v/>
          </cell>
          <cell r="HR76">
            <v>0</v>
          </cell>
          <cell r="HS76" t="str">
            <v/>
          </cell>
          <cell r="HU76">
            <v>0</v>
          </cell>
          <cell r="HV76" t="str">
            <v/>
          </cell>
        </row>
        <row r="77">
          <cell r="DQ77">
            <v>0</v>
          </cell>
          <cell r="DR77" t="str">
            <v/>
          </cell>
          <cell r="DT77">
            <v>0</v>
          </cell>
          <cell r="DU77" t="str">
            <v/>
          </cell>
          <cell r="DW77">
            <v>0</v>
          </cell>
          <cell r="DX77" t="str">
            <v/>
          </cell>
          <cell r="DZ77">
            <v>0</v>
          </cell>
          <cell r="EA77" t="str">
            <v/>
          </cell>
          <cell r="EC77">
            <v>0</v>
          </cell>
          <cell r="ED77" t="str">
            <v/>
          </cell>
          <cell r="EF77">
            <v>0</v>
          </cell>
          <cell r="EG77" t="str">
            <v/>
          </cell>
          <cell r="EI77">
            <v>0</v>
          </cell>
          <cell r="EJ77" t="str">
            <v/>
          </cell>
          <cell r="EL77">
            <v>0</v>
          </cell>
          <cell r="EM77" t="str">
            <v/>
          </cell>
          <cell r="EO77">
            <v>0</v>
          </cell>
          <cell r="EP77" t="str">
            <v/>
          </cell>
          <cell r="ER77">
            <v>0</v>
          </cell>
          <cell r="ES77" t="str">
            <v/>
          </cell>
          <cell r="EU77">
            <v>0</v>
          </cell>
          <cell r="EV77" t="str">
            <v/>
          </cell>
          <cell r="EX77">
            <v>0</v>
          </cell>
          <cell r="EY77" t="str">
            <v/>
          </cell>
          <cell r="FA77">
            <v>0</v>
          </cell>
          <cell r="FB77" t="str">
            <v/>
          </cell>
          <cell r="FD77">
            <v>0</v>
          </cell>
          <cell r="FE77" t="str">
            <v/>
          </cell>
          <cell r="FG77">
            <v>0</v>
          </cell>
          <cell r="FH77" t="str">
            <v/>
          </cell>
          <cell r="FJ77">
            <v>0</v>
          </cell>
          <cell r="FK77" t="str">
            <v/>
          </cell>
          <cell r="FM77">
            <v>0</v>
          </cell>
          <cell r="FN77" t="str">
            <v/>
          </cell>
          <cell r="FP77">
            <v>0</v>
          </cell>
          <cell r="FQ77" t="str">
            <v/>
          </cell>
          <cell r="FS77">
            <v>0</v>
          </cell>
          <cell r="FT77" t="str">
            <v/>
          </cell>
          <cell r="FV77">
            <v>0</v>
          </cell>
          <cell r="FW77" t="str">
            <v/>
          </cell>
          <cell r="FY77">
            <v>0</v>
          </cell>
          <cell r="FZ77" t="str">
            <v/>
          </cell>
          <cell r="GB77">
            <v>0</v>
          </cell>
          <cell r="GC77" t="str">
            <v/>
          </cell>
          <cell r="GE77">
            <v>0</v>
          </cell>
          <cell r="GF77" t="str">
            <v/>
          </cell>
          <cell r="GH77">
            <v>0</v>
          </cell>
          <cell r="GI77" t="str">
            <v/>
          </cell>
          <cell r="GK77">
            <v>0</v>
          </cell>
          <cell r="GL77" t="str">
            <v/>
          </cell>
          <cell r="GN77">
            <v>0</v>
          </cell>
          <cell r="GO77" t="str">
            <v/>
          </cell>
          <cell r="GQ77">
            <v>0</v>
          </cell>
          <cell r="GR77" t="str">
            <v/>
          </cell>
          <cell r="GT77">
            <v>0</v>
          </cell>
          <cell r="GU77" t="str">
            <v/>
          </cell>
          <cell r="GW77">
            <v>0</v>
          </cell>
          <cell r="GX77" t="str">
            <v/>
          </cell>
          <cell r="GZ77">
            <v>0</v>
          </cell>
          <cell r="HA77" t="str">
            <v/>
          </cell>
          <cell r="HC77">
            <v>0</v>
          </cell>
          <cell r="HD77" t="str">
            <v/>
          </cell>
          <cell r="HF77">
            <v>0</v>
          </cell>
          <cell r="HG77" t="str">
            <v/>
          </cell>
          <cell r="HI77">
            <v>0</v>
          </cell>
          <cell r="HJ77" t="str">
            <v/>
          </cell>
          <cell r="HL77">
            <v>0</v>
          </cell>
          <cell r="HM77" t="str">
            <v/>
          </cell>
          <cell r="HO77">
            <v>0</v>
          </cell>
          <cell r="HP77" t="str">
            <v/>
          </cell>
          <cell r="HR77">
            <v>0</v>
          </cell>
          <cell r="HS77" t="str">
            <v/>
          </cell>
          <cell r="HU77">
            <v>0</v>
          </cell>
          <cell r="HV77" t="str">
            <v/>
          </cell>
        </row>
        <row r="78">
          <cell r="DQ78">
            <v>0</v>
          </cell>
          <cell r="DR78" t="str">
            <v/>
          </cell>
          <cell r="DT78">
            <v>0</v>
          </cell>
          <cell r="DU78" t="str">
            <v/>
          </cell>
          <cell r="DW78">
            <v>0</v>
          </cell>
          <cell r="DX78" t="str">
            <v/>
          </cell>
          <cell r="DZ78">
            <v>0</v>
          </cell>
          <cell r="EA78" t="str">
            <v/>
          </cell>
          <cell r="EC78">
            <v>0</v>
          </cell>
          <cell r="ED78" t="str">
            <v/>
          </cell>
          <cell r="EF78">
            <v>0</v>
          </cell>
          <cell r="EG78" t="str">
            <v/>
          </cell>
          <cell r="EI78">
            <v>0</v>
          </cell>
          <cell r="EJ78" t="str">
            <v/>
          </cell>
          <cell r="EL78">
            <v>0</v>
          </cell>
          <cell r="EM78" t="str">
            <v/>
          </cell>
          <cell r="EO78">
            <v>0</v>
          </cell>
          <cell r="EP78" t="str">
            <v/>
          </cell>
          <cell r="ER78">
            <v>0</v>
          </cell>
          <cell r="ES78" t="str">
            <v/>
          </cell>
          <cell r="EU78">
            <v>0</v>
          </cell>
          <cell r="EV78" t="str">
            <v/>
          </cell>
          <cell r="EX78">
            <v>0</v>
          </cell>
          <cell r="EY78" t="str">
            <v/>
          </cell>
          <cell r="FA78">
            <v>0</v>
          </cell>
          <cell r="FB78" t="str">
            <v/>
          </cell>
          <cell r="FD78">
            <v>0</v>
          </cell>
          <cell r="FE78" t="str">
            <v/>
          </cell>
          <cell r="FG78">
            <v>0</v>
          </cell>
          <cell r="FH78" t="str">
            <v/>
          </cell>
          <cell r="FJ78">
            <v>0</v>
          </cell>
          <cell r="FK78" t="str">
            <v/>
          </cell>
          <cell r="FM78">
            <v>0</v>
          </cell>
          <cell r="FN78" t="str">
            <v/>
          </cell>
          <cell r="FP78">
            <v>0</v>
          </cell>
          <cell r="FQ78" t="str">
            <v/>
          </cell>
          <cell r="FS78">
            <v>0</v>
          </cell>
          <cell r="FT78" t="str">
            <v/>
          </cell>
          <cell r="FV78">
            <v>0</v>
          </cell>
          <cell r="FW78" t="str">
            <v/>
          </cell>
          <cell r="FY78">
            <v>0</v>
          </cell>
          <cell r="FZ78" t="str">
            <v/>
          </cell>
          <cell r="GB78">
            <v>0</v>
          </cell>
          <cell r="GC78" t="str">
            <v/>
          </cell>
          <cell r="GE78">
            <v>0</v>
          </cell>
          <cell r="GF78" t="str">
            <v/>
          </cell>
          <cell r="GH78">
            <v>0</v>
          </cell>
          <cell r="GI78" t="str">
            <v/>
          </cell>
          <cell r="GK78">
            <v>0</v>
          </cell>
          <cell r="GL78" t="str">
            <v/>
          </cell>
          <cell r="GN78">
            <v>0</v>
          </cell>
          <cell r="GO78" t="str">
            <v/>
          </cell>
          <cell r="GQ78">
            <v>0</v>
          </cell>
          <cell r="GR78" t="str">
            <v/>
          </cell>
          <cell r="GT78">
            <v>0</v>
          </cell>
          <cell r="GU78" t="str">
            <v/>
          </cell>
          <cell r="GW78">
            <v>0</v>
          </cell>
          <cell r="GX78" t="str">
            <v/>
          </cell>
          <cell r="GZ78">
            <v>0</v>
          </cell>
          <cell r="HA78" t="str">
            <v/>
          </cell>
          <cell r="HC78">
            <v>0</v>
          </cell>
          <cell r="HD78" t="str">
            <v/>
          </cell>
          <cell r="HF78">
            <v>0</v>
          </cell>
          <cell r="HG78" t="str">
            <v/>
          </cell>
          <cell r="HI78">
            <v>0</v>
          </cell>
          <cell r="HJ78" t="str">
            <v/>
          </cell>
          <cell r="HL78">
            <v>0</v>
          </cell>
          <cell r="HM78" t="str">
            <v/>
          </cell>
          <cell r="HO78">
            <v>0</v>
          </cell>
          <cell r="HP78" t="str">
            <v/>
          </cell>
          <cell r="HR78">
            <v>0</v>
          </cell>
          <cell r="HS78" t="str">
            <v/>
          </cell>
          <cell r="HU78">
            <v>0</v>
          </cell>
          <cell r="HV78" t="str">
            <v/>
          </cell>
        </row>
        <row r="79">
          <cell r="DQ79">
            <v>0</v>
          </cell>
          <cell r="DR79" t="str">
            <v/>
          </cell>
          <cell r="DT79">
            <v>0</v>
          </cell>
          <cell r="DU79" t="str">
            <v/>
          </cell>
          <cell r="DW79">
            <v>0</v>
          </cell>
          <cell r="DX79" t="str">
            <v/>
          </cell>
          <cell r="DZ79">
            <v>0</v>
          </cell>
          <cell r="EA79" t="str">
            <v/>
          </cell>
          <cell r="EC79">
            <v>0</v>
          </cell>
          <cell r="ED79" t="str">
            <v/>
          </cell>
          <cell r="EF79">
            <v>0</v>
          </cell>
          <cell r="EG79" t="str">
            <v/>
          </cell>
          <cell r="EI79">
            <v>0</v>
          </cell>
          <cell r="EJ79" t="str">
            <v/>
          </cell>
          <cell r="EL79">
            <v>0</v>
          </cell>
          <cell r="EM79" t="str">
            <v/>
          </cell>
          <cell r="EO79">
            <v>0</v>
          </cell>
          <cell r="EP79" t="str">
            <v/>
          </cell>
          <cell r="ER79">
            <v>0</v>
          </cell>
          <cell r="ES79" t="str">
            <v/>
          </cell>
          <cell r="EU79">
            <v>0</v>
          </cell>
          <cell r="EV79" t="str">
            <v/>
          </cell>
          <cell r="EX79">
            <v>0</v>
          </cell>
          <cell r="EY79" t="str">
            <v/>
          </cell>
          <cell r="FA79">
            <v>0</v>
          </cell>
          <cell r="FB79" t="str">
            <v/>
          </cell>
          <cell r="FD79">
            <v>0</v>
          </cell>
          <cell r="FE79" t="str">
            <v/>
          </cell>
          <cell r="FG79">
            <v>0</v>
          </cell>
          <cell r="FH79" t="str">
            <v/>
          </cell>
          <cell r="FJ79">
            <v>0</v>
          </cell>
          <cell r="FK79" t="str">
            <v/>
          </cell>
          <cell r="FM79">
            <v>0</v>
          </cell>
          <cell r="FN79" t="str">
            <v/>
          </cell>
          <cell r="FP79">
            <v>0</v>
          </cell>
          <cell r="FQ79" t="str">
            <v/>
          </cell>
          <cell r="FS79">
            <v>0</v>
          </cell>
          <cell r="FT79" t="str">
            <v/>
          </cell>
          <cell r="FV79">
            <v>0</v>
          </cell>
          <cell r="FW79" t="str">
            <v/>
          </cell>
          <cell r="FY79">
            <v>0</v>
          </cell>
          <cell r="FZ79" t="str">
            <v/>
          </cell>
          <cell r="GB79">
            <v>0</v>
          </cell>
          <cell r="GC79" t="str">
            <v/>
          </cell>
          <cell r="GE79">
            <v>0</v>
          </cell>
          <cell r="GF79" t="str">
            <v/>
          </cell>
          <cell r="GH79">
            <v>0</v>
          </cell>
          <cell r="GI79" t="str">
            <v/>
          </cell>
          <cell r="GK79">
            <v>0</v>
          </cell>
          <cell r="GL79" t="str">
            <v/>
          </cell>
          <cell r="GN79">
            <v>0</v>
          </cell>
          <cell r="GO79" t="str">
            <v/>
          </cell>
          <cell r="GQ79">
            <v>0</v>
          </cell>
          <cell r="GR79" t="str">
            <v/>
          </cell>
          <cell r="GT79">
            <v>0</v>
          </cell>
          <cell r="GU79" t="str">
            <v/>
          </cell>
          <cell r="GW79">
            <v>0</v>
          </cell>
          <cell r="GX79" t="str">
            <v/>
          </cell>
          <cell r="GZ79">
            <v>0</v>
          </cell>
          <cell r="HA79" t="str">
            <v/>
          </cell>
          <cell r="HC79">
            <v>2.2400000000000002</v>
          </cell>
          <cell r="HD79">
            <v>45282.142857142855</v>
          </cell>
          <cell r="HF79">
            <v>0</v>
          </cell>
          <cell r="HG79" t="str">
            <v/>
          </cell>
          <cell r="HI79">
            <v>0</v>
          </cell>
          <cell r="HJ79" t="str">
            <v/>
          </cell>
          <cell r="HL79">
            <v>12.46</v>
          </cell>
          <cell r="HM79">
            <v>29894.703049759228</v>
          </cell>
          <cell r="HO79">
            <v>0</v>
          </cell>
          <cell r="HP79" t="str">
            <v/>
          </cell>
          <cell r="HR79">
            <v>0</v>
          </cell>
          <cell r="HS79" t="str">
            <v/>
          </cell>
          <cell r="HU79">
            <v>0</v>
          </cell>
          <cell r="HV79" t="str">
            <v/>
          </cell>
        </row>
        <row r="80">
          <cell r="DQ80">
            <v>0</v>
          </cell>
          <cell r="DR80" t="str">
            <v/>
          </cell>
          <cell r="DT80">
            <v>0</v>
          </cell>
          <cell r="DU80" t="str">
            <v/>
          </cell>
          <cell r="DW80">
            <v>0</v>
          </cell>
          <cell r="DX80" t="str">
            <v/>
          </cell>
          <cell r="DZ80">
            <v>0</v>
          </cell>
          <cell r="EA80" t="str">
            <v/>
          </cell>
          <cell r="EC80">
            <v>0</v>
          </cell>
          <cell r="ED80" t="str">
            <v/>
          </cell>
          <cell r="EF80">
            <v>0</v>
          </cell>
          <cell r="EG80" t="str">
            <v/>
          </cell>
          <cell r="EI80">
            <v>0</v>
          </cell>
          <cell r="EJ80" t="str">
            <v/>
          </cell>
          <cell r="EL80">
            <v>0</v>
          </cell>
          <cell r="EM80" t="str">
            <v/>
          </cell>
          <cell r="EO80">
            <v>0</v>
          </cell>
          <cell r="EP80" t="str">
            <v/>
          </cell>
          <cell r="ER80">
            <v>0</v>
          </cell>
          <cell r="ES80" t="str">
            <v/>
          </cell>
          <cell r="EU80">
            <v>0</v>
          </cell>
          <cell r="EV80" t="str">
            <v/>
          </cell>
          <cell r="EX80">
            <v>0</v>
          </cell>
          <cell r="EY80" t="str">
            <v/>
          </cell>
          <cell r="FA80">
            <v>0</v>
          </cell>
          <cell r="FB80" t="str">
            <v/>
          </cell>
          <cell r="FD80">
            <v>0</v>
          </cell>
          <cell r="FE80" t="str">
            <v/>
          </cell>
          <cell r="FG80">
            <v>0</v>
          </cell>
          <cell r="FH80" t="str">
            <v/>
          </cell>
          <cell r="FJ80">
            <v>0</v>
          </cell>
          <cell r="FK80" t="str">
            <v/>
          </cell>
          <cell r="FM80">
            <v>0</v>
          </cell>
          <cell r="FN80" t="str">
            <v/>
          </cell>
          <cell r="FP80">
            <v>0</v>
          </cell>
          <cell r="FQ80" t="str">
            <v/>
          </cell>
          <cell r="FS80">
            <v>0</v>
          </cell>
          <cell r="FT80" t="str">
            <v/>
          </cell>
          <cell r="FV80">
            <v>0</v>
          </cell>
          <cell r="FW80" t="str">
            <v/>
          </cell>
          <cell r="FY80">
            <v>0</v>
          </cell>
          <cell r="FZ80" t="str">
            <v/>
          </cell>
          <cell r="GB80">
            <v>0</v>
          </cell>
          <cell r="GC80" t="str">
            <v/>
          </cell>
          <cell r="GE80">
            <v>0</v>
          </cell>
          <cell r="GF80" t="str">
            <v/>
          </cell>
          <cell r="GH80">
            <v>0</v>
          </cell>
          <cell r="GI80" t="str">
            <v/>
          </cell>
          <cell r="GK80">
            <v>0</v>
          </cell>
          <cell r="GL80" t="str">
            <v/>
          </cell>
          <cell r="GN80">
            <v>0</v>
          </cell>
          <cell r="GO80" t="str">
            <v/>
          </cell>
          <cell r="GQ80">
            <v>0</v>
          </cell>
          <cell r="GR80" t="str">
            <v/>
          </cell>
          <cell r="GT80">
            <v>0</v>
          </cell>
          <cell r="GU80" t="str">
            <v/>
          </cell>
          <cell r="GW80">
            <v>0</v>
          </cell>
          <cell r="GX80" t="str">
            <v/>
          </cell>
          <cell r="GZ80">
            <v>0</v>
          </cell>
          <cell r="HA80" t="str">
            <v/>
          </cell>
          <cell r="HC80">
            <v>1.2</v>
          </cell>
          <cell r="HD80">
            <v>38393.333333333336</v>
          </cell>
          <cell r="HF80">
            <v>0</v>
          </cell>
          <cell r="HG80" t="str">
            <v/>
          </cell>
          <cell r="HI80">
            <v>0</v>
          </cell>
          <cell r="HJ80" t="str">
            <v/>
          </cell>
          <cell r="HL80">
            <v>0</v>
          </cell>
          <cell r="HM80" t="str">
            <v/>
          </cell>
          <cell r="HO80">
            <v>0</v>
          </cell>
          <cell r="HP80" t="str">
            <v/>
          </cell>
          <cell r="HR80">
            <v>0</v>
          </cell>
          <cell r="HS80" t="str">
            <v/>
          </cell>
          <cell r="HU80">
            <v>0</v>
          </cell>
          <cell r="HV80" t="str">
            <v/>
          </cell>
        </row>
        <row r="81">
          <cell r="DQ81">
            <v>0</v>
          </cell>
          <cell r="DR81" t="str">
            <v/>
          </cell>
          <cell r="DT81">
            <v>0</v>
          </cell>
          <cell r="DU81" t="str">
            <v/>
          </cell>
          <cell r="DW81">
            <v>0</v>
          </cell>
          <cell r="DX81" t="str">
            <v/>
          </cell>
          <cell r="DZ81">
            <v>0</v>
          </cell>
          <cell r="EA81" t="str">
            <v/>
          </cell>
          <cell r="EC81">
            <v>0</v>
          </cell>
          <cell r="ED81" t="str">
            <v/>
          </cell>
          <cell r="EF81">
            <v>0</v>
          </cell>
          <cell r="EG81" t="str">
            <v/>
          </cell>
          <cell r="EI81">
            <v>0</v>
          </cell>
          <cell r="EJ81" t="str">
            <v/>
          </cell>
          <cell r="EL81">
            <v>0</v>
          </cell>
          <cell r="EM81" t="str">
            <v/>
          </cell>
          <cell r="EO81">
            <v>0</v>
          </cell>
          <cell r="EP81" t="str">
            <v/>
          </cell>
          <cell r="ER81">
            <v>0</v>
          </cell>
          <cell r="ES81" t="str">
            <v/>
          </cell>
          <cell r="EU81">
            <v>0</v>
          </cell>
          <cell r="EV81" t="str">
            <v/>
          </cell>
          <cell r="EX81">
            <v>0</v>
          </cell>
          <cell r="EY81" t="str">
            <v/>
          </cell>
          <cell r="FA81">
            <v>0</v>
          </cell>
          <cell r="FB81" t="str">
            <v/>
          </cell>
          <cell r="FD81">
            <v>0</v>
          </cell>
          <cell r="FE81" t="str">
            <v/>
          </cell>
          <cell r="FG81">
            <v>0</v>
          </cell>
          <cell r="FH81" t="str">
            <v/>
          </cell>
          <cell r="FJ81">
            <v>0</v>
          </cell>
          <cell r="FK81" t="str">
            <v/>
          </cell>
          <cell r="FM81">
            <v>0</v>
          </cell>
          <cell r="FN81" t="str">
            <v/>
          </cell>
          <cell r="FP81">
            <v>0</v>
          </cell>
          <cell r="FQ81" t="str">
            <v/>
          </cell>
          <cell r="FS81">
            <v>0</v>
          </cell>
          <cell r="FT81" t="str">
            <v/>
          </cell>
          <cell r="FV81">
            <v>0</v>
          </cell>
          <cell r="FW81" t="str">
            <v/>
          </cell>
          <cell r="FY81">
            <v>0</v>
          </cell>
          <cell r="FZ81" t="str">
            <v/>
          </cell>
          <cell r="GB81">
            <v>0</v>
          </cell>
          <cell r="GC81" t="str">
            <v/>
          </cell>
          <cell r="GE81">
            <v>0</v>
          </cell>
          <cell r="GF81" t="str">
            <v/>
          </cell>
          <cell r="GH81">
            <v>0</v>
          </cell>
          <cell r="GI81" t="str">
            <v/>
          </cell>
          <cell r="GK81">
            <v>0</v>
          </cell>
          <cell r="GL81" t="str">
            <v/>
          </cell>
          <cell r="GN81">
            <v>0</v>
          </cell>
          <cell r="GO81" t="str">
            <v/>
          </cell>
          <cell r="GQ81">
            <v>0</v>
          </cell>
          <cell r="GR81" t="str">
            <v/>
          </cell>
          <cell r="GT81">
            <v>0</v>
          </cell>
          <cell r="GU81" t="str">
            <v/>
          </cell>
          <cell r="GW81">
            <v>0</v>
          </cell>
          <cell r="GX81" t="str">
            <v/>
          </cell>
          <cell r="GZ81">
            <v>0</v>
          </cell>
          <cell r="HA81" t="str">
            <v/>
          </cell>
          <cell r="HC81">
            <v>0</v>
          </cell>
          <cell r="HD81" t="str">
            <v/>
          </cell>
          <cell r="HF81">
            <v>0</v>
          </cell>
          <cell r="HG81" t="str">
            <v/>
          </cell>
          <cell r="HI81">
            <v>0</v>
          </cell>
          <cell r="HJ81" t="str">
            <v/>
          </cell>
          <cell r="HL81">
            <v>0.11</v>
          </cell>
          <cell r="HM81">
            <v>27563.636363636364</v>
          </cell>
          <cell r="HO81">
            <v>0</v>
          </cell>
          <cell r="HP81" t="str">
            <v/>
          </cell>
          <cell r="HR81">
            <v>0</v>
          </cell>
          <cell r="HS81" t="str">
            <v/>
          </cell>
          <cell r="HU81">
            <v>0</v>
          </cell>
          <cell r="HV81" t="str">
            <v/>
          </cell>
        </row>
        <row r="82">
          <cell r="DQ82">
            <v>0</v>
          </cell>
          <cell r="DR82" t="str">
            <v/>
          </cell>
          <cell r="DT82">
            <v>0</v>
          </cell>
          <cell r="DU82" t="str">
            <v/>
          </cell>
          <cell r="DW82">
            <v>0</v>
          </cell>
          <cell r="DX82" t="str">
            <v/>
          </cell>
          <cell r="DZ82">
            <v>0</v>
          </cell>
          <cell r="EA82" t="str">
            <v/>
          </cell>
          <cell r="EC82">
            <v>0</v>
          </cell>
          <cell r="ED82" t="str">
            <v/>
          </cell>
          <cell r="EF82">
            <v>0</v>
          </cell>
          <cell r="EG82" t="str">
            <v/>
          </cell>
          <cell r="EI82">
            <v>0</v>
          </cell>
          <cell r="EJ82" t="str">
            <v/>
          </cell>
          <cell r="EL82">
            <v>0</v>
          </cell>
          <cell r="EM82" t="str">
            <v/>
          </cell>
          <cell r="EO82">
            <v>0</v>
          </cell>
          <cell r="EP82" t="str">
            <v/>
          </cell>
          <cell r="ER82">
            <v>0</v>
          </cell>
          <cell r="ES82" t="str">
            <v/>
          </cell>
          <cell r="EU82">
            <v>0</v>
          </cell>
          <cell r="EV82" t="str">
            <v/>
          </cell>
          <cell r="EX82">
            <v>0</v>
          </cell>
          <cell r="EY82" t="str">
            <v/>
          </cell>
          <cell r="FA82">
            <v>0</v>
          </cell>
          <cell r="FB82" t="str">
            <v/>
          </cell>
          <cell r="FD82">
            <v>0</v>
          </cell>
          <cell r="FE82" t="str">
            <v/>
          </cell>
          <cell r="FG82">
            <v>0</v>
          </cell>
          <cell r="FH82" t="str">
            <v/>
          </cell>
          <cell r="FJ82">
            <v>0</v>
          </cell>
          <cell r="FK82" t="str">
            <v/>
          </cell>
          <cell r="FM82">
            <v>0</v>
          </cell>
          <cell r="FN82" t="str">
            <v/>
          </cell>
          <cell r="FP82">
            <v>0</v>
          </cell>
          <cell r="FQ82" t="str">
            <v/>
          </cell>
          <cell r="FS82">
            <v>0</v>
          </cell>
          <cell r="FT82" t="str">
            <v/>
          </cell>
          <cell r="FV82">
            <v>0</v>
          </cell>
          <cell r="FW82" t="str">
            <v/>
          </cell>
          <cell r="FY82">
            <v>0</v>
          </cell>
          <cell r="FZ82" t="str">
            <v/>
          </cell>
          <cell r="GB82">
            <v>0</v>
          </cell>
          <cell r="GC82" t="str">
            <v/>
          </cell>
          <cell r="GE82">
            <v>0</v>
          </cell>
          <cell r="GF82" t="str">
            <v/>
          </cell>
          <cell r="GH82">
            <v>0</v>
          </cell>
          <cell r="GI82" t="str">
            <v/>
          </cell>
          <cell r="GK82">
            <v>0</v>
          </cell>
          <cell r="GL82" t="str">
            <v/>
          </cell>
          <cell r="GN82">
            <v>0</v>
          </cell>
          <cell r="GO82" t="str">
            <v/>
          </cell>
          <cell r="GQ82">
            <v>0</v>
          </cell>
          <cell r="GR82" t="str">
            <v/>
          </cell>
          <cell r="GT82">
            <v>0</v>
          </cell>
          <cell r="GU82" t="str">
            <v/>
          </cell>
          <cell r="GW82">
            <v>0</v>
          </cell>
          <cell r="GX82" t="str">
            <v/>
          </cell>
          <cell r="GZ82">
            <v>0</v>
          </cell>
          <cell r="HA82" t="str">
            <v/>
          </cell>
          <cell r="HC82">
            <v>0</v>
          </cell>
          <cell r="HD82" t="str">
            <v/>
          </cell>
          <cell r="HF82">
            <v>0</v>
          </cell>
          <cell r="HG82" t="str">
            <v/>
          </cell>
          <cell r="HI82">
            <v>0</v>
          </cell>
          <cell r="HJ82" t="str">
            <v/>
          </cell>
          <cell r="HL82">
            <v>0.73</v>
          </cell>
          <cell r="HM82">
            <v>28849.31506849315</v>
          </cell>
          <cell r="HO82">
            <v>0</v>
          </cell>
          <cell r="HP82" t="str">
            <v/>
          </cell>
          <cell r="HR82">
            <v>0</v>
          </cell>
          <cell r="HS82" t="str">
            <v/>
          </cell>
          <cell r="HU82">
            <v>0</v>
          </cell>
          <cell r="HV82" t="str">
            <v/>
          </cell>
        </row>
        <row r="83">
          <cell r="DQ83">
            <v>0</v>
          </cell>
          <cell r="DR83" t="str">
            <v/>
          </cell>
          <cell r="DT83">
            <v>0</v>
          </cell>
          <cell r="DU83" t="str">
            <v/>
          </cell>
          <cell r="DW83">
            <v>0</v>
          </cell>
          <cell r="DX83" t="str">
            <v/>
          </cell>
          <cell r="DZ83">
            <v>0.1</v>
          </cell>
          <cell r="EA83">
            <v>44140</v>
          </cell>
          <cell r="EC83">
            <v>0</v>
          </cell>
          <cell r="ED83" t="str">
            <v/>
          </cell>
          <cell r="EF83">
            <v>0</v>
          </cell>
          <cell r="EG83" t="str">
            <v/>
          </cell>
          <cell r="EI83">
            <v>0</v>
          </cell>
          <cell r="EJ83" t="str">
            <v/>
          </cell>
          <cell r="EL83">
            <v>0</v>
          </cell>
          <cell r="EM83" t="str">
            <v/>
          </cell>
          <cell r="EO83">
            <v>0</v>
          </cell>
          <cell r="EP83" t="str">
            <v/>
          </cell>
          <cell r="ER83">
            <v>0</v>
          </cell>
          <cell r="ES83" t="str">
            <v/>
          </cell>
          <cell r="EU83">
            <v>0</v>
          </cell>
          <cell r="EV83" t="str">
            <v/>
          </cell>
          <cell r="EX83">
            <v>0</v>
          </cell>
          <cell r="EY83" t="str">
            <v/>
          </cell>
          <cell r="FA83">
            <v>0</v>
          </cell>
          <cell r="FB83" t="str">
            <v/>
          </cell>
          <cell r="FD83">
            <v>0</v>
          </cell>
          <cell r="FE83" t="str">
            <v/>
          </cell>
          <cell r="FG83">
            <v>0</v>
          </cell>
          <cell r="FH83" t="str">
            <v/>
          </cell>
          <cell r="FJ83">
            <v>0</v>
          </cell>
          <cell r="FK83" t="str">
            <v/>
          </cell>
          <cell r="FM83">
            <v>0</v>
          </cell>
          <cell r="FN83" t="str">
            <v/>
          </cell>
          <cell r="FP83">
            <v>0</v>
          </cell>
          <cell r="FQ83" t="str">
            <v/>
          </cell>
          <cell r="FS83">
            <v>0</v>
          </cell>
          <cell r="FT83" t="str">
            <v/>
          </cell>
          <cell r="FV83">
            <v>0</v>
          </cell>
          <cell r="FW83" t="str">
            <v/>
          </cell>
          <cell r="FY83">
            <v>0</v>
          </cell>
          <cell r="FZ83" t="str">
            <v/>
          </cell>
          <cell r="GB83">
            <v>0</v>
          </cell>
          <cell r="GC83" t="str">
            <v/>
          </cell>
          <cell r="GE83">
            <v>0</v>
          </cell>
          <cell r="GF83" t="str">
            <v/>
          </cell>
          <cell r="GH83">
            <v>0</v>
          </cell>
          <cell r="GI83" t="str">
            <v/>
          </cell>
          <cell r="GK83">
            <v>0</v>
          </cell>
          <cell r="GL83" t="str">
            <v/>
          </cell>
          <cell r="GN83">
            <v>0</v>
          </cell>
          <cell r="GO83" t="str">
            <v/>
          </cell>
          <cell r="GQ83">
            <v>0</v>
          </cell>
          <cell r="GR83" t="str">
            <v/>
          </cell>
          <cell r="GT83">
            <v>0</v>
          </cell>
          <cell r="GU83" t="str">
            <v/>
          </cell>
          <cell r="GW83">
            <v>0</v>
          </cell>
          <cell r="GX83" t="str">
            <v/>
          </cell>
          <cell r="GZ83">
            <v>0.24</v>
          </cell>
          <cell r="HA83">
            <v>35504.166666666672</v>
          </cell>
          <cell r="HC83">
            <v>1.05</v>
          </cell>
          <cell r="HD83">
            <v>37457.142857142855</v>
          </cell>
          <cell r="HF83">
            <v>0.83</v>
          </cell>
          <cell r="HG83">
            <v>53914.457831325301</v>
          </cell>
          <cell r="HI83">
            <v>0</v>
          </cell>
          <cell r="HJ83" t="str">
            <v/>
          </cell>
          <cell r="HL83">
            <v>0.75</v>
          </cell>
          <cell r="HM83">
            <v>31768</v>
          </cell>
          <cell r="HO83">
            <v>0.19</v>
          </cell>
          <cell r="HP83">
            <v>51510.526315789473</v>
          </cell>
          <cell r="HR83">
            <v>0.05</v>
          </cell>
          <cell r="HS83">
            <v>32440</v>
          </cell>
          <cell r="HU83">
            <v>0</v>
          </cell>
          <cell r="HV83" t="str">
            <v/>
          </cell>
        </row>
        <row r="84">
          <cell r="DQ84">
            <v>0.63</v>
          </cell>
          <cell r="DR84">
            <v>70766.666666666672</v>
          </cell>
          <cell r="DT84">
            <v>0</v>
          </cell>
          <cell r="DU84" t="str">
            <v/>
          </cell>
          <cell r="DW84">
            <v>2.79</v>
          </cell>
          <cell r="DX84">
            <v>56115.053763440861</v>
          </cell>
          <cell r="DZ84">
            <v>0</v>
          </cell>
          <cell r="EA84" t="str">
            <v/>
          </cell>
          <cell r="EC84">
            <v>0</v>
          </cell>
          <cell r="ED84" t="str">
            <v/>
          </cell>
          <cell r="EF84">
            <v>0</v>
          </cell>
          <cell r="EG84" t="str">
            <v/>
          </cell>
          <cell r="EI84">
            <v>0</v>
          </cell>
          <cell r="EJ84" t="str">
            <v/>
          </cell>
          <cell r="EL84">
            <v>0</v>
          </cell>
          <cell r="EM84" t="str">
            <v/>
          </cell>
          <cell r="EO84">
            <v>0</v>
          </cell>
          <cell r="EP84" t="str">
            <v/>
          </cell>
          <cell r="ER84">
            <v>0</v>
          </cell>
          <cell r="ES84" t="str">
            <v/>
          </cell>
          <cell r="EU84">
            <v>0</v>
          </cell>
          <cell r="EV84" t="str">
            <v/>
          </cell>
          <cell r="EX84">
            <v>0</v>
          </cell>
          <cell r="EY84" t="str">
            <v/>
          </cell>
          <cell r="FA84">
            <v>0</v>
          </cell>
          <cell r="FB84" t="str">
            <v/>
          </cell>
          <cell r="FD84">
            <v>0</v>
          </cell>
          <cell r="FE84" t="str">
            <v/>
          </cell>
          <cell r="FG84">
            <v>0</v>
          </cell>
          <cell r="FH84" t="str">
            <v/>
          </cell>
          <cell r="FJ84">
            <v>0</v>
          </cell>
          <cell r="FK84" t="str">
            <v/>
          </cell>
          <cell r="FM84">
            <v>0</v>
          </cell>
          <cell r="FN84" t="str">
            <v/>
          </cell>
          <cell r="FP84">
            <v>0</v>
          </cell>
          <cell r="FQ84" t="str">
            <v/>
          </cell>
          <cell r="FS84">
            <v>0</v>
          </cell>
          <cell r="FT84" t="str">
            <v/>
          </cell>
          <cell r="FV84">
            <v>0</v>
          </cell>
          <cell r="FW84" t="str">
            <v/>
          </cell>
          <cell r="FY84">
            <v>0</v>
          </cell>
          <cell r="FZ84" t="str">
            <v/>
          </cell>
          <cell r="GB84">
            <v>0</v>
          </cell>
          <cell r="GC84" t="str">
            <v/>
          </cell>
          <cell r="GE84">
            <v>0</v>
          </cell>
          <cell r="GF84" t="str">
            <v/>
          </cell>
          <cell r="GH84">
            <v>0</v>
          </cell>
          <cell r="GI84" t="str">
            <v/>
          </cell>
          <cell r="GK84">
            <v>0</v>
          </cell>
          <cell r="GL84" t="str">
            <v/>
          </cell>
          <cell r="GN84">
            <v>0</v>
          </cell>
          <cell r="GO84" t="str">
            <v/>
          </cell>
          <cell r="GQ84">
            <v>0</v>
          </cell>
          <cell r="GR84" t="str">
            <v/>
          </cell>
          <cell r="GT84">
            <v>0</v>
          </cell>
          <cell r="GU84" t="str">
            <v/>
          </cell>
          <cell r="GW84">
            <v>0</v>
          </cell>
          <cell r="GX84" t="str">
            <v/>
          </cell>
          <cell r="GZ84">
            <v>0</v>
          </cell>
          <cell r="HA84" t="str">
            <v/>
          </cell>
          <cell r="HC84">
            <v>0</v>
          </cell>
          <cell r="HD84" t="str">
            <v/>
          </cell>
          <cell r="HF84">
            <v>0</v>
          </cell>
          <cell r="HG84" t="str">
            <v/>
          </cell>
          <cell r="HI84">
            <v>0</v>
          </cell>
          <cell r="HJ84" t="str">
            <v/>
          </cell>
          <cell r="HL84">
            <v>8.370000000000001</v>
          </cell>
          <cell r="HM84">
            <v>37634.050179211466</v>
          </cell>
          <cell r="HO84">
            <v>0.72</v>
          </cell>
          <cell r="HP84">
            <v>52479.166666666672</v>
          </cell>
          <cell r="HR84">
            <v>0.78</v>
          </cell>
          <cell r="HS84">
            <v>36615.384615384617</v>
          </cell>
          <cell r="HU84">
            <v>0</v>
          </cell>
          <cell r="HV84" t="str">
            <v/>
          </cell>
        </row>
        <row r="85">
          <cell r="DQ85">
            <v>0.21</v>
          </cell>
          <cell r="DR85">
            <v>66400</v>
          </cell>
          <cell r="DT85">
            <v>0</v>
          </cell>
          <cell r="DU85" t="str">
            <v/>
          </cell>
          <cell r="DW85">
            <v>1.04</v>
          </cell>
          <cell r="DX85">
            <v>45530.769230769227</v>
          </cell>
          <cell r="DZ85">
            <v>0</v>
          </cell>
          <cell r="EA85" t="str">
            <v/>
          </cell>
          <cell r="EC85">
            <v>0</v>
          </cell>
          <cell r="ED85" t="str">
            <v/>
          </cell>
          <cell r="EF85">
            <v>0</v>
          </cell>
          <cell r="EG85" t="str">
            <v/>
          </cell>
          <cell r="EI85">
            <v>0</v>
          </cell>
          <cell r="EJ85" t="str">
            <v/>
          </cell>
          <cell r="EL85">
            <v>0</v>
          </cell>
          <cell r="EM85" t="str">
            <v/>
          </cell>
          <cell r="EO85">
            <v>0</v>
          </cell>
          <cell r="EP85" t="str">
            <v/>
          </cell>
          <cell r="ER85">
            <v>0</v>
          </cell>
          <cell r="ES85" t="str">
            <v/>
          </cell>
          <cell r="EU85">
            <v>0</v>
          </cell>
          <cell r="EV85" t="str">
            <v/>
          </cell>
          <cell r="EX85">
            <v>0</v>
          </cell>
          <cell r="EY85" t="str">
            <v/>
          </cell>
          <cell r="FA85">
            <v>0</v>
          </cell>
          <cell r="FB85" t="str">
            <v/>
          </cell>
          <cell r="FD85">
            <v>0</v>
          </cell>
          <cell r="FE85" t="str">
            <v/>
          </cell>
          <cell r="FG85">
            <v>0</v>
          </cell>
          <cell r="FH85" t="str">
            <v/>
          </cell>
          <cell r="FJ85">
            <v>0</v>
          </cell>
          <cell r="FK85" t="str">
            <v/>
          </cell>
          <cell r="FM85">
            <v>0</v>
          </cell>
          <cell r="FN85" t="str">
            <v/>
          </cell>
          <cell r="FP85">
            <v>0</v>
          </cell>
          <cell r="FQ85" t="str">
            <v/>
          </cell>
          <cell r="FS85">
            <v>0</v>
          </cell>
          <cell r="FT85" t="str">
            <v/>
          </cell>
          <cell r="FV85">
            <v>0</v>
          </cell>
          <cell r="FW85" t="str">
            <v/>
          </cell>
          <cell r="FY85">
            <v>0</v>
          </cell>
          <cell r="FZ85" t="str">
            <v/>
          </cell>
          <cell r="GB85">
            <v>0</v>
          </cell>
          <cell r="GC85" t="str">
            <v/>
          </cell>
          <cell r="GE85">
            <v>0</v>
          </cell>
          <cell r="GF85" t="str">
            <v/>
          </cell>
          <cell r="GH85">
            <v>0</v>
          </cell>
          <cell r="GI85" t="str">
            <v/>
          </cell>
          <cell r="GK85">
            <v>0</v>
          </cell>
          <cell r="GL85" t="str">
            <v/>
          </cell>
          <cell r="GN85">
            <v>0</v>
          </cell>
          <cell r="GO85" t="str">
            <v/>
          </cell>
          <cell r="GQ85">
            <v>0</v>
          </cell>
          <cell r="GR85" t="str">
            <v/>
          </cell>
          <cell r="GT85">
            <v>0</v>
          </cell>
          <cell r="GU85" t="str">
            <v/>
          </cell>
          <cell r="GW85">
            <v>0</v>
          </cell>
          <cell r="GX85" t="str">
            <v/>
          </cell>
          <cell r="GZ85">
            <v>0</v>
          </cell>
          <cell r="HA85" t="str">
            <v/>
          </cell>
          <cell r="HC85">
            <v>0</v>
          </cell>
          <cell r="HD85" t="str">
            <v/>
          </cell>
          <cell r="HF85">
            <v>0</v>
          </cell>
          <cell r="HG85" t="str">
            <v/>
          </cell>
          <cell r="HI85">
            <v>0</v>
          </cell>
          <cell r="HJ85" t="str">
            <v/>
          </cell>
          <cell r="HL85">
            <v>1.32</v>
          </cell>
          <cell r="HM85">
            <v>36052.272727272728</v>
          </cell>
          <cell r="HO85">
            <v>0</v>
          </cell>
          <cell r="HP85" t="str">
            <v/>
          </cell>
          <cell r="HR85">
            <v>0</v>
          </cell>
          <cell r="HS85" t="str">
            <v/>
          </cell>
          <cell r="HU85">
            <v>0</v>
          </cell>
          <cell r="HV85" t="str">
            <v/>
          </cell>
        </row>
        <row r="86">
          <cell r="DQ86">
            <v>0</v>
          </cell>
          <cell r="DR86" t="str">
            <v/>
          </cell>
          <cell r="DT86">
            <v>0</v>
          </cell>
          <cell r="DU86" t="str">
            <v/>
          </cell>
          <cell r="DW86">
            <v>0</v>
          </cell>
          <cell r="DX86" t="str">
            <v/>
          </cell>
          <cell r="DZ86">
            <v>0</v>
          </cell>
          <cell r="EA86" t="str">
            <v/>
          </cell>
          <cell r="EC86">
            <v>0</v>
          </cell>
          <cell r="ED86" t="str">
            <v/>
          </cell>
          <cell r="EF86">
            <v>0</v>
          </cell>
          <cell r="EG86" t="str">
            <v/>
          </cell>
          <cell r="EI86">
            <v>0</v>
          </cell>
          <cell r="EJ86" t="str">
            <v/>
          </cell>
          <cell r="EL86">
            <v>0</v>
          </cell>
          <cell r="EM86" t="str">
            <v/>
          </cell>
          <cell r="EO86">
            <v>0</v>
          </cell>
          <cell r="EP86" t="str">
            <v/>
          </cell>
          <cell r="ER86">
            <v>0</v>
          </cell>
          <cell r="ES86" t="str">
            <v/>
          </cell>
          <cell r="EU86">
            <v>0</v>
          </cell>
          <cell r="EV86" t="str">
            <v/>
          </cell>
          <cell r="EX86">
            <v>0</v>
          </cell>
          <cell r="EY86" t="str">
            <v/>
          </cell>
          <cell r="FA86">
            <v>0</v>
          </cell>
          <cell r="FB86" t="str">
            <v/>
          </cell>
          <cell r="FD86">
            <v>0</v>
          </cell>
          <cell r="FE86" t="str">
            <v/>
          </cell>
          <cell r="FG86">
            <v>0</v>
          </cell>
          <cell r="FH86" t="str">
            <v/>
          </cell>
          <cell r="FJ86">
            <v>0</v>
          </cell>
          <cell r="FK86" t="str">
            <v/>
          </cell>
          <cell r="FM86">
            <v>0</v>
          </cell>
          <cell r="FN86" t="str">
            <v/>
          </cell>
          <cell r="FP86">
            <v>0</v>
          </cell>
          <cell r="FQ86" t="str">
            <v/>
          </cell>
          <cell r="FS86">
            <v>0</v>
          </cell>
          <cell r="FT86" t="str">
            <v/>
          </cell>
          <cell r="FV86">
            <v>0</v>
          </cell>
          <cell r="FW86" t="str">
            <v/>
          </cell>
          <cell r="FY86">
            <v>0</v>
          </cell>
          <cell r="FZ86" t="str">
            <v/>
          </cell>
          <cell r="GB86">
            <v>0</v>
          </cell>
          <cell r="GC86" t="str">
            <v/>
          </cell>
          <cell r="GE86">
            <v>0</v>
          </cell>
          <cell r="GF86" t="str">
            <v/>
          </cell>
          <cell r="GH86">
            <v>0</v>
          </cell>
          <cell r="GI86" t="str">
            <v/>
          </cell>
          <cell r="GK86">
            <v>0</v>
          </cell>
          <cell r="GL86" t="str">
            <v/>
          </cell>
          <cell r="GN86">
            <v>0</v>
          </cell>
          <cell r="GO86" t="str">
            <v/>
          </cell>
          <cell r="GQ86">
            <v>0</v>
          </cell>
          <cell r="GR86" t="str">
            <v/>
          </cell>
          <cell r="GT86">
            <v>0</v>
          </cell>
          <cell r="GU86" t="str">
            <v/>
          </cell>
          <cell r="GW86">
            <v>0</v>
          </cell>
          <cell r="GX86" t="str">
            <v/>
          </cell>
          <cell r="GZ86">
            <v>0</v>
          </cell>
          <cell r="HA86" t="str">
            <v/>
          </cell>
          <cell r="HC86">
            <v>0</v>
          </cell>
          <cell r="HD86" t="str">
            <v/>
          </cell>
          <cell r="HF86">
            <v>0</v>
          </cell>
          <cell r="HG86" t="str">
            <v/>
          </cell>
          <cell r="HI86">
            <v>0</v>
          </cell>
          <cell r="HJ86" t="str">
            <v/>
          </cell>
          <cell r="HL86">
            <v>0</v>
          </cell>
          <cell r="HM86" t="str">
            <v/>
          </cell>
          <cell r="HO86">
            <v>0</v>
          </cell>
          <cell r="HP86" t="str">
            <v/>
          </cell>
          <cell r="HR86">
            <v>0</v>
          </cell>
          <cell r="HS86" t="str">
            <v/>
          </cell>
          <cell r="HU86">
            <v>0</v>
          </cell>
          <cell r="HV86" t="str">
            <v/>
          </cell>
        </row>
        <row r="87">
          <cell r="DQ87">
            <v>0.02</v>
          </cell>
          <cell r="DR87">
            <v>54450</v>
          </cell>
          <cell r="DT87">
            <v>0</v>
          </cell>
          <cell r="DU87" t="str">
            <v/>
          </cell>
          <cell r="DW87">
            <v>0</v>
          </cell>
          <cell r="DX87" t="str">
            <v/>
          </cell>
          <cell r="DZ87">
            <v>7.0000000000000007E-2</v>
          </cell>
          <cell r="EA87">
            <v>54642.857142857138</v>
          </cell>
          <cell r="EC87">
            <v>0</v>
          </cell>
          <cell r="ED87" t="str">
            <v/>
          </cell>
          <cell r="EF87">
            <v>0</v>
          </cell>
          <cell r="EG87" t="str">
            <v/>
          </cell>
          <cell r="EI87">
            <v>0</v>
          </cell>
          <cell r="EJ87" t="str">
            <v/>
          </cell>
          <cell r="EL87">
            <v>0</v>
          </cell>
          <cell r="EM87" t="str">
            <v/>
          </cell>
          <cell r="EO87">
            <v>0</v>
          </cell>
          <cell r="EP87" t="str">
            <v/>
          </cell>
          <cell r="ER87">
            <v>0</v>
          </cell>
          <cell r="ES87" t="str">
            <v/>
          </cell>
          <cell r="EU87">
            <v>0</v>
          </cell>
          <cell r="EV87" t="str">
            <v/>
          </cell>
          <cell r="EX87">
            <v>0</v>
          </cell>
          <cell r="EY87" t="str">
            <v/>
          </cell>
          <cell r="FA87">
            <v>0</v>
          </cell>
          <cell r="FB87" t="str">
            <v/>
          </cell>
          <cell r="FD87">
            <v>0</v>
          </cell>
          <cell r="FE87" t="str">
            <v/>
          </cell>
          <cell r="FG87">
            <v>0</v>
          </cell>
          <cell r="FH87" t="str">
            <v/>
          </cell>
          <cell r="FJ87">
            <v>0</v>
          </cell>
          <cell r="FK87" t="str">
            <v/>
          </cell>
          <cell r="FM87">
            <v>0</v>
          </cell>
          <cell r="FN87" t="str">
            <v/>
          </cell>
          <cell r="FP87">
            <v>0</v>
          </cell>
          <cell r="FQ87" t="str">
            <v/>
          </cell>
          <cell r="FS87">
            <v>0</v>
          </cell>
          <cell r="FT87" t="str">
            <v/>
          </cell>
          <cell r="FV87">
            <v>0</v>
          </cell>
          <cell r="FW87" t="str">
            <v/>
          </cell>
          <cell r="FY87">
            <v>0</v>
          </cell>
          <cell r="FZ87" t="str">
            <v/>
          </cell>
          <cell r="GB87">
            <v>0</v>
          </cell>
          <cell r="GC87" t="str">
            <v/>
          </cell>
          <cell r="GE87">
            <v>0</v>
          </cell>
          <cell r="GF87" t="str">
            <v/>
          </cell>
          <cell r="GH87">
            <v>0</v>
          </cell>
          <cell r="GI87" t="str">
            <v/>
          </cell>
          <cell r="GK87">
            <v>0</v>
          </cell>
          <cell r="GL87" t="str">
            <v/>
          </cell>
          <cell r="GN87">
            <v>0</v>
          </cell>
          <cell r="GO87" t="str">
            <v/>
          </cell>
          <cell r="GQ87">
            <v>0</v>
          </cell>
          <cell r="GR87" t="str">
            <v/>
          </cell>
          <cell r="GT87">
            <v>0</v>
          </cell>
          <cell r="GU87" t="str">
            <v/>
          </cell>
          <cell r="GW87">
            <v>0</v>
          </cell>
          <cell r="GX87" t="str">
            <v/>
          </cell>
          <cell r="GZ87">
            <v>0</v>
          </cell>
          <cell r="HA87" t="str">
            <v/>
          </cell>
          <cell r="HC87">
            <v>0</v>
          </cell>
          <cell r="HD87" t="str">
            <v/>
          </cell>
          <cell r="HF87">
            <v>0</v>
          </cell>
          <cell r="HG87" t="str">
            <v/>
          </cell>
          <cell r="HI87">
            <v>0</v>
          </cell>
          <cell r="HJ87" t="str">
            <v/>
          </cell>
          <cell r="HL87">
            <v>0.37</v>
          </cell>
          <cell r="HM87">
            <v>25556.756756756757</v>
          </cell>
          <cell r="HO87">
            <v>0.02</v>
          </cell>
          <cell r="HP87">
            <v>45700</v>
          </cell>
          <cell r="HR87">
            <v>0</v>
          </cell>
          <cell r="HS87" t="str">
            <v/>
          </cell>
          <cell r="HU87">
            <v>0</v>
          </cell>
          <cell r="HV87" t="str">
            <v/>
          </cell>
        </row>
        <row r="88">
          <cell r="DQ88">
            <v>0.27</v>
          </cell>
          <cell r="DR88">
            <v>50800</v>
          </cell>
          <cell r="DT88">
            <v>0.21000000000000002</v>
          </cell>
          <cell r="DU88">
            <v>82099.999999999985</v>
          </cell>
          <cell r="DW88">
            <v>0</v>
          </cell>
          <cell r="DX88" t="str">
            <v/>
          </cell>
          <cell r="DZ88">
            <v>0</v>
          </cell>
          <cell r="EA88" t="str">
            <v/>
          </cell>
          <cell r="EC88">
            <v>0</v>
          </cell>
          <cell r="ED88" t="str">
            <v/>
          </cell>
          <cell r="EF88">
            <v>0</v>
          </cell>
          <cell r="EG88" t="str">
            <v/>
          </cell>
          <cell r="EI88">
            <v>0</v>
          </cell>
          <cell r="EJ88" t="str">
            <v/>
          </cell>
          <cell r="EL88">
            <v>0</v>
          </cell>
          <cell r="EM88" t="str">
            <v/>
          </cell>
          <cell r="EO88">
            <v>0</v>
          </cell>
          <cell r="EP88" t="str">
            <v/>
          </cell>
          <cell r="ER88">
            <v>0</v>
          </cell>
          <cell r="ES88" t="str">
            <v/>
          </cell>
          <cell r="EU88">
            <v>0</v>
          </cell>
          <cell r="EV88" t="str">
            <v/>
          </cell>
          <cell r="EX88">
            <v>0</v>
          </cell>
          <cell r="EY88" t="str">
            <v/>
          </cell>
          <cell r="FA88">
            <v>0</v>
          </cell>
          <cell r="FB88" t="str">
            <v/>
          </cell>
          <cell r="FD88">
            <v>0</v>
          </cell>
          <cell r="FE88" t="str">
            <v/>
          </cell>
          <cell r="FG88">
            <v>0</v>
          </cell>
          <cell r="FH88" t="str">
            <v/>
          </cell>
          <cell r="FJ88">
            <v>0</v>
          </cell>
          <cell r="FK88" t="str">
            <v/>
          </cell>
          <cell r="FM88">
            <v>0</v>
          </cell>
          <cell r="FN88" t="str">
            <v/>
          </cell>
          <cell r="FP88">
            <v>0</v>
          </cell>
          <cell r="FQ88" t="str">
            <v/>
          </cell>
          <cell r="FS88">
            <v>0</v>
          </cell>
          <cell r="FT88" t="str">
            <v/>
          </cell>
          <cell r="FV88">
            <v>0</v>
          </cell>
          <cell r="FW88" t="str">
            <v/>
          </cell>
          <cell r="FY88">
            <v>0</v>
          </cell>
          <cell r="FZ88" t="str">
            <v/>
          </cell>
          <cell r="GB88">
            <v>0</v>
          </cell>
          <cell r="GC88" t="str">
            <v/>
          </cell>
          <cell r="GE88">
            <v>0</v>
          </cell>
          <cell r="GF88" t="str">
            <v/>
          </cell>
          <cell r="GH88">
            <v>0</v>
          </cell>
          <cell r="GI88" t="str">
            <v/>
          </cell>
          <cell r="GK88">
            <v>0</v>
          </cell>
          <cell r="GL88" t="str">
            <v/>
          </cell>
          <cell r="GN88">
            <v>0</v>
          </cell>
          <cell r="GO88" t="str">
            <v/>
          </cell>
          <cell r="GQ88">
            <v>0</v>
          </cell>
          <cell r="GR88" t="str">
            <v/>
          </cell>
          <cell r="GT88">
            <v>0</v>
          </cell>
          <cell r="GU88" t="str">
            <v/>
          </cell>
          <cell r="GW88">
            <v>0</v>
          </cell>
          <cell r="GX88" t="str">
            <v/>
          </cell>
          <cell r="GZ88">
            <v>0.54</v>
          </cell>
          <cell r="HA88">
            <v>41766.666666666664</v>
          </cell>
          <cell r="HC88">
            <v>0.57000000000000006</v>
          </cell>
          <cell r="HD88">
            <v>39615.789473684206</v>
          </cell>
          <cell r="HF88">
            <v>0</v>
          </cell>
          <cell r="HG88" t="str">
            <v/>
          </cell>
          <cell r="HI88">
            <v>0</v>
          </cell>
          <cell r="HJ88" t="str">
            <v/>
          </cell>
          <cell r="HL88">
            <v>0</v>
          </cell>
          <cell r="HM88" t="str">
            <v/>
          </cell>
          <cell r="HO88">
            <v>0</v>
          </cell>
          <cell r="HP88" t="str">
            <v/>
          </cell>
          <cell r="HR88">
            <v>0</v>
          </cell>
          <cell r="HS88" t="str">
            <v/>
          </cell>
          <cell r="HU88">
            <v>0</v>
          </cell>
          <cell r="HV88" t="str">
            <v/>
          </cell>
        </row>
        <row r="89">
          <cell r="DQ89">
            <v>3.48</v>
          </cell>
          <cell r="DR89">
            <v>48717.816091954024</v>
          </cell>
          <cell r="DT89">
            <v>1.28</v>
          </cell>
          <cell r="DU89">
            <v>87248.4375</v>
          </cell>
          <cell r="DW89">
            <v>0</v>
          </cell>
          <cell r="DX89" t="str">
            <v/>
          </cell>
          <cell r="DZ89">
            <v>0</v>
          </cell>
          <cell r="EA89" t="str">
            <v/>
          </cell>
          <cell r="EC89">
            <v>0</v>
          </cell>
          <cell r="ED89" t="str">
            <v/>
          </cell>
          <cell r="EF89">
            <v>0</v>
          </cell>
          <cell r="EG89" t="str">
            <v/>
          </cell>
          <cell r="EI89">
            <v>0</v>
          </cell>
          <cell r="EJ89" t="str">
            <v/>
          </cell>
          <cell r="EL89">
            <v>0</v>
          </cell>
          <cell r="EM89" t="str">
            <v/>
          </cell>
          <cell r="EO89">
            <v>0</v>
          </cell>
          <cell r="EP89" t="str">
            <v/>
          </cell>
          <cell r="ER89">
            <v>0</v>
          </cell>
          <cell r="ES89" t="str">
            <v/>
          </cell>
          <cell r="EU89">
            <v>0</v>
          </cell>
          <cell r="EV89" t="str">
            <v/>
          </cell>
          <cell r="EX89">
            <v>0</v>
          </cell>
          <cell r="EY89" t="str">
            <v/>
          </cell>
          <cell r="FA89">
            <v>0</v>
          </cell>
          <cell r="FB89" t="str">
            <v/>
          </cell>
          <cell r="FD89">
            <v>0</v>
          </cell>
          <cell r="FE89" t="str">
            <v/>
          </cell>
          <cell r="FG89">
            <v>0</v>
          </cell>
          <cell r="FH89" t="str">
            <v/>
          </cell>
          <cell r="FJ89">
            <v>0</v>
          </cell>
          <cell r="FK89" t="str">
            <v/>
          </cell>
          <cell r="FM89">
            <v>0</v>
          </cell>
          <cell r="FN89" t="str">
            <v/>
          </cell>
          <cell r="FP89">
            <v>0</v>
          </cell>
          <cell r="FQ89" t="str">
            <v/>
          </cell>
          <cell r="FS89">
            <v>0</v>
          </cell>
          <cell r="FT89" t="str">
            <v/>
          </cell>
          <cell r="FV89">
            <v>0</v>
          </cell>
          <cell r="FW89" t="str">
            <v/>
          </cell>
          <cell r="FY89">
            <v>0</v>
          </cell>
          <cell r="FZ89" t="str">
            <v/>
          </cell>
          <cell r="GB89">
            <v>0</v>
          </cell>
          <cell r="GC89" t="str">
            <v/>
          </cell>
          <cell r="GE89">
            <v>0</v>
          </cell>
          <cell r="GF89" t="str">
            <v/>
          </cell>
          <cell r="GH89">
            <v>0</v>
          </cell>
          <cell r="GI89" t="str">
            <v/>
          </cell>
          <cell r="GK89">
            <v>0</v>
          </cell>
          <cell r="GL89" t="str">
            <v/>
          </cell>
          <cell r="GN89">
            <v>0</v>
          </cell>
          <cell r="GO89" t="str">
            <v/>
          </cell>
          <cell r="GQ89">
            <v>0</v>
          </cell>
          <cell r="GR89" t="str">
            <v/>
          </cell>
          <cell r="GT89">
            <v>0</v>
          </cell>
          <cell r="GU89" t="str">
            <v/>
          </cell>
          <cell r="GW89">
            <v>0</v>
          </cell>
          <cell r="GX89" t="str">
            <v/>
          </cell>
          <cell r="GZ89">
            <v>4.2</v>
          </cell>
          <cell r="HA89">
            <v>43178.095238095237</v>
          </cell>
          <cell r="HC89">
            <v>4.42</v>
          </cell>
          <cell r="HD89">
            <v>39780.090497737554</v>
          </cell>
          <cell r="HF89">
            <v>0</v>
          </cell>
          <cell r="HG89" t="str">
            <v/>
          </cell>
          <cell r="HI89">
            <v>0</v>
          </cell>
          <cell r="HJ89" t="str">
            <v/>
          </cell>
          <cell r="HL89">
            <v>2.92</v>
          </cell>
          <cell r="HM89">
            <v>29676.027397260274</v>
          </cell>
          <cell r="HO89">
            <v>0.02</v>
          </cell>
          <cell r="HP89">
            <v>42700</v>
          </cell>
          <cell r="HR89">
            <v>0.34</v>
          </cell>
          <cell r="HS89">
            <v>42658.823529411762</v>
          </cell>
          <cell r="HU89">
            <v>0</v>
          </cell>
          <cell r="HV89" t="str">
            <v/>
          </cell>
        </row>
        <row r="90">
          <cell r="DQ90">
            <v>7.0000000000000007E-2</v>
          </cell>
          <cell r="DR90">
            <v>50799.999999999993</v>
          </cell>
          <cell r="DT90">
            <v>0.05</v>
          </cell>
          <cell r="DU90">
            <v>89400</v>
          </cell>
          <cell r="DW90">
            <v>0</v>
          </cell>
          <cell r="DX90" t="str">
            <v/>
          </cell>
          <cell r="DZ90">
            <v>0</v>
          </cell>
          <cell r="EA90" t="str">
            <v/>
          </cell>
          <cell r="EC90">
            <v>0</v>
          </cell>
          <cell r="ED90" t="str">
            <v/>
          </cell>
          <cell r="EF90">
            <v>0</v>
          </cell>
          <cell r="EG90" t="str">
            <v/>
          </cell>
          <cell r="EI90">
            <v>0</v>
          </cell>
          <cell r="EJ90" t="str">
            <v/>
          </cell>
          <cell r="EL90">
            <v>0</v>
          </cell>
          <cell r="EM90" t="str">
            <v/>
          </cell>
          <cell r="EO90">
            <v>0</v>
          </cell>
          <cell r="EP90" t="str">
            <v/>
          </cell>
          <cell r="ER90">
            <v>0</v>
          </cell>
          <cell r="ES90" t="str">
            <v/>
          </cell>
          <cell r="EU90">
            <v>0</v>
          </cell>
          <cell r="EV90" t="str">
            <v/>
          </cell>
          <cell r="EX90">
            <v>0</v>
          </cell>
          <cell r="EY90" t="str">
            <v/>
          </cell>
          <cell r="FA90">
            <v>0</v>
          </cell>
          <cell r="FB90" t="str">
            <v/>
          </cell>
          <cell r="FD90">
            <v>0</v>
          </cell>
          <cell r="FE90" t="str">
            <v/>
          </cell>
          <cell r="FG90">
            <v>0</v>
          </cell>
          <cell r="FH90" t="str">
            <v/>
          </cell>
          <cell r="FJ90">
            <v>0</v>
          </cell>
          <cell r="FK90" t="str">
            <v/>
          </cell>
          <cell r="FM90">
            <v>0</v>
          </cell>
          <cell r="FN90" t="str">
            <v/>
          </cell>
          <cell r="FP90">
            <v>0</v>
          </cell>
          <cell r="FQ90" t="str">
            <v/>
          </cell>
          <cell r="FS90">
            <v>0</v>
          </cell>
          <cell r="FT90" t="str">
            <v/>
          </cell>
          <cell r="FV90">
            <v>0</v>
          </cell>
          <cell r="FW90" t="str">
            <v/>
          </cell>
          <cell r="FY90">
            <v>0</v>
          </cell>
          <cell r="FZ90" t="str">
            <v/>
          </cell>
          <cell r="GB90">
            <v>0</v>
          </cell>
          <cell r="GC90" t="str">
            <v/>
          </cell>
          <cell r="GE90">
            <v>0</v>
          </cell>
          <cell r="GF90" t="str">
            <v/>
          </cell>
          <cell r="GH90">
            <v>0</v>
          </cell>
          <cell r="GI90" t="str">
            <v/>
          </cell>
          <cell r="GK90">
            <v>0</v>
          </cell>
          <cell r="GL90" t="str">
            <v/>
          </cell>
          <cell r="GN90">
            <v>0</v>
          </cell>
          <cell r="GO90" t="str">
            <v/>
          </cell>
          <cell r="GQ90">
            <v>0</v>
          </cell>
          <cell r="GR90" t="str">
            <v/>
          </cell>
          <cell r="GT90">
            <v>0</v>
          </cell>
          <cell r="GU90" t="str">
            <v/>
          </cell>
          <cell r="GW90">
            <v>0</v>
          </cell>
          <cell r="GX90" t="str">
            <v/>
          </cell>
          <cell r="GZ90">
            <v>0.14000000000000001</v>
          </cell>
          <cell r="HA90">
            <v>41764.28571428571</v>
          </cell>
          <cell r="HC90">
            <v>0.15</v>
          </cell>
          <cell r="HD90">
            <v>39026.666666666672</v>
          </cell>
          <cell r="HF90">
            <v>0</v>
          </cell>
          <cell r="HG90" t="str">
            <v/>
          </cell>
          <cell r="HI90">
            <v>0</v>
          </cell>
          <cell r="HJ90" t="str">
            <v/>
          </cell>
          <cell r="HL90">
            <v>0</v>
          </cell>
          <cell r="HM90" t="str">
            <v/>
          </cell>
          <cell r="HO90">
            <v>0</v>
          </cell>
          <cell r="HP90" t="str">
            <v/>
          </cell>
          <cell r="HR90">
            <v>0</v>
          </cell>
          <cell r="HS90" t="str">
            <v/>
          </cell>
          <cell r="HU90">
            <v>0</v>
          </cell>
          <cell r="HV90" t="str">
            <v/>
          </cell>
        </row>
        <row r="91">
          <cell r="DQ91">
            <v>0.18</v>
          </cell>
          <cell r="DR91">
            <v>32255.555555555558</v>
          </cell>
          <cell r="DT91">
            <v>0.04</v>
          </cell>
          <cell r="DU91">
            <v>78900</v>
          </cell>
          <cell r="DW91">
            <v>0</v>
          </cell>
          <cell r="DX91" t="str">
            <v/>
          </cell>
          <cell r="DZ91">
            <v>0</v>
          </cell>
          <cell r="EA91" t="str">
            <v/>
          </cell>
          <cell r="EC91">
            <v>0</v>
          </cell>
          <cell r="ED91" t="str">
            <v/>
          </cell>
          <cell r="EF91">
            <v>0</v>
          </cell>
          <cell r="EG91" t="str">
            <v/>
          </cell>
          <cell r="EI91">
            <v>0</v>
          </cell>
          <cell r="EJ91" t="str">
            <v/>
          </cell>
          <cell r="EL91">
            <v>0</v>
          </cell>
          <cell r="EM91" t="str">
            <v/>
          </cell>
          <cell r="EO91">
            <v>0</v>
          </cell>
          <cell r="EP91" t="str">
            <v/>
          </cell>
          <cell r="ER91">
            <v>0</v>
          </cell>
          <cell r="ES91" t="str">
            <v/>
          </cell>
          <cell r="EU91">
            <v>0</v>
          </cell>
          <cell r="EV91" t="str">
            <v/>
          </cell>
          <cell r="EX91">
            <v>0</v>
          </cell>
          <cell r="EY91" t="str">
            <v/>
          </cell>
          <cell r="FA91">
            <v>0</v>
          </cell>
          <cell r="FB91" t="str">
            <v/>
          </cell>
          <cell r="FD91">
            <v>0</v>
          </cell>
          <cell r="FE91" t="str">
            <v/>
          </cell>
          <cell r="FG91">
            <v>0</v>
          </cell>
          <cell r="FH91" t="str">
            <v/>
          </cell>
          <cell r="FJ91">
            <v>0</v>
          </cell>
          <cell r="FK91" t="str">
            <v/>
          </cell>
          <cell r="FM91">
            <v>0</v>
          </cell>
          <cell r="FN91" t="str">
            <v/>
          </cell>
          <cell r="FP91">
            <v>0</v>
          </cell>
          <cell r="FQ91" t="str">
            <v/>
          </cell>
          <cell r="FS91">
            <v>0</v>
          </cell>
          <cell r="FT91" t="str">
            <v/>
          </cell>
          <cell r="FV91">
            <v>0</v>
          </cell>
          <cell r="FW91" t="str">
            <v/>
          </cell>
          <cell r="FY91">
            <v>0</v>
          </cell>
          <cell r="FZ91" t="str">
            <v/>
          </cell>
          <cell r="GB91">
            <v>0</v>
          </cell>
          <cell r="GC91" t="str">
            <v/>
          </cell>
          <cell r="GE91">
            <v>0</v>
          </cell>
          <cell r="GF91" t="str">
            <v/>
          </cell>
          <cell r="GH91">
            <v>0</v>
          </cell>
          <cell r="GI91" t="str">
            <v/>
          </cell>
          <cell r="GK91">
            <v>0</v>
          </cell>
          <cell r="GL91" t="str">
            <v/>
          </cell>
          <cell r="GN91">
            <v>0</v>
          </cell>
          <cell r="GO91" t="str">
            <v/>
          </cell>
          <cell r="GQ91">
            <v>0</v>
          </cell>
          <cell r="GR91" t="str">
            <v/>
          </cell>
          <cell r="GT91">
            <v>0</v>
          </cell>
          <cell r="GU91" t="str">
            <v/>
          </cell>
          <cell r="GW91">
            <v>0</v>
          </cell>
          <cell r="GX91" t="str">
            <v/>
          </cell>
          <cell r="GZ91">
            <v>7.14</v>
          </cell>
          <cell r="HA91">
            <v>37607.002801120449</v>
          </cell>
          <cell r="HC91">
            <v>0</v>
          </cell>
          <cell r="HD91" t="str">
            <v/>
          </cell>
          <cell r="HF91">
            <v>0</v>
          </cell>
          <cell r="HG91" t="str">
            <v/>
          </cell>
          <cell r="HI91">
            <v>0</v>
          </cell>
          <cell r="HJ91" t="str">
            <v/>
          </cell>
          <cell r="HL91">
            <v>0</v>
          </cell>
          <cell r="HM91" t="str">
            <v/>
          </cell>
          <cell r="HO91">
            <v>0</v>
          </cell>
          <cell r="HP91" t="str">
            <v/>
          </cell>
          <cell r="HR91">
            <v>0</v>
          </cell>
          <cell r="HS91" t="str">
            <v/>
          </cell>
          <cell r="HU91">
            <v>0</v>
          </cell>
          <cell r="HV91" t="str">
            <v/>
          </cell>
        </row>
        <row r="92">
          <cell r="DQ92">
            <v>0.09</v>
          </cell>
          <cell r="DR92">
            <v>34933.333333333336</v>
          </cell>
          <cell r="DT92">
            <v>0.03</v>
          </cell>
          <cell r="DU92">
            <v>57000</v>
          </cell>
          <cell r="DW92">
            <v>0</v>
          </cell>
          <cell r="DX92" t="str">
            <v/>
          </cell>
          <cell r="DZ92">
            <v>0</v>
          </cell>
          <cell r="EA92" t="str">
            <v/>
          </cell>
          <cell r="EC92">
            <v>0</v>
          </cell>
          <cell r="ED92" t="str">
            <v/>
          </cell>
          <cell r="EF92">
            <v>0</v>
          </cell>
          <cell r="EG92" t="str">
            <v/>
          </cell>
          <cell r="EI92">
            <v>0</v>
          </cell>
          <cell r="EJ92" t="str">
            <v/>
          </cell>
          <cell r="EL92">
            <v>0</v>
          </cell>
          <cell r="EM92" t="str">
            <v/>
          </cell>
          <cell r="EO92">
            <v>0</v>
          </cell>
          <cell r="EP92" t="str">
            <v/>
          </cell>
          <cell r="ER92">
            <v>0</v>
          </cell>
          <cell r="ES92" t="str">
            <v/>
          </cell>
          <cell r="EU92">
            <v>0</v>
          </cell>
          <cell r="EV92" t="str">
            <v/>
          </cell>
          <cell r="EX92">
            <v>0</v>
          </cell>
          <cell r="EY92" t="str">
            <v/>
          </cell>
          <cell r="FA92">
            <v>0</v>
          </cell>
          <cell r="FB92" t="str">
            <v/>
          </cell>
          <cell r="FD92">
            <v>0</v>
          </cell>
          <cell r="FE92" t="str">
            <v/>
          </cell>
          <cell r="FG92">
            <v>0</v>
          </cell>
          <cell r="FH92" t="str">
            <v/>
          </cell>
          <cell r="FJ92">
            <v>0</v>
          </cell>
          <cell r="FK92" t="str">
            <v/>
          </cell>
          <cell r="FM92">
            <v>0</v>
          </cell>
          <cell r="FN92" t="str">
            <v/>
          </cell>
          <cell r="FP92">
            <v>0</v>
          </cell>
          <cell r="FQ92" t="str">
            <v/>
          </cell>
          <cell r="FS92">
            <v>0</v>
          </cell>
          <cell r="FT92" t="str">
            <v/>
          </cell>
          <cell r="FV92">
            <v>0</v>
          </cell>
          <cell r="FW92" t="str">
            <v/>
          </cell>
          <cell r="FY92">
            <v>0</v>
          </cell>
          <cell r="FZ92" t="str">
            <v/>
          </cell>
          <cell r="GB92">
            <v>0</v>
          </cell>
          <cell r="GC92" t="str">
            <v/>
          </cell>
          <cell r="GE92">
            <v>0</v>
          </cell>
          <cell r="GF92" t="str">
            <v/>
          </cell>
          <cell r="GH92">
            <v>0</v>
          </cell>
          <cell r="GI92" t="str">
            <v/>
          </cell>
          <cell r="GK92">
            <v>0</v>
          </cell>
          <cell r="GL92" t="str">
            <v/>
          </cell>
          <cell r="GN92">
            <v>0</v>
          </cell>
          <cell r="GO92" t="str">
            <v/>
          </cell>
          <cell r="GQ92">
            <v>0</v>
          </cell>
          <cell r="GR92" t="str">
            <v/>
          </cell>
          <cell r="GT92">
            <v>0</v>
          </cell>
          <cell r="GU92" t="str">
            <v/>
          </cell>
          <cell r="GW92">
            <v>0</v>
          </cell>
          <cell r="GX92" t="str">
            <v/>
          </cell>
          <cell r="GZ92">
            <v>3.87</v>
          </cell>
          <cell r="HA92">
            <v>39298.449612403099</v>
          </cell>
          <cell r="HC92">
            <v>0</v>
          </cell>
          <cell r="HD92" t="str">
            <v/>
          </cell>
          <cell r="HF92">
            <v>0</v>
          </cell>
          <cell r="HG92" t="str">
            <v/>
          </cell>
          <cell r="HI92">
            <v>0</v>
          </cell>
          <cell r="HJ92" t="str">
            <v/>
          </cell>
          <cell r="HL92">
            <v>0</v>
          </cell>
          <cell r="HM92" t="str">
            <v/>
          </cell>
          <cell r="HO92">
            <v>0</v>
          </cell>
          <cell r="HP92" t="str">
            <v/>
          </cell>
          <cell r="HR92">
            <v>0</v>
          </cell>
          <cell r="HS92" t="str">
            <v/>
          </cell>
          <cell r="HU92">
            <v>0</v>
          </cell>
          <cell r="HV92" t="str">
            <v/>
          </cell>
        </row>
        <row r="93">
          <cell r="DQ93">
            <v>0</v>
          </cell>
          <cell r="DR93" t="str">
            <v/>
          </cell>
          <cell r="DT93">
            <v>0</v>
          </cell>
          <cell r="DU93" t="str">
            <v/>
          </cell>
          <cell r="DW93">
            <v>0</v>
          </cell>
          <cell r="DX93" t="str">
            <v/>
          </cell>
          <cell r="DZ93">
            <v>0</v>
          </cell>
          <cell r="EA93" t="str">
            <v/>
          </cell>
          <cell r="EC93">
            <v>0</v>
          </cell>
          <cell r="ED93" t="str">
            <v/>
          </cell>
          <cell r="EF93">
            <v>0</v>
          </cell>
          <cell r="EG93" t="str">
            <v/>
          </cell>
          <cell r="EI93">
            <v>0</v>
          </cell>
          <cell r="EJ93" t="str">
            <v/>
          </cell>
          <cell r="EL93">
            <v>0</v>
          </cell>
          <cell r="EM93" t="str">
            <v/>
          </cell>
          <cell r="EO93">
            <v>0</v>
          </cell>
          <cell r="EP93" t="str">
            <v/>
          </cell>
          <cell r="ER93">
            <v>0</v>
          </cell>
          <cell r="ES93" t="str">
            <v/>
          </cell>
          <cell r="EU93">
            <v>0</v>
          </cell>
          <cell r="EV93" t="str">
            <v/>
          </cell>
          <cell r="EX93">
            <v>0</v>
          </cell>
          <cell r="EY93" t="str">
            <v/>
          </cell>
          <cell r="FA93">
            <v>0</v>
          </cell>
          <cell r="FB93" t="str">
            <v/>
          </cell>
          <cell r="FD93">
            <v>0</v>
          </cell>
          <cell r="FE93" t="str">
            <v/>
          </cell>
          <cell r="FG93">
            <v>0</v>
          </cell>
          <cell r="FH93" t="str">
            <v/>
          </cell>
          <cell r="FJ93">
            <v>0</v>
          </cell>
          <cell r="FK93" t="str">
            <v/>
          </cell>
          <cell r="FM93">
            <v>0</v>
          </cell>
          <cell r="FN93" t="str">
            <v/>
          </cell>
          <cell r="FP93">
            <v>0</v>
          </cell>
          <cell r="FQ93" t="str">
            <v/>
          </cell>
          <cell r="FS93">
            <v>0</v>
          </cell>
          <cell r="FT93" t="str">
            <v/>
          </cell>
          <cell r="FV93">
            <v>0</v>
          </cell>
          <cell r="FW93" t="str">
            <v/>
          </cell>
          <cell r="FY93">
            <v>0</v>
          </cell>
          <cell r="FZ93" t="str">
            <v/>
          </cell>
          <cell r="GB93">
            <v>0</v>
          </cell>
          <cell r="GC93" t="str">
            <v/>
          </cell>
          <cell r="GE93">
            <v>0</v>
          </cell>
          <cell r="GF93" t="str">
            <v/>
          </cell>
          <cell r="GH93">
            <v>0</v>
          </cell>
          <cell r="GI93" t="str">
            <v/>
          </cell>
          <cell r="GK93">
            <v>0</v>
          </cell>
          <cell r="GL93" t="str">
            <v/>
          </cell>
          <cell r="GN93">
            <v>0</v>
          </cell>
          <cell r="GO93" t="str">
            <v/>
          </cell>
          <cell r="GQ93">
            <v>0</v>
          </cell>
          <cell r="GR93" t="str">
            <v/>
          </cell>
          <cell r="GT93">
            <v>0</v>
          </cell>
          <cell r="GU93" t="str">
            <v/>
          </cell>
          <cell r="GW93">
            <v>0</v>
          </cell>
          <cell r="GX93" t="str">
            <v/>
          </cell>
          <cell r="GZ93">
            <v>0</v>
          </cell>
          <cell r="HA93" t="str">
            <v/>
          </cell>
          <cell r="HC93">
            <v>0</v>
          </cell>
          <cell r="HD93" t="str">
            <v/>
          </cell>
          <cell r="HF93">
            <v>0</v>
          </cell>
          <cell r="HG93" t="str">
            <v/>
          </cell>
          <cell r="HI93">
            <v>0</v>
          </cell>
          <cell r="HJ93" t="str">
            <v/>
          </cell>
          <cell r="HL93">
            <v>0</v>
          </cell>
          <cell r="HM93" t="str">
            <v/>
          </cell>
          <cell r="HO93">
            <v>0</v>
          </cell>
          <cell r="HP93" t="str">
            <v/>
          </cell>
          <cell r="HR93">
            <v>0</v>
          </cell>
          <cell r="HS93" t="str">
            <v/>
          </cell>
          <cell r="HU93">
            <v>0</v>
          </cell>
          <cell r="HV93" t="str">
            <v/>
          </cell>
        </row>
        <row r="94">
          <cell r="DQ94">
            <v>0.04</v>
          </cell>
          <cell r="DR94">
            <v>34275</v>
          </cell>
          <cell r="DT94">
            <v>0.01</v>
          </cell>
          <cell r="DU94">
            <v>74500</v>
          </cell>
          <cell r="DW94">
            <v>0</v>
          </cell>
          <cell r="DX94" t="str">
            <v/>
          </cell>
          <cell r="DZ94">
            <v>0</v>
          </cell>
          <cell r="EA94" t="str">
            <v/>
          </cell>
          <cell r="EC94">
            <v>0</v>
          </cell>
          <cell r="ED94" t="str">
            <v/>
          </cell>
          <cell r="EF94">
            <v>0</v>
          </cell>
          <cell r="EG94" t="str">
            <v/>
          </cell>
          <cell r="EI94">
            <v>0</v>
          </cell>
          <cell r="EJ94" t="str">
            <v/>
          </cell>
          <cell r="EL94">
            <v>0</v>
          </cell>
          <cell r="EM94" t="str">
            <v/>
          </cell>
          <cell r="EO94">
            <v>0</v>
          </cell>
          <cell r="EP94" t="str">
            <v/>
          </cell>
          <cell r="ER94">
            <v>0</v>
          </cell>
          <cell r="ES94" t="str">
            <v/>
          </cell>
          <cell r="EU94">
            <v>0</v>
          </cell>
          <cell r="EV94" t="str">
            <v/>
          </cell>
          <cell r="EX94">
            <v>0</v>
          </cell>
          <cell r="EY94" t="str">
            <v/>
          </cell>
          <cell r="FA94">
            <v>0</v>
          </cell>
          <cell r="FB94" t="str">
            <v/>
          </cell>
          <cell r="FD94">
            <v>0</v>
          </cell>
          <cell r="FE94" t="str">
            <v/>
          </cell>
          <cell r="FG94">
            <v>0</v>
          </cell>
          <cell r="FH94" t="str">
            <v/>
          </cell>
          <cell r="FJ94">
            <v>0</v>
          </cell>
          <cell r="FK94" t="str">
            <v/>
          </cell>
          <cell r="FM94">
            <v>0</v>
          </cell>
          <cell r="FN94" t="str">
            <v/>
          </cell>
          <cell r="FP94">
            <v>0</v>
          </cell>
          <cell r="FQ94" t="str">
            <v/>
          </cell>
          <cell r="FS94">
            <v>0</v>
          </cell>
          <cell r="FT94" t="str">
            <v/>
          </cell>
          <cell r="FV94">
            <v>0</v>
          </cell>
          <cell r="FW94" t="str">
            <v/>
          </cell>
          <cell r="FY94">
            <v>0</v>
          </cell>
          <cell r="FZ94" t="str">
            <v/>
          </cell>
          <cell r="GB94">
            <v>0</v>
          </cell>
          <cell r="GC94" t="str">
            <v/>
          </cell>
          <cell r="GE94">
            <v>0</v>
          </cell>
          <cell r="GF94" t="str">
            <v/>
          </cell>
          <cell r="GH94">
            <v>0</v>
          </cell>
          <cell r="GI94" t="str">
            <v/>
          </cell>
          <cell r="GK94">
            <v>0</v>
          </cell>
          <cell r="GL94" t="str">
            <v/>
          </cell>
          <cell r="GN94">
            <v>0</v>
          </cell>
          <cell r="GO94" t="str">
            <v/>
          </cell>
          <cell r="GQ94">
            <v>0</v>
          </cell>
          <cell r="GR94" t="str">
            <v/>
          </cell>
          <cell r="GT94">
            <v>0</v>
          </cell>
          <cell r="GU94" t="str">
            <v/>
          </cell>
          <cell r="GW94">
            <v>0</v>
          </cell>
          <cell r="GX94" t="str">
            <v/>
          </cell>
          <cell r="GZ94">
            <v>1.68</v>
          </cell>
          <cell r="HA94">
            <v>39460.119047619046</v>
          </cell>
          <cell r="HC94">
            <v>0</v>
          </cell>
          <cell r="HD94" t="str">
            <v/>
          </cell>
          <cell r="HF94">
            <v>0</v>
          </cell>
          <cell r="HG94" t="str">
            <v/>
          </cell>
          <cell r="HI94">
            <v>0</v>
          </cell>
          <cell r="HJ94" t="str">
            <v/>
          </cell>
          <cell r="HL94">
            <v>0</v>
          </cell>
          <cell r="HM94" t="str">
            <v/>
          </cell>
          <cell r="HO94">
            <v>0</v>
          </cell>
          <cell r="HP94" t="str">
            <v/>
          </cell>
          <cell r="HR94">
            <v>0</v>
          </cell>
          <cell r="HS94" t="str">
            <v/>
          </cell>
          <cell r="HU94">
            <v>0</v>
          </cell>
          <cell r="HV94" t="str">
            <v/>
          </cell>
        </row>
        <row r="95">
          <cell r="DQ95">
            <v>0.02</v>
          </cell>
          <cell r="DR95">
            <v>50800</v>
          </cell>
          <cell r="DT95">
            <v>0.02</v>
          </cell>
          <cell r="DU95">
            <v>63850</v>
          </cell>
          <cell r="DW95">
            <v>0</v>
          </cell>
          <cell r="DX95" t="str">
            <v/>
          </cell>
          <cell r="DZ95">
            <v>0</v>
          </cell>
          <cell r="EA95" t="str">
            <v/>
          </cell>
          <cell r="EC95">
            <v>0</v>
          </cell>
          <cell r="ED95" t="str">
            <v/>
          </cell>
          <cell r="EF95">
            <v>0</v>
          </cell>
          <cell r="EG95" t="str">
            <v/>
          </cell>
          <cell r="EI95">
            <v>0</v>
          </cell>
          <cell r="EJ95" t="str">
            <v/>
          </cell>
          <cell r="EL95">
            <v>0</v>
          </cell>
          <cell r="EM95" t="str">
            <v/>
          </cell>
          <cell r="EO95">
            <v>0</v>
          </cell>
          <cell r="EP95" t="str">
            <v/>
          </cell>
          <cell r="ER95">
            <v>0</v>
          </cell>
          <cell r="ES95" t="str">
            <v/>
          </cell>
          <cell r="EU95">
            <v>0</v>
          </cell>
          <cell r="EV95" t="str">
            <v/>
          </cell>
          <cell r="EX95">
            <v>0</v>
          </cell>
          <cell r="EY95" t="str">
            <v/>
          </cell>
          <cell r="FA95">
            <v>0</v>
          </cell>
          <cell r="FB95" t="str">
            <v/>
          </cell>
          <cell r="FD95">
            <v>0</v>
          </cell>
          <cell r="FE95" t="str">
            <v/>
          </cell>
          <cell r="FG95">
            <v>0</v>
          </cell>
          <cell r="FH95" t="str">
            <v/>
          </cell>
          <cell r="FJ95">
            <v>0</v>
          </cell>
          <cell r="FK95" t="str">
            <v/>
          </cell>
          <cell r="FM95">
            <v>0</v>
          </cell>
          <cell r="FN95" t="str">
            <v/>
          </cell>
          <cell r="FP95">
            <v>0</v>
          </cell>
          <cell r="FQ95" t="str">
            <v/>
          </cell>
          <cell r="FS95">
            <v>0</v>
          </cell>
          <cell r="FT95" t="str">
            <v/>
          </cell>
          <cell r="FV95">
            <v>0</v>
          </cell>
          <cell r="FW95" t="str">
            <v/>
          </cell>
          <cell r="FY95">
            <v>0</v>
          </cell>
          <cell r="FZ95" t="str">
            <v/>
          </cell>
          <cell r="GB95">
            <v>0</v>
          </cell>
          <cell r="GC95" t="str">
            <v/>
          </cell>
          <cell r="GE95">
            <v>0</v>
          </cell>
          <cell r="GF95" t="str">
            <v/>
          </cell>
          <cell r="GH95">
            <v>0</v>
          </cell>
          <cell r="GI95" t="str">
            <v/>
          </cell>
          <cell r="GK95">
            <v>0</v>
          </cell>
          <cell r="GL95" t="str">
            <v/>
          </cell>
          <cell r="GN95">
            <v>0</v>
          </cell>
          <cell r="GO95" t="str">
            <v/>
          </cell>
          <cell r="GQ95">
            <v>0</v>
          </cell>
          <cell r="GR95" t="str">
            <v/>
          </cell>
          <cell r="GT95">
            <v>0</v>
          </cell>
          <cell r="GU95" t="str">
            <v/>
          </cell>
          <cell r="GW95">
            <v>0</v>
          </cell>
          <cell r="GX95" t="str">
            <v/>
          </cell>
          <cell r="GZ95">
            <v>0.04</v>
          </cell>
          <cell r="HA95">
            <v>41775</v>
          </cell>
          <cell r="HC95">
            <v>0.04</v>
          </cell>
          <cell r="HD95">
            <v>42275</v>
          </cell>
          <cell r="HF95">
            <v>0</v>
          </cell>
          <cell r="HG95" t="str">
            <v/>
          </cell>
          <cell r="HI95">
            <v>0</v>
          </cell>
          <cell r="HJ95" t="str">
            <v/>
          </cell>
          <cell r="HL95">
            <v>0</v>
          </cell>
          <cell r="HM95" t="str">
            <v/>
          </cell>
          <cell r="HO95">
            <v>0</v>
          </cell>
          <cell r="HP95" t="str">
            <v/>
          </cell>
          <cell r="HR95">
            <v>0</v>
          </cell>
          <cell r="HS95" t="str">
            <v/>
          </cell>
          <cell r="HU95">
            <v>0</v>
          </cell>
          <cell r="HV95" t="str">
            <v/>
          </cell>
        </row>
        <row r="96">
          <cell r="DQ96">
            <v>0.01</v>
          </cell>
          <cell r="DR96">
            <v>49800</v>
          </cell>
          <cell r="DT96">
            <v>0</v>
          </cell>
          <cell r="DU96" t="str">
            <v/>
          </cell>
          <cell r="DW96">
            <v>0</v>
          </cell>
          <cell r="DX96" t="str">
            <v/>
          </cell>
          <cell r="DZ96">
            <v>0</v>
          </cell>
          <cell r="EA96" t="str">
            <v/>
          </cell>
          <cell r="EC96">
            <v>0</v>
          </cell>
          <cell r="ED96" t="str">
            <v/>
          </cell>
          <cell r="EF96">
            <v>0</v>
          </cell>
          <cell r="EG96" t="str">
            <v/>
          </cell>
          <cell r="EI96">
            <v>0</v>
          </cell>
          <cell r="EJ96" t="str">
            <v/>
          </cell>
          <cell r="EL96">
            <v>0</v>
          </cell>
          <cell r="EM96" t="str">
            <v/>
          </cell>
          <cell r="EO96">
            <v>0</v>
          </cell>
          <cell r="EP96" t="str">
            <v/>
          </cell>
          <cell r="ER96">
            <v>0</v>
          </cell>
          <cell r="ES96" t="str">
            <v/>
          </cell>
          <cell r="EU96">
            <v>0</v>
          </cell>
          <cell r="EV96" t="str">
            <v/>
          </cell>
          <cell r="EX96">
            <v>0</v>
          </cell>
          <cell r="EY96" t="str">
            <v/>
          </cell>
          <cell r="FA96">
            <v>0</v>
          </cell>
          <cell r="FB96" t="str">
            <v/>
          </cell>
          <cell r="FD96">
            <v>0</v>
          </cell>
          <cell r="FE96" t="str">
            <v/>
          </cell>
          <cell r="FG96">
            <v>0</v>
          </cell>
          <cell r="FH96" t="str">
            <v/>
          </cell>
          <cell r="FJ96">
            <v>0</v>
          </cell>
          <cell r="FK96" t="str">
            <v/>
          </cell>
          <cell r="FM96">
            <v>0</v>
          </cell>
          <cell r="FN96" t="str">
            <v/>
          </cell>
          <cell r="FP96">
            <v>0</v>
          </cell>
          <cell r="FQ96" t="str">
            <v/>
          </cell>
          <cell r="FS96">
            <v>0</v>
          </cell>
          <cell r="FT96" t="str">
            <v/>
          </cell>
          <cell r="FV96">
            <v>0</v>
          </cell>
          <cell r="FW96" t="str">
            <v/>
          </cell>
          <cell r="FY96">
            <v>0</v>
          </cell>
          <cell r="FZ96" t="str">
            <v/>
          </cell>
          <cell r="GB96">
            <v>0</v>
          </cell>
          <cell r="GC96" t="str">
            <v/>
          </cell>
          <cell r="GE96">
            <v>0</v>
          </cell>
          <cell r="GF96" t="str">
            <v/>
          </cell>
          <cell r="GH96">
            <v>0</v>
          </cell>
          <cell r="GI96" t="str">
            <v/>
          </cell>
          <cell r="GK96">
            <v>0</v>
          </cell>
          <cell r="GL96" t="str">
            <v/>
          </cell>
          <cell r="GN96">
            <v>0</v>
          </cell>
          <cell r="GO96" t="str">
            <v/>
          </cell>
          <cell r="GQ96">
            <v>0</v>
          </cell>
          <cell r="GR96" t="str">
            <v/>
          </cell>
          <cell r="GT96">
            <v>0</v>
          </cell>
          <cell r="GU96" t="str">
            <v/>
          </cell>
          <cell r="GW96">
            <v>0</v>
          </cell>
          <cell r="GX96" t="str">
            <v/>
          </cell>
          <cell r="GZ96">
            <v>0.4</v>
          </cell>
          <cell r="HA96">
            <v>38995</v>
          </cell>
          <cell r="HC96">
            <v>0</v>
          </cell>
          <cell r="HD96" t="str">
            <v/>
          </cell>
          <cell r="HF96">
            <v>0</v>
          </cell>
          <cell r="HG96" t="str">
            <v/>
          </cell>
          <cell r="HI96">
            <v>0</v>
          </cell>
          <cell r="HJ96" t="str">
            <v/>
          </cell>
          <cell r="HL96">
            <v>0</v>
          </cell>
          <cell r="HM96" t="str">
            <v/>
          </cell>
          <cell r="HO96">
            <v>0</v>
          </cell>
          <cell r="HP96" t="str">
            <v/>
          </cell>
          <cell r="HR96">
            <v>0</v>
          </cell>
          <cell r="HS96" t="str">
            <v/>
          </cell>
          <cell r="HU96">
            <v>0</v>
          </cell>
          <cell r="HV96" t="str">
            <v/>
          </cell>
        </row>
        <row r="97">
          <cell r="DQ97">
            <v>0</v>
          </cell>
          <cell r="DR97" t="str">
            <v/>
          </cell>
          <cell r="DT97">
            <v>0</v>
          </cell>
          <cell r="DU97" t="str">
            <v/>
          </cell>
          <cell r="DW97">
            <v>0</v>
          </cell>
          <cell r="DX97" t="str">
            <v/>
          </cell>
          <cell r="DZ97">
            <v>0</v>
          </cell>
          <cell r="EA97" t="str">
            <v/>
          </cell>
          <cell r="EC97">
            <v>0</v>
          </cell>
          <cell r="ED97" t="str">
            <v/>
          </cell>
          <cell r="EF97">
            <v>0</v>
          </cell>
          <cell r="EG97" t="str">
            <v/>
          </cell>
          <cell r="EI97">
            <v>0</v>
          </cell>
          <cell r="EJ97" t="str">
            <v/>
          </cell>
          <cell r="EL97">
            <v>0</v>
          </cell>
          <cell r="EM97" t="str">
            <v/>
          </cell>
          <cell r="EO97">
            <v>0</v>
          </cell>
          <cell r="EP97" t="str">
            <v/>
          </cell>
          <cell r="ER97">
            <v>0</v>
          </cell>
          <cell r="ES97" t="str">
            <v/>
          </cell>
          <cell r="EU97">
            <v>0</v>
          </cell>
          <cell r="EV97" t="str">
            <v/>
          </cell>
          <cell r="EX97">
            <v>0</v>
          </cell>
          <cell r="EY97" t="str">
            <v/>
          </cell>
          <cell r="FA97">
            <v>0</v>
          </cell>
          <cell r="FB97" t="str">
            <v/>
          </cell>
          <cell r="FD97">
            <v>0</v>
          </cell>
          <cell r="FE97" t="str">
            <v/>
          </cell>
          <cell r="FG97">
            <v>0</v>
          </cell>
          <cell r="FH97" t="str">
            <v/>
          </cell>
          <cell r="FJ97">
            <v>0</v>
          </cell>
          <cell r="FK97" t="str">
            <v/>
          </cell>
          <cell r="FM97">
            <v>0</v>
          </cell>
          <cell r="FN97" t="str">
            <v/>
          </cell>
          <cell r="FP97">
            <v>0</v>
          </cell>
          <cell r="FQ97" t="str">
            <v/>
          </cell>
          <cell r="FS97">
            <v>0</v>
          </cell>
          <cell r="FT97" t="str">
            <v/>
          </cell>
          <cell r="FV97">
            <v>0</v>
          </cell>
          <cell r="FW97" t="str">
            <v/>
          </cell>
          <cell r="FY97">
            <v>0</v>
          </cell>
          <cell r="FZ97" t="str">
            <v/>
          </cell>
          <cell r="GB97">
            <v>0</v>
          </cell>
          <cell r="GC97" t="str">
            <v/>
          </cell>
          <cell r="GE97">
            <v>0</v>
          </cell>
          <cell r="GF97" t="str">
            <v/>
          </cell>
          <cell r="GH97">
            <v>0</v>
          </cell>
          <cell r="GI97" t="str">
            <v/>
          </cell>
          <cell r="GK97">
            <v>0</v>
          </cell>
          <cell r="GL97" t="str">
            <v/>
          </cell>
          <cell r="GN97">
            <v>0</v>
          </cell>
          <cell r="GO97" t="str">
            <v/>
          </cell>
          <cell r="GQ97">
            <v>0</v>
          </cell>
          <cell r="GR97" t="str">
            <v/>
          </cell>
          <cell r="GT97">
            <v>0</v>
          </cell>
          <cell r="GU97" t="str">
            <v/>
          </cell>
          <cell r="GW97">
            <v>0</v>
          </cell>
          <cell r="GX97" t="str">
            <v/>
          </cell>
          <cell r="GZ97">
            <v>0</v>
          </cell>
          <cell r="HA97" t="str">
            <v/>
          </cell>
          <cell r="HC97">
            <v>0</v>
          </cell>
          <cell r="HD97" t="str">
            <v/>
          </cell>
          <cell r="HF97">
            <v>0</v>
          </cell>
          <cell r="HG97" t="str">
            <v/>
          </cell>
          <cell r="HI97">
            <v>0</v>
          </cell>
          <cell r="HJ97" t="str">
            <v/>
          </cell>
          <cell r="HL97">
            <v>0</v>
          </cell>
          <cell r="HM97" t="str">
            <v/>
          </cell>
          <cell r="HO97">
            <v>0</v>
          </cell>
          <cell r="HP97" t="str">
            <v/>
          </cell>
          <cell r="HR97">
            <v>0</v>
          </cell>
          <cell r="HS97" t="str">
            <v/>
          </cell>
          <cell r="HU97">
            <v>0</v>
          </cell>
          <cell r="HV97" t="str">
            <v/>
          </cell>
        </row>
        <row r="98">
          <cell r="DQ98">
            <v>0.15</v>
          </cell>
          <cell r="DR98">
            <v>76740</v>
          </cell>
          <cell r="DT98">
            <v>1</v>
          </cell>
          <cell r="DU98">
            <v>60491</v>
          </cell>
          <cell r="DW98">
            <v>0</v>
          </cell>
          <cell r="DX98" t="str">
            <v/>
          </cell>
          <cell r="DZ98">
            <v>0</v>
          </cell>
          <cell r="EA98" t="str">
            <v/>
          </cell>
          <cell r="EC98">
            <v>0</v>
          </cell>
          <cell r="ED98" t="str">
            <v/>
          </cell>
          <cell r="EF98">
            <v>0</v>
          </cell>
          <cell r="EG98" t="str">
            <v/>
          </cell>
          <cell r="EI98">
            <v>0</v>
          </cell>
          <cell r="EJ98" t="str">
            <v/>
          </cell>
          <cell r="EL98">
            <v>0</v>
          </cell>
          <cell r="EM98" t="str">
            <v/>
          </cell>
          <cell r="EO98">
            <v>0</v>
          </cell>
          <cell r="EP98" t="str">
            <v/>
          </cell>
          <cell r="ER98">
            <v>0</v>
          </cell>
          <cell r="ES98" t="str">
            <v/>
          </cell>
          <cell r="EU98">
            <v>0</v>
          </cell>
          <cell r="EV98" t="str">
            <v/>
          </cell>
          <cell r="EX98">
            <v>0</v>
          </cell>
          <cell r="EY98" t="str">
            <v/>
          </cell>
          <cell r="FA98">
            <v>0</v>
          </cell>
          <cell r="FB98" t="str">
            <v/>
          </cell>
          <cell r="FD98">
            <v>0</v>
          </cell>
          <cell r="FE98" t="str">
            <v/>
          </cell>
          <cell r="FG98">
            <v>0</v>
          </cell>
          <cell r="FH98" t="str">
            <v/>
          </cell>
          <cell r="FJ98">
            <v>0</v>
          </cell>
          <cell r="FK98" t="str">
            <v/>
          </cell>
          <cell r="FM98">
            <v>0</v>
          </cell>
          <cell r="FN98" t="str">
            <v/>
          </cell>
          <cell r="FP98">
            <v>0</v>
          </cell>
          <cell r="FQ98" t="str">
            <v/>
          </cell>
          <cell r="FS98">
            <v>0</v>
          </cell>
          <cell r="FT98" t="str">
            <v/>
          </cell>
          <cell r="FV98">
            <v>0</v>
          </cell>
          <cell r="FW98" t="str">
            <v/>
          </cell>
          <cell r="FY98">
            <v>0</v>
          </cell>
          <cell r="FZ98" t="str">
            <v/>
          </cell>
          <cell r="GB98">
            <v>0</v>
          </cell>
          <cell r="GC98" t="str">
            <v/>
          </cell>
          <cell r="GE98">
            <v>0</v>
          </cell>
          <cell r="GF98" t="str">
            <v/>
          </cell>
          <cell r="GH98">
            <v>0</v>
          </cell>
          <cell r="GI98" t="str">
            <v/>
          </cell>
          <cell r="GK98">
            <v>0</v>
          </cell>
          <cell r="GL98" t="str">
            <v/>
          </cell>
          <cell r="GN98">
            <v>0</v>
          </cell>
          <cell r="GO98" t="str">
            <v/>
          </cell>
          <cell r="GQ98">
            <v>0</v>
          </cell>
          <cell r="GR98" t="str">
            <v/>
          </cell>
          <cell r="GT98">
            <v>0</v>
          </cell>
          <cell r="GU98" t="str">
            <v/>
          </cell>
          <cell r="GW98">
            <v>0</v>
          </cell>
          <cell r="GX98" t="str">
            <v/>
          </cell>
          <cell r="GZ98">
            <v>0</v>
          </cell>
          <cell r="HA98" t="str">
            <v/>
          </cell>
          <cell r="HC98">
            <v>0</v>
          </cell>
          <cell r="HD98" t="str">
            <v/>
          </cell>
          <cell r="HF98">
            <v>0</v>
          </cell>
          <cell r="HG98" t="str">
            <v/>
          </cell>
          <cell r="HI98">
            <v>2.0099999999999998</v>
          </cell>
          <cell r="HJ98">
            <v>44613.432835820902</v>
          </cell>
          <cell r="HL98">
            <v>0.51</v>
          </cell>
          <cell r="HM98">
            <v>40684.313725490196</v>
          </cell>
          <cell r="HO98">
            <v>0.2</v>
          </cell>
          <cell r="HP98">
            <v>33745</v>
          </cell>
          <cell r="HR98">
            <v>0.03</v>
          </cell>
          <cell r="HS98">
            <v>36466.666666666672</v>
          </cell>
          <cell r="HU98">
            <v>0</v>
          </cell>
          <cell r="HV98" t="str">
            <v/>
          </cell>
        </row>
        <row r="99">
          <cell r="DQ99">
            <v>1</v>
          </cell>
          <cell r="DR99">
            <v>25632</v>
          </cell>
          <cell r="DT99">
            <v>0.05</v>
          </cell>
          <cell r="DU99">
            <v>164040</v>
          </cell>
          <cell r="DW99">
            <v>1</v>
          </cell>
          <cell r="DX99">
            <v>36215</v>
          </cell>
          <cell r="DZ99">
            <v>0.05</v>
          </cell>
          <cell r="EA99">
            <v>540260</v>
          </cell>
          <cell r="EC99">
            <v>0</v>
          </cell>
          <cell r="ED99" t="str">
            <v/>
          </cell>
          <cell r="EF99">
            <v>0</v>
          </cell>
          <cell r="EG99" t="str">
            <v/>
          </cell>
          <cell r="EI99">
            <v>0</v>
          </cell>
          <cell r="EJ99" t="str">
            <v/>
          </cell>
          <cell r="EL99">
            <v>0</v>
          </cell>
          <cell r="EM99" t="str">
            <v/>
          </cell>
          <cell r="EO99">
            <v>0</v>
          </cell>
          <cell r="EP99" t="str">
            <v/>
          </cell>
          <cell r="ER99">
            <v>0</v>
          </cell>
          <cell r="ES99" t="str">
            <v/>
          </cell>
          <cell r="EU99">
            <v>0</v>
          </cell>
          <cell r="EV99" t="str">
            <v/>
          </cell>
          <cell r="EX99">
            <v>0</v>
          </cell>
          <cell r="EY99" t="str">
            <v/>
          </cell>
          <cell r="FA99">
            <v>0</v>
          </cell>
          <cell r="FB99" t="str">
            <v/>
          </cell>
          <cell r="FD99">
            <v>0</v>
          </cell>
          <cell r="FE99" t="str">
            <v/>
          </cell>
          <cell r="FG99">
            <v>0</v>
          </cell>
          <cell r="FH99" t="str">
            <v/>
          </cell>
          <cell r="FJ99">
            <v>0</v>
          </cell>
          <cell r="FK99" t="str">
            <v/>
          </cell>
          <cell r="FM99">
            <v>0</v>
          </cell>
          <cell r="FN99" t="str">
            <v/>
          </cell>
          <cell r="FP99">
            <v>0</v>
          </cell>
          <cell r="FQ99" t="str">
            <v/>
          </cell>
          <cell r="FS99">
            <v>0</v>
          </cell>
          <cell r="FT99" t="str">
            <v/>
          </cell>
          <cell r="FV99">
            <v>0</v>
          </cell>
          <cell r="FW99" t="str">
            <v/>
          </cell>
          <cell r="FY99">
            <v>0</v>
          </cell>
          <cell r="FZ99" t="str">
            <v/>
          </cell>
          <cell r="GB99">
            <v>0.01</v>
          </cell>
          <cell r="GC99">
            <v>146200</v>
          </cell>
          <cell r="GE99">
            <v>0</v>
          </cell>
          <cell r="GF99" t="str">
            <v/>
          </cell>
          <cell r="GH99">
            <v>0</v>
          </cell>
          <cell r="GI99" t="str">
            <v/>
          </cell>
          <cell r="GK99">
            <v>0</v>
          </cell>
          <cell r="GL99" t="str">
            <v/>
          </cell>
          <cell r="GN99">
            <v>0</v>
          </cell>
          <cell r="GO99" t="str">
            <v/>
          </cell>
          <cell r="GQ99">
            <v>0</v>
          </cell>
          <cell r="GR99" t="str">
            <v/>
          </cell>
          <cell r="GT99">
            <v>0</v>
          </cell>
          <cell r="GU99" t="str">
            <v/>
          </cell>
          <cell r="GW99">
            <v>0</v>
          </cell>
          <cell r="GX99" t="str">
            <v/>
          </cell>
          <cell r="GZ99">
            <v>4</v>
          </cell>
          <cell r="HA99">
            <v>23161.75</v>
          </cell>
          <cell r="HC99">
            <v>0</v>
          </cell>
          <cell r="HD99" t="str">
            <v/>
          </cell>
          <cell r="HF99">
            <v>0</v>
          </cell>
          <cell r="HG99" t="str">
            <v/>
          </cell>
          <cell r="HI99">
            <v>0</v>
          </cell>
          <cell r="HJ99" t="str">
            <v/>
          </cell>
          <cell r="HL99">
            <v>0</v>
          </cell>
          <cell r="HM99" t="str">
            <v/>
          </cell>
          <cell r="HO99">
            <v>0.8</v>
          </cell>
          <cell r="HP99">
            <v>33307.5</v>
          </cell>
          <cell r="HR99">
            <v>0</v>
          </cell>
          <cell r="HS99" t="str">
            <v/>
          </cell>
          <cell r="HU99">
            <v>0</v>
          </cell>
          <cell r="HV99" t="str">
            <v/>
          </cell>
        </row>
        <row r="100">
          <cell r="DQ100">
            <v>0</v>
          </cell>
          <cell r="DR100" t="str">
            <v/>
          </cell>
          <cell r="DT100">
            <v>0</v>
          </cell>
          <cell r="DU100" t="str">
            <v/>
          </cell>
          <cell r="DW100">
            <v>0</v>
          </cell>
          <cell r="DX100" t="str">
            <v/>
          </cell>
          <cell r="DZ100">
            <v>0</v>
          </cell>
          <cell r="EA100" t="str">
            <v/>
          </cell>
          <cell r="EC100">
            <v>0</v>
          </cell>
          <cell r="ED100" t="str">
            <v/>
          </cell>
          <cell r="EF100">
            <v>0</v>
          </cell>
          <cell r="EG100" t="str">
            <v/>
          </cell>
          <cell r="EI100">
            <v>0</v>
          </cell>
          <cell r="EJ100" t="str">
            <v/>
          </cell>
          <cell r="EL100">
            <v>0</v>
          </cell>
          <cell r="EM100" t="str">
            <v/>
          </cell>
          <cell r="EO100">
            <v>0</v>
          </cell>
          <cell r="EP100" t="str">
            <v/>
          </cell>
          <cell r="ER100">
            <v>0</v>
          </cell>
          <cell r="ES100" t="str">
            <v/>
          </cell>
          <cell r="EU100">
            <v>0</v>
          </cell>
          <cell r="EV100" t="str">
            <v/>
          </cell>
          <cell r="EX100">
            <v>0</v>
          </cell>
          <cell r="EY100" t="str">
            <v/>
          </cell>
          <cell r="FA100">
            <v>0</v>
          </cell>
          <cell r="FB100" t="str">
            <v/>
          </cell>
          <cell r="FD100">
            <v>0</v>
          </cell>
          <cell r="FE100" t="str">
            <v/>
          </cell>
          <cell r="FG100">
            <v>0.2</v>
          </cell>
          <cell r="FH100">
            <v>22880</v>
          </cell>
          <cell r="FJ100">
            <v>0</v>
          </cell>
          <cell r="FK100" t="str">
            <v/>
          </cell>
          <cell r="FM100">
            <v>0</v>
          </cell>
          <cell r="FN100" t="str">
            <v/>
          </cell>
          <cell r="FP100">
            <v>0</v>
          </cell>
          <cell r="FQ100" t="str">
            <v/>
          </cell>
          <cell r="FS100">
            <v>0</v>
          </cell>
          <cell r="FT100" t="str">
            <v/>
          </cell>
          <cell r="FV100">
            <v>0</v>
          </cell>
          <cell r="FW100" t="str">
            <v/>
          </cell>
          <cell r="FY100">
            <v>0</v>
          </cell>
          <cell r="FZ100" t="str">
            <v/>
          </cell>
          <cell r="GB100">
            <v>0</v>
          </cell>
          <cell r="GC100" t="str">
            <v/>
          </cell>
          <cell r="GE100">
            <v>0</v>
          </cell>
          <cell r="GF100" t="str">
            <v/>
          </cell>
          <cell r="GH100">
            <v>0</v>
          </cell>
          <cell r="GI100" t="str">
            <v/>
          </cell>
          <cell r="GK100">
            <v>0</v>
          </cell>
          <cell r="GL100" t="str">
            <v/>
          </cell>
          <cell r="GN100">
            <v>0</v>
          </cell>
          <cell r="GO100" t="str">
            <v/>
          </cell>
          <cell r="GQ100">
            <v>0</v>
          </cell>
          <cell r="GR100" t="str">
            <v/>
          </cell>
          <cell r="GT100">
            <v>0</v>
          </cell>
          <cell r="GU100" t="str">
            <v/>
          </cell>
          <cell r="GW100">
            <v>0</v>
          </cell>
          <cell r="GX100" t="str">
            <v/>
          </cell>
          <cell r="GZ100">
            <v>0</v>
          </cell>
          <cell r="HA100" t="str">
            <v/>
          </cell>
          <cell r="HC100">
            <v>0</v>
          </cell>
          <cell r="HD100" t="str">
            <v/>
          </cell>
          <cell r="HF100">
            <v>0</v>
          </cell>
          <cell r="HG100" t="str">
            <v/>
          </cell>
          <cell r="HI100">
            <v>0</v>
          </cell>
          <cell r="HJ100" t="str">
            <v/>
          </cell>
          <cell r="HL100">
            <v>0</v>
          </cell>
          <cell r="HM100" t="str">
            <v/>
          </cell>
          <cell r="HO100">
            <v>0</v>
          </cell>
          <cell r="HP100" t="str">
            <v/>
          </cell>
          <cell r="HR100">
            <v>0</v>
          </cell>
          <cell r="HS100" t="str">
            <v/>
          </cell>
          <cell r="HU100">
            <v>0</v>
          </cell>
          <cell r="HV100" t="str">
            <v/>
          </cell>
        </row>
        <row r="101">
          <cell r="DQ101">
            <v>0.09</v>
          </cell>
          <cell r="DR101">
            <v>74676.333333333328</v>
          </cell>
          <cell r="DT101">
            <v>0</v>
          </cell>
          <cell r="DU101" t="str">
            <v/>
          </cell>
          <cell r="DW101">
            <v>0</v>
          </cell>
          <cell r="DX101" t="str">
            <v/>
          </cell>
          <cell r="DZ101">
            <v>0</v>
          </cell>
          <cell r="EA101" t="str">
            <v/>
          </cell>
          <cell r="EC101">
            <v>0</v>
          </cell>
          <cell r="ED101" t="str">
            <v/>
          </cell>
          <cell r="EF101">
            <v>0</v>
          </cell>
          <cell r="EG101" t="str">
            <v/>
          </cell>
          <cell r="EI101">
            <v>0</v>
          </cell>
          <cell r="EJ101" t="str">
            <v/>
          </cell>
          <cell r="EL101">
            <v>0</v>
          </cell>
          <cell r="EM101" t="str">
            <v/>
          </cell>
          <cell r="EO101">
            <v>0</v>
          </cell>
          <cell r="EP101" t="str">
            <v/>
          </cell>
          <cell r="ER101">
            <v>0</v>
          </cell>
          <cell r="ES101" t="str">
            <v/>
          </cell>
          <cell r="EU101">
            <v>0</v>
          </cell>
          <cell r="EV101" t="str">
            <v/>
          </cell>
          <cell r="EX101">
            <v>0</v>
          </cell>
          <cell r="EY101" t="str">
            <v/>
          </cell>
          <cell r="FA101">
            <v>0</v>
          </cell>
          <cell r="FB101" t="str">
            <v/>
          </cell>
          <cell r="FD101">
            <v>0</v>
          </cell>
          <cell r="FE101" t="str">
            <v/>
          </cell>
          <cell r="FG101">
            <v>0</v>
          </cell>
          <cell r="FH101" t="str">
            <v/>
          </cell>
          <cell r="FJ101">
            <v>0</v>
          </cell>
          <cell r="FK101" t="str">
            <v/>
          </cell>
          <cell r="FM101">
            <v>0</v>
          </cell>
          <cell r="FN101" t="str">
            <v/>
          </cell>
          <cell r="FP101">
            <v>0</v>
          </cell>
          <cell r="FQ101" t="str">
            <v/>
          </cell>
          <cell r="FS101">
            <v>0</v>
          </cell>
          <cell r="FT101" t="str">
            <v/>
          </cell>
          <cell r="FV101">
            <v>0</v>
          </cell>
          <cell r="FW101" t="str">
            <v/>
          </cell>
          <cell r="FY101">
            <v>0</v>
          </cell>
          <cell r="FZ101" t="str">
            <v/>
          </cell>
          <cell r="GB101">
            <v>0</v>
          </cell>
          <cell r="GC101" t="str">
            <v/>
          </cell>
          <cell r="GE101">
            <v>0</v>
          </cell>
          <cell r="GF101" t="str">
            <v/>
          </cell>
          <cell r="GH101">
            <v>0</v>
          </cell>
          <cell r="GI101" t="str">
            <v/>
          </cell>
          <cell r="GK101">
            <v>0</v>
          </cell>
          <cell r="GL101" t="str">
            <v/>
          </cell>
          <cell r="GN101">
            <v>0</v>
          </cell>
          <cell r="GO101" t="str">
            <v/>
          </cell>
          <cell r="GQ101">
            <v>0</v>
          </cell>
          <cell r="GR101" t="str">
            <v/>
          </cell>
          <cell r="GT101">
            <v>0</v>
          </cell>
          <cell r="GU101" t="str">
            <v/>
          </cell>
          <cell r="GW101">
            <v>0</v>
          </cell>
          <cell r="GX101" t="str">
            <v/>
          </cell>
          <cell r="GZ101">
            <v>0</v>
          </cell>
          <cell r="HA101" t="str">
            <v/>
          </cell>
          <cell r="HC101">
            <v>0</v>
          </cell>
          <cell r="HD101" t="str">
            <v/>
          </cell>
          <cell r="HF101">
            <v>0</v>
          </cell>
          <cell r="HG101" t="str">
            <v/>
          </cell>
          <cell r="HI101">
            <v>0</v>
          </cell>
          <cell r="HJ101" t="str">
            <v/>
          </cell>
          <cell r="HL101">
            <v>0</v>
          </cell>
          <cell r="HM101" t="str">
            <v/>
          </cell>
          <cell r="HO101">
            <v>0</v>
          </cell>
          <cell r="HP101" t="str">
            <v/>
          </cell>
          <cell r="HR101">
            <v>0</v>
          </cell>
          <cell r="HS101" t="str">
            <v/>
          </cell>
          <cell r="HU101">
            <v>0</v>
          </cell>
          <cell r="HV101" t="str">
            <v/>
          </cell>
        </row>
        <row r="102">
          <cell r="DQ102">
            <v>0.06</v>
          </cell>
          <cell r="DR102">
            <v>56166.666666666672</v>
          </cell>
          <cell r="DT102">
            <v>0.06</v>
          </cell>
          <cell r="DU102">
            <v>45933.333333333336</v>
          </cell>
          <cell r="DW102">
            <v>0.06</v>
          </cell>
          <cell r="DX102">
            <v>41833.333333333336</v>
          </cell>
          <cell r="DZ102">
            <v>0</v>
          </cell>
          <cell r="EA102" t="str">
            <v/>
          </cell>
          <cell r="EC102">
            <v>0</v>
          </cell>
          <cell r="ED102" t="str">
            <v/>
          </cell>
          <cell r="EF102">
            <v>0</v>
          </cell>
          <cell r="EG102" t="str">
            <v/>
          </cell>
          <cell r="EI102">
            <v>0</v>
          </cell>
          <cell r="EJ102" t="str">
            <v/>
          </cell>
          <cell r="EL102">
            <v>0</v>
          </cell>
          <cell r="EM102" t="str">
            <v/>
          </cell>
          <cell r="EO102">
            <v>0</v>
          </cell>
          <cell r="EP102" t="str">
            <v/>
          </cell>
          <cell r="ER102">
            <v>0</v>
          </cell>
          <cell r="ES102" t="str">
            <v/>
          </cell>
          <cell r="EU102">
            <v>0</v>
          </cell>
          <cell r="EV102" t="str">
            <v/>
          </cell>
          <cell r="EX102">
            <v>0</v>
          </cell>
          <cell r="EY102" t="str">
            <v/>
          </cell>
          <cell r="FA102">
            <v>0</v>
          </cell>
          <cell r="FB102" t="str">
            <v/>
          </cell>
          <cell r="FD102">
            <v>0</v>
          </cell>
          <cell r="FE102" t="str">
            <v/>
          </cell>
          <cell r="FG102">
            <v>0</v>
          </cell>
          <cell r="FH102" t="str">
            <v/>
          </cell>
          <cell r="FJ102">
            <v>0</v>
          </cell>
          <cell r="FK102" t="str">
            <v/>
          </cell>
          <cell r="FM102">
            <v>0</v>
          </cell>
          <cell r="FN102" t="str">
            <v/>
          </cell>
          <cell r="FP102">
            <v>0</v>
          </cell>
          <cell r="FQ102" t="str">
            <v/>
          </cell>
          <cell r="FS102">
            <v>0</v>
          </cell>
          <cell r="FT102" t="str">
            <v/>
          </cell>
          <cell r="FV102">
            <v>0</v>
          </cell>
          <cell r="FW102" t="str">
            <v/>
          </cell>
          <cell r="FY102">
            <v>0</v>
          </cell>
          <cell r="FZ102" t="str">
            <v/>
          </cell>
          <cell r="GB102">
            <v>0</v>
          </cell>
          <cell r="GC102" t="str">
            <v/>
          </cell>
          <cell r="GE102">
            <v>0</v>
          </cell>
          <cell r="GF102" t="str">
            <v/>
          </cell>
          <cell r="GH102">
            <v>0</v>
          </cell>
          <cell r="GI102" t="str">
            <v/>
          </cell>
          <cell r="GK102">
            <v>0</v>
          </cell>
          <cell r="GL102" t="str">
            <v/>
          </cell>
          <cell r="GN102">
            <v>0</v>
          </cell>
          <cell r="GO102" t="str">
            <v/>
          </cell>
          <cell r="GQ102">
            <v>0</v>
          </cell>
          <cell r="GR102" t="str">
            <v/>
          </cell>
          <cell r="GT102">
            <v>0</v>
          </cell>
          <cell r="GU102" t="str">
            <v/>
          </cell>
          <cell r="GW102">
            <v>0</v>
          </cell>
          <cell r="GX102" t="str">
            <v/>
          </cell>
          <cell r="GZ102">
            <v>0</v>
          </cell>
          <cell r="HA102" t="str">
            <v/>
          </cell>
          <cell r="HC102">
            <v>0</v>
          </cell>
          <cell r="HD102" t="str">
            <v/>
          </cell>
          <cell r="HF102">
            <v>0</v>
          </cell>
          <cell r="HG102" t="str">
            <v/>
          </cell>
          <cell r="HI102">
            <v>0</v>
          </cell>
          <cell r="HJ102" t="str">
            <v/>
          </cell>
          <cell r="HL102">
            <v>0.34</v>
          </cell>
          <cell r="HM102">
            <v>30576.470588235294</v>
          </cell>
          <cell r="HO102">
            <v>0</v>
          </cell>
          <cell r="HP102" t="str">
            <v/>
          </cell>
          <cell r="HR102">
            <v>0</v>
          </cell>
          <cell r="HS102" t="str">
            <v/>
          </cell>
          <cell r="HU102">
            <v>0</v>
          </cell>
          <cell r="HV102" t="str">
            <v/>
          </cell>
        </row>
        <row r="103">
          <cell r="DQ103">
            <v>0</v>
          </cell>
          <cell r="DR103" t="str">
            <v/>
          </cell>
          <cell r="DT103">
            <v>0</v>
          </cell>
          <cell r="DU103" t="str">
            <v/>
          </cell>
          <cell r="DW103">
            <v>0</v>
          </cell>
          <cell r="DX103" t="str">
            <v/>
          </cell>
          <cell r="DZ103">
            <v>0</v>
          </cell>
          <cell r="EA103" t="str">
            <v/>
          </cell>
          <cell r="EC103">
            <v>0</v>
          </cell>
          <cell r="ED103" t="str">
            <v/>
          </cell>
          <cell r="EF103">
            <v>0</v>
          </cell>
          <cell r="EG103" t="str">
            <v/>
          </cell>
          <cell r="EI103">
            <v>0</v>
          </cell>
          <cell r="EJ103" t="str">
            <v/>
          </cell>
          <cell r="EL103">
            <v>0</v>
          </cell>
          <cell r="EM103" t="str">
            <v/>
          </cell>
          <cell r="EO103">
            <v>0</v>
          </cell>
          <cell r="EP103" t="str">
            <v/>
          </cell>
          <cell r="ER103">
            <v>0</v>
          </cell>
          <cell r="ES103" t="str">
            <v/>
          </cell>
          <cell r="EU103">
            <v>0</v>
          </cell>
          <cell r="EV103" t="str">
            <v/>
          </cell>
          <cell r="EX103">
            <v>0</v>
          </cell>
          <cell r="EY103" t="str">
            <v/>
          </cell>
          <cell r="FA103">
            <v>0</v>
          </cell>
          <cell r="FB103" t="str">
            <v/>
          </cell>
          <cell r="FD103">
            <v>0</v>
          </cell>
          <cell r="FE103" t="str">
            <v/>
          </cell>
          <cell r="FG103">
            <v>0</v>
          </cell>
          <cell r="FH103" t="str">
            <v/>
          </cell>
          <cell r="FJ103">
            <v>0</v>
          </cell>
          <cell r="FK103" t="str">
            <v/>
          </cell>
          <cell r="FM103">
            <v>0</v>
          </cell>
          <cell r="FN103" t="str">
            <v/>
          </cell>
          <cell r="FP103">
            <v>0</v>
          </cell>
          <cell r="FQ103" t="str">
            <v/>
          </cell>
          <cell r="FS103">
            <v>0</v>
          </cell>
          <cell r="FT103" t="str">
            <v/>
          </cell>
          <cell r="FV103">
            <v>0</v>
          </cell>
          <cell r="FW103" t="str">
            <v/>
          </cell>
          <cell r="FY103">
            <v>0</v>
          </cell>
          <cell r="FZ103" t="str">
            <v/>
          </cell>
          <cell r="GB103">
            <v>0</v>
          </cell>
          <cell r="GC103" t="str">
            <v/>
          </cell>
          <cell r="GE103">
            <v>0</v>
          </cell>
          <cell r="GF103" t="str">
            <v/>
          </cell>
          <cell r="GH103">
            <v>0</v>
          </cell>
          <cell r="GI103" t="str">
            <v/>
          </cell>
          <cell r="GK103">
            <v>0</v>
          </cell>
          <cell r="GL103" t="str">
            <v/>
          </cell>
          <cell r="GN103">
            <v>0</v>
          </cell>
          <cell r="GO103" t="str">
            <v/>
          </cell>
          <cell r="GQ103">
            <v>0</v>
          </cell>
          <cell r="GR103" t="str">
            <v/>
          </cell>
          <cell r="GT103">
            <v>0</v>
          </cell>
          <cell r="GU103" t="str">
            <v/>
          </cell>
          <cell r="GW103">
            <v>0</v>
          </cell>
          <cell r="GX103" t="str">
            <v/>
          </cell>
          <cell r="GZ103">
            <v>0.24</v>
          </cell>
          <cell r="HA103">
            <v>48458.333333333336</v>
          </cell>
          <cell r="HC103">
            <v>0</v>
          </cell>
          <cell r="HD103" t="str">
            <v/>
          </cell>
          <cell r="HF103">
            <v>0</v>
          </cell>
          <cell r="HG103" t="str">
            <v/>
          </cell>
          <cell r="HI103">
            <v>0</v>
          </cell>
          <cell r="HJ103" t="str">
            <v/>
          </cell>
          <cell r="HL103">
            <v>0.01</v>
          </cell>
          <cell r="HM103">
            <v>43600</v>
          </cell>
          <cell r="HO103">
            <v>0</v>
          </cell>
          <cell r="HP103" t="str">
            <v/>
          </cell>
          <cell r="HR103">
            <v>0</v>
          </cell>
          <cell r="HS103" t="str">
            <v/>
          </cell>
          <cell r="HU103">
            <v>0</v>
          </cell>
          <cell r="HV103" t="str">
            <v/>
          </cell>
        </row>
        <row r="104">
          <cell r="DQ104">
            <v>0</v>
          </cell>
          <cell r="DR104" t="str">
            <v/>
          </cell>
          <cell r="DT104">
            <v>0</v>
          </cell>
          <cell r="DU104" t="str">
            <v/>
          </cell>
          <cell r="DW104">
            <v>0</v>
          </cell>
          <cell r="DX104" t="str">
            <v/>
          </cell>
          <cell r="DZ104">
            <v>0</v>
          </cell>
          <cell r="EA104" t="str">
            <v/>
          </cell>
          <cell r="EC104">
            <v>0</v>
          </cell>
          <cell r="ED104" t="str">
            <v/>
          </cell>
          <cell r="EF104">
            <v>0</v>
          </cell>
          <cell r="EG104" t="str">
            <v/>
          </cell>
          <cell r="EI104">
            <v>0</v>
          </cell>
          <cell r="EJ104" t="str">
            <v/>
          </cell>
          <cell r="EL104">
            <v>0</v>
          </cell>
          <cell r="EM104" t="str">
            <v/>
          </cell>
          <cell r="EO104">
            <v>0</v>
          </cell>
          <cell r="EP104" t="str">
            <v/>
          </cell>
          <cell r="ER104">
            <v>0</v>
          </cell>
          <cell r="ES104" t="str">
            <v/>
          </cell>
          <cell r="EU104">
            <v>0</v>
          </cell>
          <cell r="EV104" t="str">
            <v/>
          </cell>
          <cell r="EX104">
            <v>0</v>
          </cell>
          <cell r="EY104" t="str">
            <v/>
          </cell>
          <cell r="FA104">
            <v>0</v>
          </cell>
          <cell r="FB104" t="str">
            <v/>
          </cell>
          <cell r="FD104">
            <v>0</v>
          </cell>
          <cell r="FE104" t="str">
            <v/>
          </cell>
          <cell r="FG104">
            <v>0</v>
          </cell>
          <cell r="FH104" t="str">
            <v/>
          </cell>
          <cell r="FJ104">
            <v>0</v>
          </cell>
          <cell r="FK104" t="str">
            <v/>
          </cell>
          <cell r="FM104">
            <v>0</v>
          </cell>
          <cell r="FN104" t="str">
            <v/>
          </cell>
          <cell r="FP104">
            <v>0</v>
          </cell>
          <cell r="FQ104" t="str">
            <v/>
          </cell>
          <cell r="FS104">
            <v>0</v>
          </cell>
          <cell r="FT104" t="str">
            <v/>
          </cell>
          <cell r="FV104">
            <v>0</v>
          </cell>
          <cell r="FW104" t="str">
            <v/>
          </cell>
          <cell r="FY104">
            <v>0</v>
          </cell>
          <cell r="FZ104" t="str">
            <v/>
          </cell>
          <cell r="GB104">
            <v>0</v>
          </cell>
          <cell r="GC104" t="str">
            <v/>
          </cell>
          <cell r="GE104">
            <v>0</v>
          </cell>
          <cell r="GF104" t="str">
            <v/>
          </cell>
          <cell r="GH104">
            <v>0</v>
          </cell>
          <cell r="GI104" t="str">
            <v/>
          </cell>
          <cell r="GK104">
            <v>0</v>
          </cell>
          <cell r="GL104" t="str">
            <v/>
          </cell>
          <cell r="GN104">
            <v>0</v>
          </cell>
          <cell r="GO104" t="str">
            <v/>
          </cell>
          <cell r="GQ104">
            <v>0</v>
          </cell>
          <cell r="GR104" t="str">
            <v/>
          </cell>
          <cell r="GT104">
            <v>0</v>
          </cell>
          <cell r="GU104" t="str">
            <v/>
          </cell>
          <cell r="GW104">
            <v>0</v>
          </cell>
          <cell r="GX104" t="str">
            <v/>
          </cell>
          <cell r="GZ104">
            <v>0</v>
          </cell>
          <cell r="HA104" t="str">
            <v/>
          </cell>
          <cell r="HC104">
            <v>0.3</v>
          </cell>
          <cell r="HD104">
            <v>42833.333333333336</v>
          </cell>
          <cell r="HF104">
            <v>0</v>
          </cell>
          <cell r="HG104" t="str">
            <v/>
          </cell>
          <cell r="HI104">
            <v>0</v>
          </cell>
          <cell r="HJ104" t="str">
            <v/>
          </cell>
          <cell r="HL104">
            <v>0.54</v>
          </cell>
          <cell r="HM104">
            <v>38825.925925925927</v>
          </cell>
          <cell r="HO104">
            <v>0</v>
          </cell>
          <cell r="HP104" t="str">
            <v/>
          </cell>
          <cell r="HR104">
            <v>0</v>
          </cell>
          <cell r="HS104" t="str">
            <v/>
          </cell>
          <cell r="HU104">
            <v>0</v>
          </cell>
          <cell r="HV104" t="str">
            <v/>
          </cell>
        </row>
        <row r="105">
          <cell r="DQ105">
            <v>0.06</v>
          </cell>
          <cell r="DR105">
            <v>63400</v>
          </cell>
          <cell r="DT105">
            <v>0</v>
          </cell>
          <cell r="DU105" t="str">
            <v/>
          </cell>
          <cell r="DW105">
            <v>0</v>
          </cell>
          <cell r="DX105" t="str">
            <v/>
          </cell>
          <cell r="DZ105">
            <v>0</v>
          </cell>
          <cell r="EA105" t="str">
            <v/>
          </cell>
          <cell r="EC105">
            <v>0</v>
          </cell>
          <cell r="ED105" t="str">
            <v/>
          </cell>
          <cell r="EF105">
            <v>0</v>
          </cell>
          <cell r="EG105" t="str">
            <v/>
          </cell>
          <cell r="EI105">
            <v>0</v>
          </cell>
          <cell r="EJ105" t="str">
            <v/>
          </cell>
          <cell r="EL105">
            <v>0</v>
          </cell>
          <cell r="EM105" t="str">
            <v/>
          </cell>
          <cell r="EO105">
            <v>0</v>
          </cell>
          <cell r="EP105" t="str">
            <v/>
          </cell>
          <cell r="ER105">
            <v>0</v>
          </cell>
          <cell r="ES105" t="str">
            <v/>
          </cell>
          <cell r="EU105">
            <v>0</v>
          </cell>
          <cell r="EV105" t="str">
            <v/>
          </cell>
          <cell r="EX105">
            <v>0</v>
          </cell>
          <cell r="EY105" t="str">
            <v/>
          </cell>
          <cell r="FA105">
            <v>0</v>
          </cell>
          <cell r="FB105" t="str">
            <v/>
          </cell>
          <cell r="FD105">
            <v>0</v>
          </cell>
          <cell r="FE105" t="str">
            <v/>
          </cell>
          <cell r="FG105">
            <v>0</v>
          </cell>
          <cell r="FH105" t="str">
            <v/>
          </cell>
          <cell r="FJ105">
            <v>0</v>
          </cell>
          <cell r="FK105" t="str">
            <v/>
          </cell>
          <cell r="FM105">
            <v>0</v>
          </cell>
          <cell r="FN105" t="str">
            <v/>
          </cell>
          <cell r="FP105">
            <v>0</v>
          </cell>
          <cell r="FQ105" t="str">
            <v/>
          </cell>
          <cell r="FS105">
            <v>0</v>
          </cell>
          <cell r="FT105" t="str">
            <v/>
          </cell>
          <cell r="FV105">
            <v>0</v>
          </cell>
          <cell r="FW105" t="str">
            <v/>
          </cell>
          <cell r="FY105">
            <v>0</v>
          </cell>
          <cell r="FZ105" t="str">
            <v/>
          </cell>
          <cell r="GB105">
            <v>0</v>
          </cell>
          <cell r="GC105" t="str">
            <v/>
          </cell>
          <cell r="GE105">
            <v>0</v>
          </cell>
          <cell r="GF105" t="str">
            <v/>
          </cell>
          <cell r="GH105">
            <v>0</v>
          </cell>
          <cell r="GI105" t="str">
            <v/>
          </cell>
          <cell r="GK105">
            <v>0</v>
          </cell>
          <cell r="GL105" t="str">
            <v/>
          </cell>
          <cell r="GN105">
            <v>0</v>
          </cell>
          <cell r="GO105" t="str">
            <v/>
          </cell>
          <cell r="GQ105">
            <v>0</v>
          </cell>
          <cell r="GR105" t="str">
            <v/>
          </cell>
          <cell r="GT105">
            <v>0</v>
          </cell>
          <cell r="GU105" t="str">
            <v/>
          </cell>
          <cell r="GW105">
            <v>0</v>
          </cell>
          <cell r="GX105" t="str">
            <v/>
          </cell>
          <cell r="GZ105">
            <v>1.56</v>
          </cell>
          <cell r="HA105">
            <v>40659.615384615383</v>
          </cell>
          <cell r="HC105">
            <v>0</v>
          </cell>
          <cell r="HD105" t="str">
            <v/>
          </cell>
          <cell r="HF105">
            <v>0</v>
          </cell>
          <cell r="HG105" t="str">
            <v/>
          </cell>
          <cell r="HI105">
            <v>0</v>
          </cell>
          <cell r="HJ105" t="str">
            <v/>
          </cell>
          <cell r="HL105">
            <v>10.68</v>
          </cell>
          <cell r="HM105">
            <v>42334.831460674155</v>
          </cell>
          <cell r="HO105">
            <v>0</v>
          </cell>
          <cell r="HP105" t="str">
            <v/>
          </cell>
          <cell r="HR105">
            <v>0</v>
          </cell>
          <cell r="HS105" t="str">
            <v/>
          </cell>
          <cell r="HU105">
            <v>0</v>
          </cell>
          <cell r="HV105" t="str">
            <v/>
          </cell>
        </row>
        <row r="106">
          <cell r="DQ106">
            <v>0.01</v>
          </cell>
          <cell r="DR106">
            <v>61400</v>
          </cell>
          <cell r="DT106">
            <v>0</v>
          </cell>
          <cell r="DU106" t="str">
            <v/>
          </cell>
          <cell r="DW106">
            <v>0</v>
          </cell>
          <cell r="DX106" t="str">
            <v/>
          </cell>
          <cell r="DZ106">
            <v>0</v>
          </cell>
          <cell r="EA106" t="str">
            <v/>
          </cell>
          <cell r="EC106">
            <v>0</v>
          </cell>
          <cell r="ED106" t="str">
            <v/>
          </cell>
          <cell r="EF106">
            <v>0</v>
          </cell>
          <cell r="EG106" t="str">
            <v/>
          </cell>
          <cell r="EI106">
            <v>0</v>
          </cell>
          <cell r="EJ106" t="str">
            <v/>
          </cell>
          <cell r="EL106">
            <v>0</v>
          </cell>
          <cell r="EM106" t="str">
            <v/>
          </cell>
          <cell r="EO106">
            <v>0</v>
          </cell>
          <cell r="EP106" t="str">
            <v/>
          </cell>
          <cell r="ER106">
            <v>0</v>
          </cell>
          <cell r="ES106" t="str">
            <v/>
          </cell>
          <cell r="EU106">
            <v>0</v>
          </cell>
          <cell r="EV106" t="str">
            <v/>
          </cell>
          <cell r="EX106">
            <v>0</v>
          </cell>
          <cell r="EY106" t="str">
            <v/>
          </cell>
          <cell r="FA106">
            <v>0</v>
          </cell>
          <cell r="FB106" t="str">
            <v/>
          </cell>
          <cell r="FD106">
            <v>0</v>
          </cell>
          <cell r="FE106" t="str">
            <v/>
          </cell>
          <cell r="FG106">
            <v>0</v>
          </cell>
          <cell r="FH106" t="str">
            <v/>
          </cell>
          <cell r="FJ106">
            <v>0</v>
          </cell>
          <cell r="FK106" t="str">
            <v/>
          </cell>
          <cell r="FM106">
            <v>0</v>
          </cell>
          <cell r="FN106" t="str">
            <v/>
          </cell>
          <cell r="FP106">
            <v>0</v>
          </cell>
          <cell r="FQ106" t="str">
            <v/>
          </cell>
          <cell r="FS106">
            <v>0</v>
          </cell>
          <cell r="FT106" t="str">
            <v/>
          </cell>
          <cell r="FV106">
            <v>0</v>
          </cell>
          <cell r="FW106" t="str">
            <v/>
          </cell>
          <cell r="FY106">
            <v>0</v>
          </cell>
          <cell r="FZ106" t="str">
            <v/>
          </cell>
          <cell r="GB106">
            <v>0</v>
          </cell>
          <cell r="GC106" t="str">
            <v/>
          </cell>
          <cell r="GE106">
            <v>0</v>
          </cell>
          <cell r="GF106" t="str">
            <v/>
          </cell>
          <cell r="GH106">
            <v>0</v>
          </cell>
          <cell r="GI106" t="str">
            <v/>
          </cell>
          <cell r="GK106">
            <v>0</v>
          </cell>
          <cell r="GL106" t="str">
            <v/>
          </cell>
          <cell r="GN106">
            <v>0</v>
          </cell>
          <cell r="GO106" t="str">
            <v/>
          </cell>
          <cell r="GQ106">
            <v>0</v>
          </cell>
          <cell r="GR106" t="str">
            <v/>
          </cell>
          <cell r="GT106">
            <v>0</v>
          </cell>
          <cell r="GU106" t="str">
            <v/>
          </cell>
          <cell r="GW106">
            <v>0</v>
          </cell>
          <cell r="GX106" t="str">
            <v/>
          </cell>
          <cell r="GZ106">
            <v>0.68</v>
          </cell>
          <cell r="HA106">
            <v>42979.411764705881</v>
          </cell>
          <cell r="HC106">
            <v>0</v>
          </cell>
          <cell r="HD106" t="str">
            <v/>
          </cell>
          <cell r="HF106">
            <v>0</v>
          </cell>
          <cell r="HG106" t="str">
            <v/>
          </cell>
          <cell r="HI106">
            <v>0</v>
          </cell>
          <cell r="HJ106" t="str">
            <v/>
          </cell>
          <cell r="HL106">
            <v>1.26</v>
          </cell>
          <cell r="HM106">
            <v>42874.603174603173</v>
          </cell>
          <cell r="HO106">
            <v>0</v>
          </cell>
          <cell r="HP106" t="str">
            <v/>
          </cell>
          <cell r="HR106">
            <v>0</v>
          </cell>
          <cell r="HS106" t="str">
            <v/>
          </cell>
          <cell r="HU106">
            <v>0</v>
          </cell>
          <cell r="HV106" t="str">
            <v/>
          </cell>
        </row>
        <row r="107">
          <cell r="DQ107">
            <v>0.02</v>
          </cell>
          <cell r="DR107">
            <v>34600</v>
          </cell>
          <cell r="DT107">
            <v>0</v>
          </cell>
          <cell r="DU107" t="str">
            <v/>
          </cell>
          <cell r="DW107">
            <v>0</v>
          </cell>
          <cell r="DX107" t="str">
            <v/>
          </cell>
          <cell r="DZ107">
            <v>0</v>
          </cell>
          <cell r="EA107" t="str">
            <v/>
          </cell>
          <cell r="EC107">
            <v>0</v>
          </cell>
          <cell r="ED107" t="str">
            <v/>
          </cell>
          <cell r="EF107">
            <v>0</v>
          </cell>
          <cell r="EG107" t="str">
            <v/>
          </cell>
          <cell r="EI107">
            <v>0</v>
          </cell>
          <cell r="EJ107" t="str">
            <v/>
          </cell>
          <cell r="EL107">
            <v>0</v>
          </cell>
          <cell r="EM107" t="str">
            <v/>
          </cell>
          <cell r="EO107">
            <v>0</v>
          </cell>
          <cell r="EP107" t="str">
            <v/>
          </cell>
          <cell r="ER107">
            <v>0</v>
          </cell>
          <cell r="ES107" t="str">
            <v/>
          </cell>
          <cell r="EU107">
            <v>0</v>
          </cell>
          <cell r="EV107" t="str">
            <v/>
          </cell>
          <cell r="EX107">
            <v>0</v>
          </cell>
          <cell r="EY107" t="str">
            <v/>
          </cell>
          <cell r="FA107">
            <v>0</v>
          </cell>
          <cell r="FB107" t="str">
            <v/>
          </cell>
          <cell r="FD107">
            <v>0</v>
          </cell>
          <cell r="FE107" t="str">
            <v/>
          </cell>
          <cell r="FG107">
            <v>0</v>
          </cell>
          <cell r="FH107" t="str">
            <v/>
          </cell>
          <cell r="FJ107">
            <v>0</v>
          </cell>
          <cell r="FK107" t="str">
            <v/>
          </cell>
          <cell r="FM107">
            <v>0</v>
          </cell>
          <cell r="FN107" t="str">
            <v/>
          </cell>
          <cell r="FP107">
            <v>0</v>
          </cell>
          <cell r="FQ107" t="str">
            <v/>
          </cell>
          <cell r="FS107">
            <v>0</v>
          </cell>
          <cell r="FT107" t="str">
            <v/>
          </cell>
          <cell r="FV107">
            <v>0</v>
          </cell>
          <cell r="FW107" t="str">
            <v/>
          </cell>
          <cell r="FY107">
            <v>0</v>
          </cell>
          <cell r="FZ107" t="str">
            <v/>
          </cell>
          <cell r="GB107">
            <v>0</v>
          </cell>
          <cell r="GC107" t="str">
            <v/>
          </cell>
          <cell r="GE107">
            <v>0</v>
          </cell>
          <cell r="GF107" t="str">
            <v/>
          </cell>
          <cell r="GH107">
            <v>0</v>
          </cell>
          <cell r="GI107" t="str">
            <v/>
          </cell>
          <cell r="GK107">
            <v>0</v>
          </cell>
          <cell r="GL107" t="str">
            <v/>
          </cell>
          <cell r="GN107">
            <v>0</v>
          </cell>
          <cell r="GO107" t="str">
            <v/>
          </cell>
          <cell r="GQ107">
            <v>0</v>
          </cell>
          <cell r="GR107" t="str">
            <v/>
          </cell>
          <cell r="GT107">
            <v>0</v>
          </cell>
          <cell r="GU107" t="str">
            <v/>
          </cell>
          <cell r="GW107">
            <v>0</v>
          </cell>
          <cell r="GX107" t="str">
            <v/>
          </cell>
          <cell r="GZ107">
            <v>0</v>
          </cell>
          <cell r="HA107" t="str">
            <v/>
          </cell>
          <cell r="HC107">
            <v>0</v>
          </cell>
          <cell r="HD107" t="str">
            <v/>
          </cell>
          <cell r="HF107">
            <v>0</v>
          </cell>
          <cell r="HG107" t="str">
            <v/>
          </cell>
          <cell r="HI107">
            <v>0</v>
          </cell>
          <cell r="HJ107" t="str">
            <v/>
          </cell>
          <cell r="HL107">
            <v>0</v>
          </cell>
          <cell r="HM107" t="str">
            <v/>
          </cell>
          <cell r="HO107">
            <v>0</v>
          </cell>
          <cell r="HP107" t="str">
            <v/>
          </cell>
          <cell r="HR107">
            <v>0</v>
          </cell>
          <cell r="HS107" t="str">
            <v/>
          </cell>
          <cell r="HU107">
            <v>0</v>
          </cell>
          <cell r="HV107" t="str">
            <v/>
          </cell>
        </row>
        <row r="108">
          <cell r="DQ108">
            <v>0.04</v>
          </cell>
          <cell r="DR108">
            <v>56650</v>
          </cell>
          <cell r="DT108">
            <v>0</v>
          </cell>
          <cell r="DU108" t="str">
            <v/>
          </cell>
          <cell r="DW108">
            <v>0</v>
          </cell>
          <cell r="DX108" t="str">
            <v/>
          </cell>
          <cell r="DZ108">
            <v>0</v>
          </cell>
          <cell r="EA108" t="str">
            <v/>
          </cell>
          <cell r="EC108">
            <v>0</v>
          </cell>
          <cell r="ED108" t="str">
            <v/>
          </cell>
          <cell r="EF108">
            <v>0</v>
          </cell>
          <cell r="EG108" t="str">
            <v/>
          </cell>
          <cell r="EI108">
            <v>0</v>
          </cell>
          <cell r="EJ108" t="str">
            <v/>
          </cell>
          <cell r="EL108">
            <v>0</v>
          </cell>
          <cell r="EM108" t="str">
            <v/>
          </cell>
          <cell r="EO108">
            <v>0</v>
          </cell>
          <cell r="EP108" t="str">
            <v/>
          </cell>
          <cell r="ER108">
            <v>0</v>
          </cell>
          <cell r="ES108" t="str">
            <v/>
          </cell>
          <cell r="EU108">
            <v>0</v>
          </cell>
          <cell r="EV108" t="str">
            <v/>
          </cell>
          <cell r="EX108">
            <v>0</v>
          </cell>
          <cell r="EY108" t="str">
            <v/>
          </cell>
          <cell r="FA108">
            <v>0</v>
          </cell>
          <cell r="FB108" t="str">
            <v/>
          </cell>
          <cell r="FD108">
            <v>0</v>
          </cell>
          <cell r="FE108" t="str">
            <v/>
          </cell>
          <cell r="FG108">
            <v>0</v>
          </cell>
          <cell r="FH108" t="str">
            <v/>
          </cell>
          <cell r="FJ108">
            <v>0</v>
          </cell>
          <cell r="FK108" t="str">
            <v/>
          </cell>
          <cell r="FM108">
            <v>0</v>
          </cell>
          <cell r="FN108" t="str">
            <v/>
          </cell>
          <cell r="FP108">
            <v>0</v>
          </cell>
          <cell r="FQ108" t="str">
            <v/>
          </cell>
          <cell r="FS108">
            <v>0</v>
          </cell>
          <cell r="FT108" t="str">
            <v/>
          </cell>
          <cell r="FV108">
            <v>0</v>
          </cell>
          <cell r="FW108" t="str">
            <v/>
          </cell>
          <cell r="FY108">
            <v>0</v>
          </cell>
          <cell r="FZ108" t="str">
            <v/>
          </cell>
          <cell r="GB108">
            <v>0</v>
          </cell>
          <cell r="GC108" t="str">
            <v/>
          </cell>
          <cell r="GE108">
            <v>0</v>
          </cell>
          <cell r="GF108" t="str">
            <v/>
          </cell>
          <cell r="GH108">
            <v>0</v>
          </cell>
          <cell r="GI108" t="str">
            <v/>
          </cell>
          <cell r="GK108">
            <v>0</v>
          </cell>
          <cell r="GL108" t="str">
            <v/>
          </cell>
          <cell r="GN108">
            <v>0</v>
          </cell>
          <cell r="GO108" t="str">
            <v/>
          </cell>
          <cell r="GQ108">
            <v>0</v>
          </cell>
          <cell r="GR108" t="str">
            <v/>
          </cell>
          <cell r="GT108">
            <v>0</v>
          </cell>
          <cell r="GU108" t="str">
            <v/>
          </cell>
          <cell r="GW108">
            <v>0</v>
          </cell>
          <cell r="GX108" t="str">
            <v/>
          </cell>
          <cell r="GZ108">
            <v>0</v>
          </cell>
          <cell r="HA108" t="str">
            <v/>
          </cell>
          <cell r="HC108">
            <v>0</v>
          </cell>
          <cell r="HD108" t="str">
            <v/>
          </cell>
          <cell r="HF108">
            <v>0</v>
          </cell>
          <cell r="HG108" t="str">
            <v/>
          </cell>
          <cell r="HI108">
            <v>0</v>
          </cell>
          <cell r="HJ108" t="str">
            <v/>
          </cell>
          <cell r="HL108">
            <v>0.34</v>
          </cell>
          <cell r="HM108">
            <v>32223.529411764703</v>
          </cell>
          <cell r="HO108">
            <v>0</v>
          </cell>
          <cell r="HP108" t="str">
            <v/>
          </cell>
          <cell r="HR108">
            <v>0</v>
          </cell>
          <cell r="HS108" t="str">
            <v/>
          </cell>
          <cell r="HU108">
            <v>0</v>
          </cell>
          <cell r="HV108" t="str">
            <v/>
          </cell>
        </row>
        <row r="109">
          <cell r="DQ109">
            <v>0.01</v>
          </cell>
          <cell r="DR109">
            <v>78800</v>
          </cell>
          <cell r="DT109">
            <v>0</v>
          </cell>
          <cell r="DU109" t="str">
            <v/>
          </cell>
          <cell r="DW109">
            <v>0</v>
          </cell>
          <cell r="DX109" t="str">
            <v/>
          </cell>
          <cell r="DZ109">
            <v>0</v>
          </cell>
          <cell r="EA109" t="str">
            <v/>
          </cell>
          <cell r="EC109">
            <v>0</v>
          </cell>
          <cell r="ED109" t="str">
            <v/>
          </cell>
          <cell r="EF109">
            <v>0</v>
          </cell>
          <cell r="EG109" t="str">
            <v/>
          </cell>
          <cell r="EI109">
            <v>0</v>
          </cell>
          <cell r="EJ109" t="str">
            <v/>
          </cell>
          <cell r="EL109">
            <v>0</v>
          </cell>
          <cell r="EM109" t="str">
            <v/>
          </cell>
          <cell r="EO109">
            <v>0</v>
          </cell>
          <cell r="EP109" t="str">
            <v/>
          </cell>
          <cell r="ER109">
            <v>0</v>
          </cell>
          <cell r="ES109" t="str">
            <v/>
          </cell>
          <cell r="EU109">
            <v>0</v>
          </cell>
          <cell r="EV109" t="str">
            <v/>
          </cell>
          <cell r="EX109">
            <v>0</v>
          </cell>
          <cell r="EY109" t="str">
            <v/>
          </cell>
          <cell r="FA109">
            <v>0</v>
          </cell>
          <cell r="FB109" t="str">
            <v/>
          </cell>
          <cell r="FD109">
            <v>0</v>
          </cell>
          <cell r="FE109" t="str">
            <v/>
          </cell>
          <cell r="FG109">
            <v>0</v>
          </cell>
          <cell r="FH109" t="str">
            <v/>
          </cell>
          <cell r="FJ109">
            <v>0</v>
          </cell>
          <cell r="FK109" t="str">
            <v/>
          </cell>
          <cell r="FM109">
            <v>0</v>
          </cell>
          <cell r="FN109" t="str">
            <v/>
          </cell>
          <cell r="FP109">
            <v>0</v>
          </cell>
          <cell r="FQ109" t="str">
            <v/>
          </cell>
          <cell r="FS109">
            <v>0</v>
          </cell>
          <cell r="FT109" t="str">
            <v/>
          </cell>
          <cell r="FV109">
            <v>0</v>
          </cell>
          <cell r="FW109" t="str">
            <v/>
          </cell>
          <cell r="FY109">
            <v>0</v>
          </cell>
          <cell r="FZ109" t="str">
            <v/>
          </cell>
          <cell r="GB109">
            <v>0</v>
          </cell>
          <cell r="GC109" t="str">
            <v/>
          </cell>
          <cell r="GE109">
            <v>0</v>
          </cell>
          <cell r="GF109" t="str">
            <v/>
          </cell>
          <cell r="GH109">
            <v>0</v>
          </cell>
          <cell r="GI109" t="str">
            <v/>
          </cell>
          <cell r="GK109">
            <v>0</v>
          </cell>
          <cell r="GL109" t="str">
            <v/>
          </cell>
          <cell r="GN109">
            <v>0</v>
          </cell>
          <cell r="GO109" t="str">
            <v/>
          </cell>
          <cell r="GQ109">
            <v>0</v>
          </cell>
          <cell r="GR109" t="str">
            <v/>
          </cell>
          <cell r="GT109">
            <v>0</v>
          </cell>
          <cell r="GU109" t="str">
            <v/>
          </cell>
          <cell r="GW109">
            <v>0</v>
          </cell>
          <cell r="GX109" t="str">
            <v/>
          </cell>
          <cell r="GZ109">
            <v>0</v>
          </cell>
          <cell r="HA109" t="str">
            <v/>
          </cell>
          <cell r="HC109">
            <v>0</v>
          </cell>
          <cell r="HD109" t="str">
            <v/>
          </cell>
          <cell r="HF109">
            <v>0</v>
          </cell>
          <cell r="HG109" t="str">
            <v/>
          </cell>
          <cell r="HI109">
            <v>0</v>
          </cell>
          <cell r="HJ109" t="str">
            <v/>
          </cell>
          <cell r="HL109">
            <v>0.16</v>
          </cell>
          <cell r="HM109">
            <v>31906.25</v>
          </cell>
          <cell r="HO109">
            <v>0</v>
          </cell>
          <cell r="HP109" t="str">
            <v/>
          </cell>
          <cell r="HR109">
            <v>0</v>
          </cell>
          <cell r="HS109" t="str">
            <v/>
          </cell>
          <cell r="HU109">
            <v>0</v>
          </cell>
          <cell r="HV109" t="str">
            <v/>
          </cell>
        </row>
        <row r="110">
          <cell r="DQ110">
            <v>0</v>
          </cell>
          <cell r="DR110" t="str">
            <v/>
          </cell>
          <cell r="DT110">
            <v>0</v>
          </cell>
          <cell r="DU110" t="str">
            <v/>
          </cell>
          <cell r="DW110">
            <v>0</v>
          </cell>
          <cell r="DX110" t="str">
            <v/>
          </cell>
          <cell r="DZ110">
            <v>0</v>
          </cell>
          <cell r="EA110" t="str">
            <v/>
          </cell>
          <cell r="EC110">
            <v>0</v>
          </cell>
          <cell r="ED110" t="str">
            <v/>
          </cell>
          <cell r="EF110">
            <v>0</v>
          </cell>
          <cell r="EG110" t="str">
            <v/>
          </cell>
          <cell r="EI110">
            <v>0</v>
          </cell>
          <cell r="EJ110" t="str">
            <v/>
          </cell>
          <cell r="EL110">
            <v>0</v>
          </cell>
          <cell r="EM110" t="str">
            <v/>
          </cell>
          <cell r="EO110">
            <v>0</v>
          </cell>
          <cell r="EP110" t="str">
            <v/>
          </cell>
          <cell r="ER110">
            <v>0</v>
          </cell>
          <cell r="ES110" t="str">
            <v/>
          </cell>
          <cell r="EU110">
            <v>0</v>
          </cell>
          <cell r="EV110" t="str">
            <v/>
          </cell>
          <cell r="EX110">
            <v>0</v>
          </cell>
          <cell r="EY110" t="str">
            <v/>
          </cell>
          <cell r="FA110">
            <v>0</v>
          </cell>
          <cell r="FB110" t="str">
            <v/>
          </cell>
          <cell r="FD110">
            <v>0</v>
          </cell>
          <cell r="FE110" t="str">
            <v/>
          </cell>
          <cell r="FG110">
            <v>0</v>
          </cell>
          <cell r="FH110" t="str">
            <v/>
          </cell>
          <cell r="FJ110">
            <v>0</v>
          </cell>
          <cell r="FK110" t="str">
            <v/>
          </cell>
          <cell r="FM110">
            <v>0</v>
          </cell>
          <cell r="FN110" t="str">
            <v/>
          </cell>
          <cell r="FP110">
            <v>0</v>
          </cell>
          <cell r="FQ110" t="str">
            <v/>
          </cell>
          <cell r="FS110">
            <v>0</v>
          </cell>
          <cell r="FT110" t="str">
            <v/>
          </cell>
          <cell r="FV110">
            <v>0</v>
          </cell>
          <cell r="FW110" t="str">
            <v/>
          </cell>
          <cell r="FY110">
            <v>0</v>
          </cell>
          <cell r="FZ110" t="str">
            <v/>
          </cell>
          <cell r="GB110">
            <v>0</v>
          </cell>
          <cell r="GC110" t="str">
            <v/>
          </cell>
          <cell r="GE110">
            <v>0</v>
          </cell>
          <cell r="GF110" t="str">
            <v/>
          </cell>
          <cell r="GH110">
            <v>0</v>
          </cell>
          <cell r="GI110" t="str">
            <v/>
          </cell>
          <cell r="GK110">
            <v>0</v>
          </cell>
          <cell r="GL110" t="str">
            <v/>
          </cell>
          <cell r="GN110">
            <v>0</v>
          </cell>
          <cell r="GO110" t="str">
            <v/>
          </cell>
          <cell r="GQ110">
            <v>0</v>
          </cell>
          <cell r="GR110" t="str">
            <v/>
          </cell>
          <cell r="GT110">
            <v>0</v>
          </cell>
          <cell r="GU110" t="str">
            <v/>
          </cell>
          <cell r="GW110">
            <v>0</v>
          </cell>
          <cell r="GX110" t="str">
            <v/>
          </cell>
          <cell r="GZ110">
            <v>0</v>
          </cell>
          <cell r="HA110" t="str">
            <v/>
          </cell>
          <cell r="HC110">
            <v>0</v>
          </cell>
          <cell r="HD110" t="str">
            <v/>
          </cell>
          <cell r="HF110">
            <v>0</v>
          </cell>
          <cell r="HG110" t="str">
            <v/>
          </cell>
          <cell r="HI110">
            <v>0</v>
          </cell>
          <cell r="HJ110" t="str">
            <v/>
          </cell>
          <cell r="HL110">
            <v>0.16</v>
          </cell>
          <cell r="HM110">
            <v>22880</v>
          </cell>
          <cell r="HO110">
            <v>0</v>
          </cell>
          <cell r="HP110" t="str">
            <v/>
          </cell>
          <cell r="HR110">
            <v>0</v>
          </cell>
          <cell r="HS110" t="str">
            <v/>
          </cell>
          <cell r="HU110">
            <v>0</v>
          </cell>
          <cell r="HV110" t="str">
            <v/>
          </cell>
        </row>
        <row r="111">
          <cell r="DQ111">
            <v>0</v>
          </cell>
          <cell r="DR111" t="str">
            <v/>
          </cell>
          <cell r="DT111">
            <v>0</v>
          </cell>
          <cell r="DU111" t="str">
            <v/>
          </cell>
          <cell r="DW111">
            <v>0</v>
          </cell>
          <cell r="DX111" t="str">
            <v/>
          </cell>
          <cell r="DZ111">
            <v>0</v>
          </cell>
          <cell r="EA111" t="str">
            <v/>
          </cell>
          <cell r="EC111">
            <v>0</v>
          </cell>
          <cell r="ED111" t="str">
            <v/>
          </cell>
          <cell r="EF111">
            <v>0</v>
          </cell>
          <cell r="EG111" t="str">
            <v/>
          </cell>
          <cell r="EI111">
            <v>0</v>
          </cell>
          <cell r="EJ111" t="str">
            <v/>
          </cell>
          <cell r="EL111">
            <v>0</v>
          </cell>
          <cell r="EM111" t="str">
            <v/>
          </cell>
          <cell r="EO111">
            <v>0</v>
          </cell>
          <cell r="EP111" t="str">
            <v/>
          </cell>
          <cell r="ER111">
            <v>0</v>
          </cell>
          <cell r="ES111" t="str">
            <v/>
          </cell>
          <cell r="EU111">
            <v>0</v>
          </cell>
          <cell r="EV111" t="str">
            <v/>
          </cell>
          <cell r="EX111">
            <v>0</v>
          </cell>
          <cell r="EY111" t="str">
            <v/>
          </cell>
          <cell r="FA111">
            <v>0</v>
          </cell>
          <cell r="FB111" t="str">
            <v/>
          </cell>
          <cell r="FD111">
            <v>0</v>
          </cell>
          <cell r="FE111" t="str">
            <v/>
          </cell>
          <cell r="FG111">
            <v>0</v>
          </cell>
          <cell r="FH111" t="str">
            <v/>
          </cell>
          <cell r="FJ111">
            <v>0</v>
          </cell>
          <cell r="FK111" t="str">
            <v/>
          </cell>
          <cell r="FM111">
            <v>0</v>
          </cell>
          <cell r="FN111" t="str">
            <v/>
          </cell>
          <cell r="FP111">
            <v>0</v>
          </cell>
          <cell r="FQ111" t="str">
            <v/>
          </cell>
          <cell r="FS111">
            <v>0</v>
          </cell>
          <cell r="FT111" t="str">
            <v/>
          </cell>
          <cell r="FV111">
            <v>0</v>
          </cell>
          <cell r="FW111" t="str">
            <v/>
          </cell>
          <cell r="FY111">
            <v>0</v>
          </cell>
          <cell r="FZ111" t="str">
            <v/>
          </cell>
          <cell r="GB111">
            <v>0</v>
          </cell>
          <cell r="GC111" t="str">
            <v/>
          </cell>
          <cell r="GE111">
            <v>0</v>
          </cell>
          <cell r="GF111" t="str">
            <v/>
          </cell>
          <cell r="GH111">
            <v>0</v>
          </cell>
          <cell r="GI111" t="str">
            <v/>
          </cell>
          <cell r="GK111">
            <v>0</v>
          </cell>
          <cell r="GL111" t="str">
            <v/>
          </cell>
          <cell r="GN111">
            <v>0</v>
          </cell>
          <cell r="GO111" t="str">
            <v/>
          </cell>
          <cell r="GQ111">
            <v>0</v>
          </cell>
          <cell r="GR111" t="str">
            <v/>
          </cell>
          <cell r="GT111">
            <v>0</v>
          </cell>
          <cell r="GU111" t="str">
            <v/>
          </cell>
          <cell r="GW111">
            <v>0</v>
          </cell>
          <cell r="GX111" t="str">
            <v/>
          </cell>
          <cell r="GZ111">
            <v>0.69</v>
          </cell>
          <cell r="HA111">
            <v>44449.275362318847</v>
          </cell>
          <cell r="HC111">
            <v>0</v>
          </cell>
          <cell r="HD111" t="str">
            <v/>
          </cell>
          <cell r="HF111">
            <v>0</v>
          </cell>
          <cell r="HG111" t="str">
            <v/>
          </cell>
          <cell r="HI111">
            <v>0</v>
          </cell>
          <cell r="HJ111" t="str">
            <v/>
          </cell>
          <cell r="HL111">
            <v>0</v>
          </cell>
          <cell r="HM111" t="str">
            <v/>
          </cell>
          <cell r="HO111">
            <v>0</v>
          </cell>
          <cell r="HP111" t="str">
            <v/>
          </cell>
          <cell r="HR111">
            <v>0</v>
          </cell>
          <cell r="HS111" t="str">
            <v/>
          </cell>
          <cell r="HU111">
            <v>0</v>
          </cell>
          <cell r="HV111" t="str">
            <v/>
          </cell>
        </row>
        <row r="112">
          <cell r="DQ112">
            <v>0.1</v>
          </cell>
          <cell r="DR112">
            <v>43880</v>
          </cell>
          <cell r="DT112">
            <v>0</v>
          </cell>
          <cell r="DU112" t="str">
            <v/>
          </cell>
          <cell r="DW112">
            <v>0.25</v>
          </cell>
          <cell r="DX112">
            <v>75320</v>
          </cell>
          <cell r="DZ112">
            <v>0</v>
          </cell>
          <cell r="EA112" t="str">
            <v/>
          </cell>
          <cell r="EC112">
            <v>0</v>
          </cell>
          <cell r="ED112" t="str">
            <v/>
          </cell>
          <cell r="EF112">
            <v>0</v>
          </cell>
          <cell r="EG112" t="str">
            <v/>
          </cell>
          <cell r="EI112">
            <v>0</v>
          </cell>
          <cell r="EJ112" t="str">
            <v/>
          </cell>
          <cell r="EL112">
            <v>0</v>
          </cell>
          <cell r="EM112" t="str">
            <v/>
          </cell>
          <cell r="EO112">
            <v>0</v>
          </cell>
          <cell r="EP112" t="str">
            <v/>
          </cell>
          <cell r="ER112">
            <v>0</v>
          </cell>
          <cell r="ES112" t="str">
            <v/>
          </cell>
          <cell r="EU112">
            <v>0</v>
          </cell>
          <cell r="EV112" t="str">
            <v/>
          </cell>
          <cell r="EX112">
            <v>0</v>
          </cell>
          <cell r="EY112" t="str">
            <v/>
          </cell>
          <cell r="FA112">
            <v>0</v>
          </cell>
          <cell r="FB112" t="str">
            <v/>
          </cell>
          <cell r="FD112">
            <v>0</v>
          </cell>
          <cell r="FE112" t="str">
            <v/>
          </cell>
          <cell r="FG112">
            <v>0</v>
          </cell>
          <cell r="FH112" t="str">
            <v/>
          </cell>
          <cell r="FJ112">
            <v>0</v>
          </cell>
          <cell r="FK112" t="str">
            <v/>
          </cell>
          <cell r="FM112">
            <v>0</v>
          </cell>
          <cell r="FN112" t="str">
            <v/>
          </cell>
          <cell r="FP112">
            <v>0</v>
          </cell>
          <cell r="FQ112" t="str">
            <v/>
          </cell>
          <cell r="FS112">
            <v>0</v>
          </cell>
          <cell r="FT112" t="str">
            <v/>
          </cell>
          <cell r="FV112">
            <v>0</v>
          </cell>
          <cell r="FW112" t="str">
            <v/>
          </cell>
          <cell r="FY112">
            <v>0</v>
          </cell>
          <cell r="FZ112" t="str">
            <v/>
          </cell>
          <cell r="GB112">
            <v>0</v>
          </cell>
          <cell r="GC112" t="str">
            <v/>
          </cell>
          <cell r="GE112">
            <v>0</v>
          </cell>
          <cell r="GF112" t="str">
            <v/>
          </cell>
          <cell r="GH112">
            <v>0</v>
          </cell>
          <cell r="GI112" t="str">
            <v/>
          </cell>
          <cell r="GK112">
            <v>0</v>
          </cell>
          <cell r="GL112" t="str">
            <v/>
          </cell>
          <cell r="GN112">
            <v>0</v>
          </cell>
          <cell r="GO112" t="str">
            <v/>
          </cell>
          <cell r="GQ112">
            <v>0</v>
          </cell>
          <cell r="GR112" t="str">
            <v/>
          </cell>
          <cell r="GT112">
            <v>0</v>
          </cell>
          <cell r="GU112" t="str">
            <v/>
          </cell>
          <cell r="GW112">
            <v>0.16</v>
          </cell>
          <cell r="GX112">
            <v>59112.5</v>
          </cell>
          <cell r="GZ112">
            <v>1.18</v>
          </cell>
          <cell r="HA112">
            <v>44405.932203389835</v>
          </cell>
          <cell r="HC112">
            <v>0</v>
          </cell>
          <cell r="HD112" t="str">
            <v/>
          </cell>
          <cell r="HF112">
            <v>0</v>
          </cell>
          <cell r="HG112" t="str">
            <v/>
          </cell>
          <cell r="HI112">
            <v>0</v>
          </cell>
          <cell r="HJ112" t="str">
            <v/>
          </cell>
          <cell r="HL112">
            <v>0.74</v>
          </cell>
          <cell r="HM112">
            <v>44917.567567567567</v>
          </cell>
          <cell r="HO112">
            <v>0.63</v>
          </cell>
          <cell r="HP112">
            <v>28007.936507936509</v>
          </cell>
          <cell r="HR112">
            <v>0</v>
          </cell>
          <cell r="HS112" t="str">
            <v/>
          </cell>
          <cell r="HU112">
            <v>0</v>
          </cell>
          <cell r="HV112" t="str">
            <v/>
          </cell>
        </row>
        <row r="113">
          <cell r="DQ113">
            <v>0.2</v>
          </cell>
          <cell r="DR113">
            <v>49920</v>
          </cell>
          <cell r="DT113">
            <v>0</v>
          </cell>
          <cell r="DU113" t="str">
            <v/>
          </cell>
          <cell r="DW113">
            <v>0</v>
          </cell>
          <cell r="DX113" t="str">
            <v/>
          </cell>
          <cell r="DZ113">
            <v>0</v>
          </cell>
          <cell r="EA113" t="str">
            <v/>
          </cell>
          <cell r="EC113">
            <v>0</v>
          </cell>
          <cell r="ED113" t="str">
            <v/>
          </cell>
          <cell r="EF113">
            <v>0</v>
          </cell>
          <cell r="EG113" t="str">
            <v/>
          </cell>
          <cell r="EI113">
            <v>0</v>
          </cell>
          <cell r="EJ113" t="str">
            <v/>
          </cell>
          <cell r="EL113">
            <v>0</v>
          </cell>
          <cell r="EM113" t="str">
            <v/>
          </cell>
          <cell r="EO113">
            <v>0</v>
          </cell>
          <cell r="EP113" t="str">
            <v/>
          </cell>
          <cell r="ER113">
            <v>0</v>
          </cell>
          <cell r="ES113" t="str">
            <v/>
          </cell>
          <cell r="EU113">
            <v>0</v>
          </cell>
          <cell r="EV113" t="str">
            <v/>
          </cell>
          <cell r="EX113">
            <v>0</v>
          </cell>
          <cell r="EY113" t="str">
            <v/>
          </cell>
          <cell r="FA113">
            <v>0</v>
          </cell>
          <cell r="FB113" t="str">
            <v/>
          </cell>
          <cell r="FD113">
            <v>0</v>
          </cell>
          <cell r="FE113" t="str">
            <v/>
          </cell>
          <cell r="FG113">
            <v>0</v>
          </cell>
          <cell r="FH113" t="str">
            <v/>
          </cell>
          <cell r="FJ113">
            <v>0</v>
          </cell>
          <cell r="FK113" t="str">
            <v/>
          </cell>
          <cell r="FM113">
            <v>0</v>
          </cell>
          <cell r="FN113" t="str">
            <v/>
          </cell>
          <cell r="FP113">
            <v>0</v>
          </cell>
          <cell r="FQ113" t="str">
            <v/>
          </cell>
          <cell r="FS113">
            <v>0</v>
          </cell>
          <cell r="FT113" t="str">
            <v/>
          </cell>
          <cell r="FV113">
            <v>0</v>
          </cell>
          <cell r="FW113" t="str">
            <v/>
          </cell>
          <cell r="FY113">
            <v>0</v>
          </cell>
          <cell r="FZ113" t="str">
            <v/>
          </cell>
          <cell r="GB113">
            <v>0</v>
          </cell>
          <cell r="GC113" t="str">
            <v/>
          </cell>
          <cell r="GE113">
            <v>0</v>
          </cell>
          <cell r="GF113" t="str">
            <v/>
          </cell>
          <cell r="GH113">
            <v>0</v>
          </cell>
          <cell r="GI113" t="str">
            <v/>
          </cell>
          <cell r="GK113">
            <v>0</v>
          </cell>
          <cell r="GL113" t="str">
            <v/>
          </cell>
          <cell r="GN113">
            <v>0</v>
          </cell>
          <cell r="GO113" t="str">
            <v/>
          </cell>
          <cell r="GQ113">
            <v>0</v>
          </cell>
          <cell r="GR113" t="str">
            <v/>
          </cell>
          <cell r="GT113">
            <v>0</v>
          </cell>
          <cell r="GU113" t="str">
            <v/>
          </cell>
          <cell r="GW113">
            <v>0</v>
          </cell>
          <cell r="GX113" t="str">
            <v/>
          </cell>
          <cell r="GZ113">
            <v>3.63</v>
          </cell>
          <cell r="HA113">
            <v>39749.586776859505</v>
          </cell>
          <cell r="HC113">
            <v>0</v>
          </cell>
          <cell r="HD113" t="str">
            <v/>
          </cell>
          <cell r="HF113">
            <v>0</v>
          </cell>
          <cell r="HG113" t="str">
            <v/>
          </cell>
          <cell r="HI113">
            <v>1</v>
          </cell>
          <cell r="HJ113">
            <v>54832</v>
          </cell>
          <cell r="HL113">
            <v>1.95</v>
          </cell>
          <cell r="HM113">
            <v>37374.358974358976</v>
          </cell>
          <cell r="HO113">
            <v>0</v>
          </cell>
          <cell r="HP113" t="str">
            <v/>
          </cell>
          <cell r="HR113">
            <v>0</v>
          </cell>
          <cell r="HS113" t="str">
            <v/>
          </cell>
          <cell r="HU113">
            <v>0</v>
          </cell>
          <cell r="HV113" t="str">
            <v/>
          </cell>
        </row>
        <row r="114">
          <cell r="DQ114">
            <v>0.06</v>
          </cell>
          <cell r="DR114">
            <v>50316.666666666672</v>
          </cell>
          <cell r="DT114">
            <v>0.01</v>
          </cell>
          <cell r="DU114">
            <v>73200</v>
          </cell>
          <cell r="DW114">
            <v>0</v>
          </cell>
          <cell r="DX114" t="str">
            <v/>
          </cell>
          <cell r="DZ114">
            <v>0</v>
          </cell>
          <cell r="EA114" t="str">
            <v/>
          </cell>
          <cell r="EC114">
            <v>0</v>
          </cell>
          <cell r="ED114" t="str">
            <v/>
          </cell>
          <cell r="EF114">
            <v>0</v>
          </cell>
          <cell r="EG114" t="str">
            <v/>
          </cell>
          <cell r="EI114">
            <v>0</v>
          </cell>
          <cell r="EJ114" t="str">
            <v/>
          </cell>
          <cell r="EL114">
            <v>0</v>
          </cell>
          <cell r="EM114" t="str">
            <v/>
          </cell>
          <cell r="EO114">
            <v>0</v>
          </cell>
          <cell r="EP114" t="str">
            <v/>
          </cell>
          <cell r="ER114">
            <v>0</v>
          </cell>
          <cell r="ES114" t="str">
            <v/>
          </cell>
          <cell r="EU114">
            <v>0</v>
          </cell>
          <cell r="EV114" t="str">
            <v/>
          </cell>
          <cell r="EX114">
            <v>0</v>
          </cell>
          <cell r="EY114" t="str">
            <v/>
          </cell>
          <cell r="FA114">
            <v>0</v>
          </cell>
          <cell r="FB114" t="str">
            <v/>
          </cell>
          <cell r="FD114">
            <v>0</v>
          </cell>
          <cell r="FE114" t="str">
            <v/>
          </cell>
          <cell r="FG114">
            <v>0</v>
          </cell>
          <cell r="FH114" t="str">
            <v/>
          </cell>
          <cell r="FJ114">
            <v>0</v>
          </cell>
          <cell r="FK114" t="str">
            <v/>
          </cell>
          <cell r="FM114">
            <v>0</v>
          </cell>
          <cell r="FN114" t="str">
            <v/>
          </cell>
          <cell r="FP114">
            <v>0</v>
          </cell>
          <cell r="FQ114" t="str">
            <v/>
          </cell>
          <cell r="FS114">
            <v>0</v>
          </cell>
          <cell r="FT114" t="str">
            <v/>
          </cell>
          <cell r="FV114">
            <v>0</v>
          </cell>
          <cell r="FW114" t="str">
            <v/>
          </cell>
          <cell r="FY114">
            <v>0</v>
          </cell>
          <cell r="FZ114" t="str">
            <v/>
          </cell>
          <cell r="GB114">
            <v>0</v>
          </cell>
          <cell r="GC114" t="str">
            <v/>
          </cell>
          <cell r="GE114">
            <v>0</v>
          </cell>
          <cell r="GF114" t="str">
            <v/>
          </cell>
          <cell r="GH114">
            <v>0</v>
          </cell>
          <cell r="GI114" t="str">
            <v/>
          </cell>
          <cell r="GK114">
            <v>0</v>
          </cell>
          <cell r="GL114" t="str">
            <v/>
          </cell>
          <cell r="GN114">
            <v>0</v>
          </cell>
          <cell r="GO114" t="str">
            <v/>
          </cell>
          <cell r="GQ114">
            <v>0</v>
          </cell>
          <cell r="GR114" t="str">
            <v/>
          </cell>
          <cell r="GT114">
            <v>0</v>
          </cell>
          <cell r="GU114" t="str">
            <v/>
          </cell>
          <cell r="GW114">
            <v>0</v>
          </cell>
          <cell r="GX114" t="str">
            <v/>
          </cell>
          <cell r="GZ114">
            <v>0.97</v>
          </cell>
          <cell r="HA114">
            <v>30056.701030927838</v>
          </cell>
          <cell r="HC114">
            <v>0</v>
          </cell>
          <cell r="HD114" t="str">
            <v/>
          </cell>
          <cell r="HF114">
            <v>0</v>
          </cell>
          <cell r="HG114" t="str">
            <v/>
          </cell>
          <cell r="HI114">
            <v>0</v>
          </cell>
          <cell r="HJ114" t="str">
            <v/>
          </cell>
          <cell r="HL114">
            <v>0</v>
          </cell>
          <cell r="HM114" t="str">
            <v/>
          </cell>
          <cell r="HO114">
            <v>0</v>
          </cell>
          <cell r="HP114" t="str">
            <v/>
          </cell>
          <cell r="HR114">
            <v>0</v>
          </cell>
          <cell r="HS114" t="str">
            <v/>
          </cell>
          <cell r="HU114">
            <v>0</v>
          </cell>
          <cell r="HV114" t="str">
            <v/>
          </cell>
        </row>
        <row r="115">
          <cell r="DQ115">
            <v>0.06</v>
          </cell>
          <cell r="DR115">
            <v>55416.666666666672</v>
          </cell>
          <cell r="DT115">
            <v>0.02</v>
          </cell>
          <cell r="DU115">
            <v>56500</v>
          </cell>
          <cell r="DW115">
            <v>7.0000000000000007E-2</v>
          </cell>
          <cell r="DX115">
            <v>33485.714285714283</v>
          </cell>
          <cell r="DZ115">
            <v>0</v>
          </cell>
          <cell r="EA115" t="str">
            <v/>
          </cell>
          <cell r="EC115">
            <v>0</v>
          </cell>
          <cell r="ED115" t="str">
            <v/>
          </cell>
          <cell r="EF115">
            <v>0</v>
          </cell>
          <cell r="EG115" t="str">
            <v/>
          </cell>
          <cell r="EI115">
            <v>0</v>
          </cell>
          <cell r="EJ115" t="str">
            <v/>
          </cell>
          <cell r="EL115">
            <v>0</v>
          </cell>
          <cell r="EM115" t="str">
            <v/>
          </cell>
          <cell r="EO115">
            <v>0</v>
          </cell>
          <cell r="EP115" t="str">
            <v/>
          </cell>
          <cell r="ER115">
            <v>0</v>
          </cell>
          <cell r="ES115" t="str">
            <v/>
          </cell>
          <cell r="EU115">
            <v>0</v>
          </cell>
          <cell r="EV115" t="str">
            <v/>
          </cell>
          <cell r="EX115">
            <v>0</v>
          </cell>
          <cell r="EY115" t="str">
            <v/>
          </cell>
          <cell r="FA115">
            <v>0</v>
          </cell>
          <cell r="FB115" t="str">
            <v/>
          </cell>
          <cell r="FD115">
            <v>0</v>
          </cell>
          <cell r="FE115" t="str">
            <v/>
          </cell>
          <cell r="FG115">
            <v>0</v>
          </cell>
          <cell r="FH115" t="str">
            <v/>
          </cell>
          <cell r="FJ115">
            <v>0</v>
          </cell>
          <cell r="FK115" t="str">
            <v/>
          </cell>
          <cell r="FM115">
            <v>0</v>
          </cell>
          <cell r="FN115" t="str">
            <v/>
          </cell>
          <cell r="FP115">
            <v>0</v>
          </cell>
          <cell r="FQ115" t="str">
            <v/>
          </cell>
          <cell r="FS115">
            <v>0</v>
          </cell>
          <cell r="FT115" t="str">
            <v/>
          </cell>
          <cell r="FV115">
            <v>0</v>
          </cell>
          <cell r="FW115" t="str">
            <v/>
          </cell>
          <cell r="FY115">
            <v>0</v>
          </cell>
          <cell r="FZ115" t="str">
            <v/>
          </cell>
          <cell r="GB115">
            <v>0</v>
          </cell>
          <cell r="GC115" t="str">
            <v/>
          </cell>
          <cell r="GE115">
            <v>0</v>
          </cell>
          <cell r="GF115" t="str">
            <v/>
          </cell>
          <cell r="GH115">
            <v>0</v>
          </cell>
          <cell r="GI115" t="str">
            <v/>
          </cell>
          <cell r="GK115">
            <v>0</v>
          </cell>
          <cell r="GL115" t="str">
            <v/>
          </cell>
          <cell r="GN115">
            <v>0</v>
          </cell>
          <cell r="GO115" t="str">
            <v/>
          </cell>
          <cell r="GQ115">
            <v>0</v>
          </cell>
          <cell r="GR115" t="str">
            <v/>
          </cell>
          <cell r="GT115">
            <v>0</v>
          </cell>
          <cell r="GU115" t="str">
            <v/>
          </cell>
          <cell r="GW115">
            <v>0</v>
          </cell>
          <cell r="GX115" t="str">
            <v/>
          </cell>
          <cell r="GZ115">
            <v>0.77</v>
          </cell>
          <cell r="HA115">
            <v>33975.324675324671</v>
          </cell>
          <cell r="HC115">
            <v>0</v>
          </cell>
          <cell r="HD115" t="str">
            <v/>
          </cell>
          <cell r="HF115">
            <v>0</v>
          </cell>
          <cell r="HG115" t="str">
            <v/>
          </cell>
          <cell r="HI115">
            <v>0</v>
          </cell>
          <cell r="HJ115" t="str">
            <v/>
          </cell>
          <cell r="HL115">
            <v>7.0000000000000007E-2</v>
          </cell>
          <cell r="HM115">
            <v>24499.999999999996</v>
          </cell>
          <cell r="HO115">
            <v>0.06</v>
          </cell>
          <cell r="HP115">
            <v>28583.333333333336</v>
          </cell>
          <cell r="HR115">
            <v>0</v>
          </cell>
          <cell r="HS115" t="str">
            <v/>
          </cell>
          <cell r="HU115">
            <v>0</v>
          </cell>
          <cell r="HV115" t="str">
            <v/>
          </cell>
        </row>
        <row r="116">
          <cell r="DQ116">
            <v>0</v>
          </cell>
          <cell r="DR116" t="str">
            <v/>
          </cell>
          <cell r="DT116">
            <v>0.1</v>
          </cell>
          <cell r="DU116">
            <v>85600</v>
          </cell>
          <cell r="DW116">
            <v>0</v>
          </cell>
          <cell r="DX116" t="str">
            <v/>
          </cell>
          <cell r="DZ116">
            <v>0.13</v>
          </cell>
          <cell r="EA116">
            <v>61538.461538461539</v>
          </cell>
          <cell r="EC116">
            <v>0</v>
          </cell>
          <cell r="ED116" t="str">
            <v/>
          </cell>
          <cell r="EF116">
            <v>0</v>
          </cell>
          <cell r="EG116" t="str">
            <v/>
          </cell>
          <cell r="EI116">
            <v>0</v>
          </cell>
          <cell r="EJ116" t="str">
            <v/>
          </cell>
          <cell r="EL116">
            <v>0</v>
          </cell>
          <cell r="EM116" t="str">
            <v/>
          </cell>
          <cell r="EO116">
            <v>0</v>
          </cell>
          <cell r="EP116" t="str">
            <v/>
          </cell>
          <cell r="ER116">
            <v>0</v>
          </cell>
          <cell r="ES116" t="str">
            <v/>
          </cell>
          <cell r="EU116">
            <v>0</v>
          </cell>
          <cell r="EV116" t="str">
            <v/>
          </cell>
          <cell r="EX116">
            <v>0</v>
          </cell>
          <cell r="EY116" t="str">
            <v/>
          </cell>
          <cell r="FA116">
            <v>0</v>
          </cell>
          <cell r="FB116" t="str">
            <v/>
          </cell>
          <cell r="FD116">
            <v>0</v>
          </cell>
          <cell r="FE116" t="str">
            <v/>
          </cell>
          <cell r="FG116">
            <v>0</v>
          </cell>
          <cell r="FH116" t="str">
            <v/>
          </cell>
          <cell r="FJ116">
            <v>0</v>
          </cell>
          <cell r="FK116" t="str">
            <v/>
          </cell>
          <cell r="FM116">
            <v>0</v>
          </cell>
          <cell r="FN116" t="str">
            <v/>
          </cell>
          <cell r="FP116">
            <v>0</v>
          </cell>
          <cell r="FQ116" t="str">
            <v/>
          </cell>
          <cell r="FS116">
            <v>0</v>
          </cell>
          <cell r="FT116" t="str">
            <v/>
          </cell>
          <cell r="FV116">
            <v>0</v>
          </cell>
          <cell r="FW116" t="str">
            <v/>
          </cell>
          <cell r="FY116">
            <v>0</v>
          </cell>
          <cell r="FZ116" t="str">
            <v/>
          </cell>
          <cell r="GB116">
            <v>0.14000000000000001</v>
          </cell>
          <cell r="GC116">
            <v>61528.57142857142</v>
          </cell>
          <cell r="GE116">
            <v>0</v>
          </cell>
          <cell r="GF116" t="str">
            <v/>
          </cell>
          <cell r="GH116">
            <v>0</v>
          </cell>
          <cell r="GI116" t="str">
            <v/>
          </cell>
          <cell r="GK116">
            <v>0</v>
          </cell>
          <cell r="GL116" t="str">
            <v/>
          </cell>
          <cell r="GN116">
            <v>0</v>
          </cell>
          <cell r="GO116" t="str">
            <v/>
          </cell>
          <cell r="GQ116">
            <v>0</v>
          </cell>
          <cell r="GR116" t="str">
            <v/>
          </cell>
          <cell r="GT116">
            <v>0.46</v>
          </cell>
          <cell r="GU116">
            <v>42213.043478260865</v>
          </cell>
          <cell r="GW116">
            <v>0</v>
          </cell>
          <cell r="GX116" t="str">
            <v/>
          </cell>
          <cell r="GZ116">
            <v>0</v>
          </cell>
          <cell r="HA116" t="str">
            <v/>
          </cell>
          <cell r="HC116">
            <v>0</v>
          </cell>
          <cell r="HD116" t="str">
            <v/>
          </cell>
          <cell r="HF116">
            <v>0</v>
          </cell>
          <cell r="HG116" t="str">
            <v/>
          </cell>
          <cell r="HI116">
            <v>0</v>
          </cell>
          <cell r="HJ116" t="str">
            <v/>
          </cell>
          <cell r="HL116">
            <v>0</v>
          </cell>
          <cell r="HM116" t="str">
            <v/>
          </cell>
          <cell r="HO116">
            <v>0.22</v>
          </cell>
          <cell r="HP116">
            <v>29913.636363636364</v>
          </cell>
          <cell r="HR116">
            <v>0.01</v>
          </cell>
          <cell r="HS116">
            <v>35600</v>
          </cell>
          <cell r="HU116">
            <v>0</v>
          </cell>
          <cell r="HV116" t="str">
            <v/>
          </cell>
        </row>
        <row r="117">
          <cell r="DQ117">
            <v>0.01</v>
          </cell>
          <cell r="DR117">
            <v>128700</v>
          </cell>
          <cell r="DT117">
            <v>0</v>
          </cell>
          <cell r="DU117" t="str">
            <v/>
          </cell>
          <cell r="DW117">
            <v>7.0000000000000007E-2</v>
          </cell>
          <cell r="DX117">
            <v>58499.999999999993</v>
          </cell>
          <cell r="DZ117">
            <v>0</v>
          </cell>
          <cell r="EA117" t="str">
            <v/>
          </cell>
          <cell r="EC117">
            <v>0</v>
          </cell>
          <cell r="ED117" t="str">
            <v/>
          </cell>
          <cell r="EF117">
            <v>0</v>
          </cell>
          <cell r="EG117" t="str">
            <v/>
          </cell>
          <cell r="EI117">
            <v>0</v>
          </cell>
          <cell r="EJ117" t="str">
            <v/>
          </cell>
          <cell r="EL117">
            <v>0</v>
          </cell>
          <cell r="EM117" t="str">
            <v/>
          </cell>
          <cell r="EO117">
            <v>0</v>
          </cell>
          <cell r="EP117" t="str">
            <v/>
          </cell>
          <cell r="ER117">
            <v>0</v>
          </cell>
          <cell r="ES117" t="str">
            <v/>
          </cell>
          <cell r="EU117">
            <v>0</v>
          </cell>
          <cell r="EV117" t="str">
            <v/>
          </cell>
          <cell r="EX117">
            <v>0</v>
          </cell>
          <cell r="EY117" t="str">
            <v/>
          </cell>
          <cell r="FA117">
            <v>0</v>
          </cell>
          <cell r="FB117" t="str">
            <v/>
          </cell>
          <cell r="FD117">
            <v>0</v>
          </cell>
          <cell r="FE117" t="str">
            <v/>
          </cell>
          <cell r="FG117">
            <v>0</v>
          </cell>
          <cell r="FH117" t="str">
            <v/>
          </cell>
          <cell r="FJ117">
            <v>0</v>
          </cell>
          <cell r="FK117" t="str">
            <v/>
          </cell>
          <cell r="FM117">
            <v>0</v>
          </cell>
          <cell r="FN117" t="str">
            <v/>
          </cell>
          <cell r="FP117">
            <v>0</v>
          </cell>
          <cell r="FQ117" t="str">
            <v/>
          </cell>
          <cell r="FS117">
            <v>0</v>
          </cell>
          <cell r="FT117" t="str">
            <v/>
          </cell>
          <cell r="FV117">
            <v>0</v>
          </cell>
          <cell r="FW117" t="str">
            <v/>
          </cell>
          <cell r="FY117">
            <v>0</v>
          </cell>
          <cell r="FZ117" t="str">
            <v/>
          </cell>
          <cell r="GB117">
            <v>0</v>
          </cell>
          <cell r="GC117" t="str">
            <v/>
          </cell>
          <cell r="GE117">
            <v>0</v>
          </cell>
          <cell r="GF117" t="str">
            <v/>
          </cell>
          <cell r="GH117">
            <v>0</v>
          </cell>
          <cell r="GI117" t="str">
            <v/>
          </cell>
          <cell r="GK117">
            <v>0</v>
          </cell>
          <cell r="GL117" t="str">
            <v/>
          </cell>
          <cell r="GN117">
            <v>0</v>
          </cell>
          <cell r="GO117" t="str">
            <v/>
          </cell>
          <cell r="GQ117">
            <v>0</v>
          </cell>
          <cell r="GR117" t="str">
            <v/>
          </cell>
          <cell r="GT117">
            <v>0</v>
          </cell>
          <cell r="GU117" t="str">
            <v/>
          </cell>
          <cell r="GW117">
            <v>0</v>
          </cell>
          <cell r="GX117" t="str">
            <v/>
          </cell>
          <cell r="GZ117">
            <v>0.47</v>
          </cell>
          <cell r="HA117">
            <v>46336.170212765959</v>
          </cell>
          <cell r="HC117">
            <v>0</v>
          </cell>
          <cell r="HD117" t="str">
            <v/>
          </cell>
          <cell r="HF117">
            <v>0</v>
          </cell>
          <cell r="HG117" t="str">
            <v/>
          </cell>
          <cell r="HI117">
            <v>0</v>
          </cell>
          <cell r="HJ117" t="str">
            <v/>
          </cell>
          <cell r="HL117">
            <v>0</v>
          </cell>
          <cell r="HM117" t="str">
            <v/>
          </cell>
          <cell r="HO117">
            <v>0.02</v>
          </cell>
          <cell r="HP117">
            <v>38750</v>
          </cell>
          <cell r="HR117">
            <v>0</v>
          </cell>
          <cell r="HS117" t="str">
            <v/>
          </cell>
          <cell r="HU117">
            <v>0</v>
          </cell>
          <cell r="HV117" t="str">
            <v/>
          </cell>
        </row>
        <row r="118">
          <cell r="DQ118">
            <v>0.03</v>
          </cell>
          <cell r="DR118">
            <v>54700</v>
          </cell>
          <cell r="DT118">
            <v>0.11</v>
          </cell>
          <cell r="DU118">
            <v>47881.818181818184</v>
          </cell>
          <cell r="DW118">
            <v>0.14000000000000001</v>
          </cell>
          <cell r="DX118">
            <v>35107.142857142855</v>
          </cell>
          <cell r="DZ118">
            <v>0</v>
          </cell>
          <cell r="EA118" t="str">
            <v/>
          </cell>
          <cell r="EC118">
            <v>0</v>
          </cell>
          <cell r="ED118" t="str">
            <v/>
          </cell>
          <cell r="EF118">
            <v>0</v>
          </cell>
          <cell r="EG118" t="str">
            <v/>
          </cell>
          <cell r="EI118">
            <v>0</v>
          </cell>
          <cell r="EJ118" t="str">
            <v/>
          </cell>
          <cell r="EL118">
            <v>0.01</v>
          </cell>
          <cell r="EM118">
            <v>41300</v>
          </cell>
          <cell r="EO118">
            <v>0.02</v>
          </cell>
          <cell r="EP118">
            <v>44800</v>
          </cell>
          <cell r="ER118">
            <v>0</v>
          </cell>
          <cell r="ES118" t="str">
            <v/>
          </cell>
          <cell r="EU118">
            <v>0</v>
          </cell>
          <cell r="EV118" t="str">
            <v/>
          </cell>
          <cell r="EX118">
            <v>0</v>
          </cell>
          <cell r="EY118" t="str">
            <v/>
          </cell>
          <cell r="FA118">
            <v>0</v>
          </cell>
          <cell r="FB118" t="str">
            <v/>
          </cell>
          <cell r="FD118">
            <v>0</v>
          </cell>
          <cell r="FE118" t="str">
            <v/>
          </cell>
          <cell r="FG118">
            <v>0</v>
          </cell>
          <cell r="FH118" t="str">
            <v/>
          </cell>
          <cell r="FJ118">
            <v>0</v>
          </cell>
          <cell r="FK118" t="str">
            <v/>
          </cell>
          <cell r="FM118">
            <v>0</v>
          </cell>
          <cell r="FN118" t="str">
            <v/>
          </cell>
          <cell r="FP118">
            <v>0</v>
          </cell>
          <cell r="FQ118" t="str">
            <v/>
          </cell>
          <cell r="FS118">
            <v>0</v>
          </cell>
          <cell r="FT118" t="str">
            <v/>
          </cell>
          <cell r="FV118">
            <v>0</v>
          </cell>
          <cell r="FW118" t="str">
            <v/>
          </cell>
          <cell r="FY118">
            <v>0</v>
          </cell>
          <cell r="FZ118" t="str">
            <v/>
          </cell>
          <cell r="GB118">
            <v>0</v>
          </cell>
          <cell r="GC118" t="str">
            <v/>
          </cell>
          <cell r="GE118">
            <v>0</v>
          </cell>
          <cell r="GF118" t="str">
            <v/>
          </cell>
          <cell r="GH118">
            <v>0</v>
          </cell>
          <cell r="GI118" t="str">
            <v/>
          </cell>
          <cell r="GK118">
            <v>0</v>
          </cell>
          <cell r="GL118" t="str">
            <v/>
          </cell>
          <cell r="GN118">
            <v>0</v>
          </cell>
          <cell r="GO118" t="str">
            <v/>
          </cell>
          <cell r="GQ118">
            <v>0</v>
          </cell>
          <cell r="GR118" t="str">
            <v/>
          </cell>
          <cell r="GT118">
            <v>0</v>
          </cell>
          <cell r="GU118" t="str">
            <v/>
          </cell>
          <cell r="GW118">
            <v>0</v>
          </cell>
          <cell r="GX118" t="str">
            <v/>
          </cell>
          <cell r="GZ118">
            <v>0</v>
          </cell>
          <cell r="HA118" t="str">
            <v/>
          </cell>
          <cell r="HC118">
            <v>0</v>
          </cell>
          <cell r="HD118" t="str">
            <v/>
          </cell>
          <cell r="HF118">
            <v>0</v>
          </cell>
          <cell r="HG118" t="str">
            <v/>
          </cell>
          <cell r="HI118">
            <v>0</v>
          </cell>
          <cell r="HJ118" t="str">
            <v/>
          </cell>
          <cell r="HL118">
            <v>0.49</v>
          </cell>
          <cell r="HM118">
            <v>28912.244897959183</v>
          </cell>
          <cell r="HO118">
            <v>0</v>
          </cell>
          <cell r="HP118" t="str">
            <v/>
          </cell>
          <cell r="HR118">
            <v>0</v>
          </cell>
          <cell r="HS118" t="str">
            <v/>
          </cell>
          <cell r="HU118">
            <v>0</v>
          </cell>
          <cell r="HV118" t="str">
            <v/>
          </cell>
        </row>
        <row r="119">
          <cell r="DQ119">
            <v>0.01</v>
          </cell>
          <cell r="DR119">
            <v>63600</v>
          </cell>
          <cell r="DT119">
            <v>0.04</v>
          </cell>
          <cell r="DU119">
            <v>114000</v>
          </cell>
          <cell r="DW119">
            <v>0.03</v>
          </cell>
          <cell r="DX119">
            <v>22880</v>
          </cell>
          <cell r="DZ119">
            <v>0</v>
          </cell>
          <cell r="EA119" t="str">
            <v/>
          </cell>
          <cell r="EC119">
            <v>0</v>
          </cell>
          <cell r="ED119" t="str">
            <v/>
          </cell>
          <cell r="EF119">
            <v>0</v>
          </cell>
          <cell r="EG119" t="str">
            <v/>
          </cell>
          <cell r="EI119">
            <v>0</v>
          </cell>
          <cell r="EJ119" t="str">
            <v/>
          </cell>
          <cell r="EL119">
            <v>0</v>
          </cell>
          <cell r="EM119" t="str">
            <v/>
          </cell>
          <cell r="EO119">
            <v>0.01</v>
          </cell>
          <cell r="EP119">
            <v>36700</v>
          </cell>
          <cell r="ER119">
            <v>0</v>
          </cell>
          <cell r="ES119" t="str">
            <v/>
          </cell>
          <cell r="EU119">
            <v>0</v>
          </cell>
          <cell r="EV119" t="str">
            <v/>
          </cell>
          <cell r="EX119">
            <v>0</v>
          </cell>
          <cell r="EY119" t="str">
            <v/>
          </cell>
          <cell r="FA119">
            <v>0</v>
          </cell>
          <cell r="FB119" t="str">
            <v/>
          </cell>
          <cell r="FD119">
            <v>0</v>
          </cell>
          <cell r="FE119" t="str">
            <v/>
          </cell>
          <cell r="FG119">
            <v>0</v>
          </cell>
          <cell r="FH119" t="str">
            <v/>
          </cell>
          <cell r="FJ119">
            <v>0</v>
          </cell>
          <cell r="FK119" t="str">
            <v/>
          </cell>
          <cell r="FM119">
            <v>0</v>
          </cell>
          <cell r="FN119" t="str">
            <v/>
          </cell>
          <cell r="FP119">
            <v>0</v>
          </cell>
          <cell r="FQ119" t="str">
            <v/>
          </cell>
          <cell r="FS119">
            <v>0</v>
          </cell>
          <cell r="FT119" t="str">
            <v/>
          </cell>
          <cell r="FV119">
            <v>0</v>
          </cell>
          <cell r="FW119" t="str">
            <v/>
          </cell>
          <cell r="FY119">
            <v>0</v>
          </cell>
          <cell r="FZ119" t="str">
            <v/>
          </cell>
          <cell r="GB119">
            <v>0</v>
          </cell>
          <cell r="GC119" t="str">
            <v/>
          </cell>
          <cell r="GE119">
            <v>0</v>
          </cell>
          <cell r="GF119" t="str">
            <v/>
          </cell>
          <cell r="GH119">
            <v>0</v>
          </cell>
          <cell r="GI119" t="str">
            <v/>
          </cell>
          <cell r="GK119">
            <v>0</v>
          </cell>
          <cell r="GL119" t="str">
            <v/>
          </cell>
          <cell r="GN119">
            <v>0</v>
          </cell>
          <cell r="GO119" t="str">
            <v/>
          </cell>
          <cell r="GQ119">
            <v>0</v>
          </cell>
          <cell r="GR119" t="str">
            <v/>
          </cell>
          <cell r="GT119">
            <v>0</v>
          </cell>
          <cell r="GU119" t="str">
            <v/>
          </cell>
          <cell r="GW119">
            <v>0</v>
          </cell>
          <cell r="GX119" t="str">
            <v/>
          </cell>
          <cell r="GZ119">
            <v>0</v>
          </cell>
          <cell r="HA119" t="str">
            <v/>
          </cell>
          <cell r="HC119">
            <v>0</v>
          </cell>
          <cell r="HD119" t="str">
            <v/>
          </cell>
          <cell r="HF119">
            <v>0</v>
          </cell>
          <cell r="HG119" t="str">
            <v/>
          </cell>
          <cell r="HI119">
            <v>0</v>
          </cell>
          <cell r="HJ119" t="str">
            <v/>
          </cell>
          <cell r="HL119">
            <v>0.17</v>
          </cell>
          <cell r="HM119">
            <v>25652.941176470587</v>
          </cell>
          <cell r="HO119">
            <v>0</v>
          </cell>
          <cell r="HP119" t="str">
            <v/>
          </cell>
          <cell r="HR119">
            <v>0</v>
          </cell>
          <cell r="HS119" t="str">
            <v/>
          </cell>
          <cell r="HU119">
            <v>0</v>
          </cell>
          <cell r="HV119" t="str">
            <v/>
          </cell>
        </row>
        <row r="120">
          <cell r="DQ120">
            <v>0</v>
          </cell>
          <cell r="DR120" t="str">
            <v/>
          </cell>
          <cell r="DT120">
            <v>0</v>
          </cell>
          <cell r="DU120" t="str">
            <v/>
          </cell>
          <cell r="DW120">
            <v>0</v>
          </cell>
          <cell r="DX120" t="str">
            <v/>
          </cell>
          <cell r="DZ120">
            <v>0</v>
          </cell>
          <cell r="EA120" t="str">
            <v/>
          </cell>
          <cell r="EC120">
            <v>0</v>
          </cell>
          <cell r="ED120" t="str">
            <v/>
          </cell>
          <cell r="EF120">
            <v>0</v>
          </cell>
          <cell r="EG120" t="str">
            <v/>
          </cell>
          <cell r="EI120">
            <v>0</v>
          </cell>
          <cell r="EJ120" t="str">
            <v/>
          </cell>
          <cell r="EL120">
            <v>0</v>
          </cell>
          <cell r="EM120" t="str">
            <v/>
          </cell>
          <cell r="EO120">
            <v>0</v>
          </cell>
          <cell r="EP120" t="str">
            <v/>
          </cell>
          <cell r="ER120">
            <v>0</v>
          </cell>
          <cell r="ES120" t="str">
            <v/>
          </cell>
          <cell r="EU120">
            <v>0</v>
          </cell>
          <cell r="EV120" t="str">
            <v/>
          </cell>
          <cell r="EX120">
            <v>0</v>
          </cell>
          <cell r="EY120" t="str">
            <v/>
          </cell>
          <cell r="FA120">
            <v>0</v>
          </cell>
          <cell r="FB120" t="str">
            <v/>
          </cell>
          <cell r="FD120">
            <v>0</v>
          </cell>
          <cell r="FE120" t="str">
            <v/>
          </cell>
          <cell r="FG120">
            <v>0</v>
          </cell>
          <cell r="FH120" t="str">
            <v/>
          </cell>
          <cell r="FJ120">
            <v>0</v>
          </cell>
          <cell r="FK120" t="str">
            <v/>
          </cell>
          <cell r="FM120">
            <v>0</v>
          </cell>
          <cell r="FN120" t="str">
            <v/>
          </cell>
          <cell r="FP120">
            <v>0</v>
          </cell>
          <cell r="FQ120" t="str">
            <v/>
          </cell>
          <cell r="FS120">
            <v>0</v>
          </cell>
          <cell r="FT120" t="str">
            <v/>
          </cell>
          <cell r="FV120">
            <v>0</v>
          </cell>
          <cell r="FW120" t="str">
            <v/>
          </cell>
          <cell r="FY120">
            <v>0</v>
          </cell>
          <cell r="FZ120" t="str">
            <v/>
          </cell>
          <cell r="GB120">
            <v>0</v>
          </cell>
          <cell r="GC120" t="str">
            <v/>
          </cell>
          <cell r="GE120">
            <v>0</v>
          </cell>
          <cell r="GF120" t="str">
            <v/>
          </cell>
          <cell r="GH120">
            <v>0</v>
          </cell>
          <cell r="GI120" t="str">
            <v/>
          </cell>
          <cell r="GK120">
            <v>0</v>
          </cell>
          <cell r="GL120" t="str">
            <v/>
          </cell>
          <cell r="GN120">
            <v>0</v>
          </cell>
          <cell r="GO120" t="str">
            <v/>
          </cell>
          <cell r="GQ120">
            <v>0</v>
          </cell>
          <cell r="GR120" t="str">
            <v/>
          </cell>
          <cell r="GT120">
            <v>0</v>
          </cell>
          <cell r="GU120" t="str">
            <v/>
          </cell>
          <cell r="GW120">
            <v>0</v>
          </cell>
          <cell r="GX120" t="str">
            <v/>
          </cell>
          <cell r="GZ120">
            <v>0</v>
          </cell>
          <cell r="HA120" t="str">
            <v/>
          </cell>
          <cell r="HC120">
            <v>0</v>
          </cell>
          <cell r="HD120" t="str">
            <v/>
          </cell>
          <cell r="HF120">
            <v>0</v>
          </cell>
          <cell r="HG120" t="str">
            <v/>
          </cell>
          <cell r="HI120">
            <v>0</v>
          </cell>
          <cell r="HJ120" t="str">
            <v/>
          </cell>
          <cell r="HL120">
            <v>0</v>
          </cell>
          <cell r="HM120" t="str">
            <v/>
          </cell>
          <cell r="HO120">
            <v>0</v>
          </cell>
          <cell r="HP120" t="str">
            <v/>
          </cell>
          <cell r="HR120">
            <v>0</v>
          </cell>
          <cell r="HS120" t="str">
            <v/>
          </cell>
          <cell r="HU120">
            <v>0</v>
          </cell>
          <cell r="HV120" t="str">
            <v/>
          </cell>
        </row>
        <row r="121">
          <cell r="DQ121">
            <v>7.0000000000000007E-2</v>
          </cell>
          <cell r="DR121">
            <v>57042.857142857138</v>
          </cell>
          <cell r="DT121">
            <v>0.38</v>
          </cell>
          <cell r="DU121">
            <v>42560.526315789473</v>
          </cell>
          <cell r="DW121">
            <v>0.01</v>
          </cell>
          <cell r="DX121">
            <v>22880</v>
          </cell>
          <cell r="DZ121">
            <v>0</v>
          </cell>
          <cell r="EA121" t="str">
            <v/>
          </cell>
          <cell r="EC121">
            <v>0</v>
          </cell>
          <cell r="ED121" t="str">
            <v/>
          </cell>
          <cell r="EF121">
            <v>0</v>
          </cell>
          <cell r="EG121" t="str">
            <v/>
          </cell>
          <cell r="EI121">
            <v>0</v>
          </cell>
          <cell r="EJ121" t="str">
            <v/>
          </cell>
          <cell r="EL121">
            <v>0.01</v>
          </cell>
          <cell r="EM121">
            <v>106100</v>
          </cell>
          <cell r="EO121">
            <v>0.05</v>
          </cell>
          <cell r="EP121">
            <v>45980</v>
          </cell>
          <cell r="ER121">
            <v>0</v>
          </cell>
          <cell r="ES121" t="str">
            <v/>
          </cell>
          <cell r="EU121">
            <v>0</v>
          </cell>
          <cell r="EV121" t="str">
            <v/>
          </cell>
          <cell r="EX121">
            <v>0</v>
          </cell>
          <cell r="EY121" t="str">
            <v/>
          </cell>
          <cell r="FA121">
            <v>0</v>
          </cell>
          <cell r="FB121" t="str">
            <v/>
          </cell>
          <cell r="FD121">
            <v>0</v>
          </cell>
          <cell r="FE121" t="str">
            <v/>
          </cell>
          <cell r="FG121">
            <v>0</v>
          </cell>
          <cell r="FH121" t="str">
            <v/>
          </cell>
          <cell r="FJ121">
            <v>0</v>
          </cell>
          <cell r="FK121" t="str">
            <v/>
          </cell>
          <cell r="FM121">
            <v>0</v>
          </cell>
          <cell r="FN121" t="str">
            <v/>
          </cell>
          <cell r="FP121">
            <v>0</v>
          </cell>
          <cell r="FQ121" t="str">
            <v/>
          </cell>
          <cell r="FS121">
            <v>0</v>
          </cell>
          <cell r="FT121" t="str">
            <v/>
          </cell>
          <cell r="FV121">
            <v>0</v>
          </cell>
          <cell r="FW121" t="str">
            <v/>
          </cell>
          <cell r="FY121">
            <v>0</v>
          </cell>
          <cell r="FZ121" t="str">
            <v/>
          </cell>
          <cell r="GB121">
            <v>0</v>
          </cell>
          <cell r="GC121" t="str">
            <v/>
          </cell>
          <cell r="GE121">
            <v>0</v>
          </cell>
          <cell r="GF121" t="str">
            <v/>
          </cell>
          <cell r="GH121">
            <v>0</v>
          </cell>
          <cell r="GI121" t="str">
            <v/>
          </cell>
          <cell r="GK121">
            <v>0</v>
          </cell>
          <cell r="GL121" t="str">
            <v/>
          </cell>
          <cell r="GN121">
            <v>0</v>
          </cell>
          <cell r="GO121" t="str">
            <v/>
          </cell>
          <cell r="GQ121">
            <v>0</v>
          </cell>
          <cell r="GR121" t="str">
            <v/>
          </cell>
          <cell r="GT121">
            <v>0</v>
          </cell>
          <cell r="GU121" t="str">
            <v/>
          </cell>
          <cell r="GW121">
            <v>0</v>
          </cell>
          <cell r="GX121" t="str">
            <v/>
          </cell>
          <cell r="GZ121">
            <v>0</v>
          </cell>
          <cell r="HA121" t="str">
            <v/>
          </cell>
          <cell r="HC121">
            <v>0</v>
          </cell>
          <cell r="HD121" t="str">
            <v/>
          </cell>
          <cell r="HF121">
            <v>0</v>
          </cell>
          <cell r="HG121" t="str">
            <v/>
          </cell>
          <cell r="HI121">
            <v>0</v>
          </cell>
          <cell r="HJ121" t="str">
            <v/>
          </cell>
          <cell r="HL121">
            <v>2.5499999999999998</v>
          </cell>
          <cell r="HM121">
            <v>30632.941176470591</v>
          </cell>
          <cell r="HO121">
            <v>0</v>
          </cell>
          <cell r="HP121" t="str">
            <v/>
          </cell>
          <cell r="HR121">
            <v>0</v>
          </cell>
          <cell r="HS121" t="str">
            <v/>
          </cell>
          <cell r="HU121">
            <v>0</v>
          </cell>
          <cell r="HV121" t="str">
            <v/>
          </cell>
        </row>
        <row r="122">
          <cell r="DQ122">
            <v>0</v>
          </cell>
          <cell r="DR122" t="str">
            <v/>
          </cell>
          <cell r="DT122">
            <v>0</v>
          </cell>
          <cell r="DU122" t="str">
            <v/>
          </cell>
          <cell r="DW122">
            <v>0</v>
          </cell>
          <cell r="DX122" t="str">
            <v/>
          </cell>
          <cell r="DZ122">
            <v>0</v>
          </cell>
          <cell r="EA122" t="str">
            <v/>
          </cell>
          <cell r="EC122">
            <v>0</v>
          </cell>
          <cell r="ED122" t="str">
            <v/>
          </cell>
          <cell r="EF122">
            <v>0</v>
          </cell>
          <cell r="EG122" t="str">
            <v/>
          </cell>
          <cell r="EI122">
            <v>0</v>
          </cell>
          <cell r="EJ122" t="str">
            <v/>
          </cell>
          <cell r="EL122">
            <v>0</v>
          </cell>
          <cell r="EM122" t="str">
            <v/>
          </cell>
          <cell r="EO122">
            <v>0</v>
          </cell>
          <cell r="EP122" t="str">
            <v/>
          </cell>
          <cell r="ER122">
            <v>0</v>
          </cell>
          <cell r="ES122" t="str">
            <v/>
          </cell>
          <cell r="EU122">
            <v>0</v>
          </cell>
          <cell r="EV122" t="str">
            <v/>
          </cell>
          <cell r="EX122">
            <v>0</v>
          </cell>
          <cell r="EY122" t="str">
            <v/>
          </cell>
          <cell r="FA122">
            <v>0</v>
          </cell>
          <cell r="FB122" t="str">
            <v/>
          </cell>
          <cell r="FD122">
            <v>0</v>
          </cell>
          <cell r="FE122" t="str">
            <v/>
          </cell>
          <cell r="FG122">
            <v>0</v>
          </cell>
          <cell r="FH122" t="str">
            <v/>
          </cell>
          <cell r="FJ122">
            <v>0</v>
          </cell>
          <cell r="FK122" t="str">
            <v/>
          </cell>
          <cell r="FM122">
            <v>0</v>
          </cell>
          <cell r="FN122" t="str">
            <v/>
          </cell>
          <cell r="FP122">
            <v>0</v>
          </cell>
          <cell r="FQ122" t="str">
            <v/>
          </cell>
          <cell r="FS122">
            <v>0</v>
          </cell>
          <cell r="FT122" t="str">
            <v/>
          </cell>
          <cell r="FV122">
            <v>0</v>
          </cell>
          <cell r="FW122" t="str">
            <v/>
          </cell>
          <cell r="FY122">
            <v>0</v>
          </cell>
          <cell r="FZ122" t="str">
            <v/>
          </cell>
          <cell r="GB122">
            <v>0</v>
          </cell>
          <cell r="GC122" t="str">
            <v/>
          </cell>
          <cell r="GE122">
            <v>0</v>
          </cell>
          <cell r="GF122" t="str">
            <v/>
          </cell>
          <cell r="GH122">
            <v>0</v>
          </cell>
          <cell r="GI122" t="str">
            <v/>
          </cell>
          <cell r="GK122">
            <v>0</v>
          </cell>
          <cell r="GL122" t="str">
            <v/>
          </cell>
          <cell r="GN122">
            <v>0</v>
          </cell>
          <cell r="GO122" t="str">
            <v/>
          </cell>
          <cell r="GQ122">
            <v>0</v>
          </cell>
          <cell r="GR122" t="str">
            <v/>
          </cell>
          <cell r="GT122">
            <v>0</v>
          </cell>
          <cell r="GU122" t="str">
            <v/>
          </cell>
          <cell r="GW122">
            <v>0</v>
          </cell>
          <cell r="GX122" t="str">
            <v/>
          </cell>
          <cell r="GZ122">
            <v>0</v>
          </cell>
          <cell r="HA122" t="str">
            <v/>
          </cell>
          <cell r="HC122">
            <v>0</v>
          </cell>
          <cell r="HD122" t="str">
            <v/>
          </cell>
          <cell r="HF122">
            <v>0</v>
          </cell>
          <cell r="HG122" t="str">
            <v/>
          </cell>
          <cell r="HI122">
            <v>0</v>
          </cell>
          <cell r="HJ122" t="str">
            <v/>
          </cell>
          <cell r="HL122">
            <v>0</v>
          </cell>
          <cell r="HM122" t="str">
            <v/>
          </cell>
          <cell r="HO122">
            <v>0</v>
          </cell>
          <cell r="HP122" t="str">
            <v/>
          </cell>
          <cell r="HR122">
            <v>0</v>
          </cell>
          <cell r="HS122" t="str">
            <v/>
          </cell>
          <cell r="HU122">
            <v>0</v>
          </cell>
          <cell r="HV122" t="str">
            <v/>
          </cell>
        </row>
        <row r="123">
          <cell r="DQ123">
            <v>0</v>
          </cell>
          <cell r="DR123" t="str">
            <v/>
          </cell>
          <cell r="DT123">
            <v>0</v>
          </cell>
          <cell r="DU123" t="str">
            <v/>
          </cell>
          <cell r="DW123">
            <v>0</v>
          </cell>
          <cell r="DX123" t="str">
            <v/>
          </cell>
          <cell r="DZ123">
            <v>0</v>
          </cell>
          <cell r="EA123" t="str">
            <v/>
          </cell>
          <cell r="EC123">
            <v>0</v>
          </cell>
          <cell r="ED123" t="str">
            <v/>
          </cell>
          <cell r="EF123">
            <v>0</v>
          </cell>
          <cell r="EG123" t="str">
            <v/>
          </cell>
          <cell r="EI123">
            <v>0</v>
          </cell>
          <cell r="EJ123" t="str">
            <v/>
          </cell>
          <cell r="EL123">
            <v>0</v>
          </cell>
          <cell r="EM123" t="str">
            <v/>
          </cell>
          <cell r="EO123">
            <v>0</v>
          </cell>
          <cell r="EP123" t="str">
            <v/>
          </cell>
          <cell r="ER123">
            <v>0</v>
          </cell>
          <cell r="ES123" t="str">
            <v/>
          </cell>
          <cell r="EU123">
            <v>0</v>
          </cell>
          <cell r="EV123" t="str">
            <v/>
          </cell>
          <cell r="EX123">
            <v>0</v>
          </cell>
          <cell r="EY123" t="str">
            <v/>
          </cell>
          <cell r="FA123">
            <v>0</v>
          </cell>
          <cell r="FB123" t="str">
            <v/>
          </cell>
          <cell r="FD123">
            <v>0</v>
          </cell>
          <cell r="FE123" t="str">
            <v/>
          </cell>
          <cell r="FG123">
            <v>0</v>
          </cell>
          <cell r="FH123" t="str">
            <v/>
          </cell>
          <cell r="FJ123">
            <v>0</v>
          </cell>
          <cell r="FK123" t="str">
            <v/>
          </cell>
          <cell r="FM123">
            <v>0</v>
          </cell>
          <cell r="FN123" t="str">
            <v/>
          </cell>
          <cell r="FP123">
            <v>0</v>
          </cell>
          <cell r="FQ123" t="str">
            <v/>
          </cell>
          <cell r="FS123">
            <v>0</v>
          </cell>
          <cell r="FT123" t="str">
            <v/>
          </cell>
          <cell r="FV123">
            <v>0</v>
          </cell>
          <cell r="FW123" t="str">
            <v/>
          </cell>
          <cell r="FY123">
            <v>0</v>
          </cell>
          <cell r="FZ123" t="str">
            <v/>
          </cell>
          <cell r="GB123">
            <v>0</v>
          </cell>
          <cell r="GC123" t="str">
            <v/>
          </cell>
          <cell r="GE123">
            <v>0</v>
          </cell>
          <cell r="GF123" t="str">
            <v/>
          </cell>
          <cell r="GH123">
            <v>0</v>
          </cell>
          <cell r="GI123" t="str">
            <v/>
          </cell>
          <cell r="GK123">
            <v>0</v>
          </cell>
          <cell r="GL123" t="str">
            <v/>
          </cell>
          <cell r="GN123">
            <v>0</v>
          </cell>
          <cell r="GO123" t="str">
            <v/>
          </cell>
          <cell r="GQ123">
            <v>0</v>
          </cell>
          <cell r="GR123" t="str">
            <v/>
          </cell>
          <cell r="GT123">
            <v>0</v>
          </cell>
          <cell r="GU123" t="str">
            <v/>
          </cell>
          <cell r="GW123">
            <v>0</v>
          </cell>
          <cell r="GX123" t="str">
            <v/>
          </cell>
          <cell r="GZ123">
            <v>0</v>
          </cell>
          <cell r="HA123" t="str">
            <v/>
          </cell>
          <cell r="HC123">
            <v>0</v>
          </cell>
          <cell r="HD123" t="str">
            <v/>
          </cell>
          <cell r="HF123">
            <v>0</v>
          </cell>
          <cell r="HG123" t="str">
            <v/>
          </cell>
          <cell r="HI123">
            <v>0</v>
          </cell>
          <cell r="HJ123" t="str">
            <v/>
          </cell>
          <cell r="HL123">
            <v>2.25</v>
          </cell>
          <cell r="HM123">
            <v>36192</v>
          </cell>
          <cell r="HO123">
            <v>0</v>
          </cell>
          <cell r="HP123" t="str">
            <v/>
          </cell>
          <cell r="HR123">
            <v>0</v>
          </cell>
          <cell r="HS123" t="str">
            <v/>
          </cell>
          <cell r="HU123">
            <v>0</v>
          </cell>
          <cell r="HV123" t="str">
            <v/>
          </cell>
        </row>
        <row r="124">
          <cell r="DQ124">
            <v>0</v>
          </cell>
          <cell r="DR124" t="str">
            <v/>
          </cell>
          <cell r="DT124">
            <v>0</v>
          </cell>
          <cell r="DU124" t="str">
            <v/>
          </cell>
          <cell r="DW124">
            <v>0</v>
          </cell>
          <cell r="DX124" t="str">
            <v/>
          </cell>
          <cell r="DZ124">
            <v>0</v>
          </cell>
          <cell r="EA124" t="str">
            <v/>
          </cell>
          <cell r="EC124">
            <v>0</v>
          </cell>
          <cell r="ED124" t="str">
            <v/>
          </cell>
          <cell r="EF124">
            <v>0</v>
          </cell>
          <cell r="EG124" t="str">
            <v/>
          </cell>
          <cell r="EI124">
            <v>0</v>
          </cell>
          <cell r="EJ124" t="str">
            <v/>
          </cell>
          <cell r="EL124">
            <v>0</v>
          </cell>
          <cell r="EM124" t="str">
            <v/>
          </cell>
          <cell r="EO124">
            <v>0</v>
          </cell>
          <cell r="EP124" t="str">
            <v/>
          </cell>
          <cell r="ER124">
            <v>0</v>
          </cell>
          <cell r="ES124" t="str">
            <v/>
          </cell>
          <cell r="EU124">
            <v>0</v>
          </cell>
          <cell r="EV124" t="str">
            <v/>
          </cell>
          <cell r="EX124">
            <v>0</v>
          </cell>
          <cell r="EY124" t="str">
            <v/>
          </cell>
          <cell r="FA124">
            <v>0</v>
          </cell>
          <cell r="FB124" t="str">
            <v/>
          </cell>
          <cell r="FD124">
            <v>0</v>
          </cell>
          <cell r="FE124" t="str">
            <v/>
          </cell>
          <cell r="FG124">
            <v>0</v>
          </cell>
          <cell r="FH124" t="str">
            <v/>
          </cell>
          <cell r="FJ124">
            <v>0</v>
          </cell>
          <cell r="FK124" t="str">
            <v/>
          </cell>
          <cell r="FM124">
            <v>0</v>
          </cell>
          <cell r="FN124" t="str">
            <v/>
          </cell>
          <cell r="FP124">
            <v>0</v>
          </cell>
          <cell r="FQ124" t="str">
            <v/>
          </cell>
          <cell r="FS124">
            <v>0</v>
          </cell>
          <cell r="FT124" t="str">
            <v/>
          </cell>
          <cell r="FV124">
            <v>0</v>
          </cell>
          <cell r="FW124" t="str">
            <v/>
          </cell>
          <cell r="FY124">
            <v>0</v>
          </cell>
          <cell r="FZ124" t="str">
            <v/>
          </cell>
          <cell r="GB124">
            <v>0</v>
          </cell>
          <cell r="GC124" t="str">
            <v/>
          </cell>
          <cell r="GE124">
            <v>0</v>
          </cell>
          <cell r="GF124" t="str">
            <v/>
          </cell>
          <cell r="GH124">
            <v>0</v>
          </cell>
          <cell r="GI124" t="str">
            <v/>
          </cell>
          <cell r="GK124">
            <v>0</v>
          </cell>
          <cell r="GL124" t="str">
            <v/>
          </cell>
          <cell r="GN124">
            <v>0</v>
          </cell>
          <cell r="GO124" t="str">
            <v/>
          </cell>
          <cell r="GQ124">
            <v>0</v>
          </cell>
          <cell r="GR124" t="str">
            <v/>
          </cell>
          <cell r="GT124">
            <v>0</v>
          </cell>
          <cell r="GU124" t="str">
            <v/>
          </cell>
          <cell r="GW124">
            <v>0</v>
          </cell>
          <cell r="GX124" t="str">
            <v/>
          </cell>
          <cell r="GZ124">
            <v>0</v>
          </cell>
          <cell r="HA124" t="str">
            <v/>
          </cell>
          <cell r="HC124">
            <v>0</v>
          </cell>
          <cell r="HD124" t="str">
            <v/>
          </cell>
          <cell r="HF124">
            <v>0</v>
          </cell>
          <cell r="HG124" t="str">
            <v/>
          </cell>
          <cell r="HI124">
            <v>0</v>
          </cell>
          <cell r="HJ124" t="str">
            <v/>
          </cell>
          <cell r="HL124">
            <v>0</v>
          </cell>
          <cell r="HM124" t="str">
            <v/>
          </cell>
          <cell r="HO124">
            <v>0.14000000000000001</v>
          </cell>
          <cell r="HP124">
            <v>60342.857142857138</v>
          </cell>
          <cell r="HR124">
            <v>0</v>
          </cell>
          <cell r="HS124" t="str">
            <v/>
          </cell>
          <cell r="HU124">
            <v>0</v>
          </cell>
          <cell r="HV124" t="str">
            <v/>
          </cell>
        </row>
        <row r="125">
          <cell r="DQ125">
            <v>0</v>
          </cell>
          <cell r="DR125" t="str">
            <v/>
          </cell>
          <cell r="DT125">
            <v>0</v>
          </cell>
          <cell r="DU125" t="str">
            <v/>
          </cell>
          <cell r="DW125">
            <v>0</v>
          </cell>
          <cell r="DX125" t="str">
            <v/>
          </cell>
          <cell r="DZ125">
            <v>0</v>
          </cell>
          <cell r="EA125" t="str">
            <v/>
          </cell>
          <cell r="EC125">
            <v>0</v>
          </cell>
          <cell r="ED125" t="str">
            <v/>
          </cell>
          <cell r="EF125">
            <v>0</v>
          </cell>
          <cell r="EG125" t="str">
            <v/>
          </cell>
          <cell r="EI125">
            <v>0</v>
          </cell>
          <cell r="EJ125" t="str">
            <v/>
          </cell>
          <cell r="EL125">
            <v>0</v>
          </cell>
          <cell r="EM125" t="str">
            <v/>
          </cell>
          <cell r="EO125">
            <v>0</v>
          </cell>
          <cell r="EP125" t="str">
            <v/>
          </cell>
          <cell r="ER125">
            <v>0</v>
          </cell>
          <cell r="ES125" t="str">
            <v/>
          </cell>
          <cell r="EU125">
            <v>0</v>
          </cell>
          <cell r="EV125" t="str">
            <v/>
          </cell>
          <cell r="EX125">
            <v>0</v>
          </cell>
          <cell r="EY125" t="str">
            <v/>
          </cell>
          <cell r="FA125">
            <v>0</v>
          </cell>
          <cell r="FB125" t="str">
            <v/>
          </cell>
          <cell r="FD125">
            <v>0</v>
          </cell>
          <cell r="FE125" t="str">
            <v/>
          </cell>
          <cell r="FG125">
            <v>0</v>
          </cell>
          <cell r="FH125" t="str">
            <v/>
          </cell>
          <cell r="FJ125">
            <v>0</v>
          </cell>
          <cell r="FK125" t="str">
            <v/>
          </cell>
          <cell r="FM125">
            <v>0</v>
          </cell>
          <cell r="FN125" t="str">
            <v/>
          </cell>
          <cell r="FP125">
            <v>0</v>
          </cell>
          <cell r="FQ125" t="str">
            <v/>
          </cell>
          <cell r="FS125">
            <v>0</v>
          </cell>
          <cell r="FT125" t="str">
            <v/>
          </cell>
          <cell r="FV125">
            <v>0</v>
          </cell>
          <cell r="FW125" t="str">
            <v/>
          </cell>
          <cell r="FY125">
            <v>0</v>
          </cell>
          <cell r="FZ125" t="str">
            <v/>
          </cell>
          <cell r="GB125">
            <v>0</v>
          </cell>
          <cell r="GC125" t="str">
            <v/>
          </cell>
          <cell r="GE125">
            <v>0</v>
          </cell>
          <cell r="GF125" t="str">
            <v/>
          </cell>
          <cell r="GH125">
            <v>0</v>
          </cell>
          <cell r="GI125" t="str">
            <v/>
          </cell>
          <cell r="GK125">
            <v>0</v>
          </cell>
          <cell r="GL125" t="str">
            <v/>
          </cell>
          <cell r="GN125">
            <v>0</v>
          </cell>
          <cell r="GO125" t="str">
            <v/>
          </cell>
          <cell r="GQ125">
            <v>0</v>
          </cell>
          <cell r="GR125" t="str">
            <v/>
          </cell>
          <cell r="GT125">
            <v>0</v>
          </cell>
          <cell r="GU125" t="str">
            <v/>
          </cell>
          <cell r="GW125">
            <v>0</v>
          </cell>
          <cell r="GX125" t="str">
            <v/>
          </cell>
          <cell r="GZ125">
            <v>0</v>
          </cell>
          <cell r="HA125" t="str">
            <v/>
          </cell>
          <cell r="HC125">
            <v>0</v>
          </cell>
          <cell r="HD125" t="str">
            <v/>
          </cell>
          <cell r="HF125">
            <v>0</v>
          </cell>
          <cell r="HG125" t="str">
            <v/>
          </cell>
          <cell r="HI125">
            <v>0</v>
          </cell>
          <cell r="HJ125" t="str">
            <v/>
          </cell>
          <cell r="HL125">
            <v>0</v>
          </cell>
          <cell r="HM125" t="str">
            <v/>
          </cell>
          <cell r="HO125">
            <v>0</v>
          </cell>
          <cell r="HP125" t="str">
            <v/>
          </cell>
          <cell r="HR125">
            <v>0</v>
          </cell>
          <cell r="HS125" t="str">
            <v/>
          </cell>
          <cell r="HU125">
            <v>0</v>
          </cell>
          <cell r="HV125" t="str">
            <v/>
          </cell>
        </row>
        <row r="126">
          <cell r="DQ126">
            <v>0</v>
          </cell>
          <cell r="DR126" t="str">
            <v/>
          </cell>
          <cell r="DT126">
            <v>0</v>
          </cell>
          <cell r="DU126" t="str">
            <v/>
          </cell>
          <cell r="DW126">
            <v>0</v>
          </cell>
          <cell r="DX126" t="str">
            <v/>
          </cell>
          <cell r="DZ126">
            <v>0</v>
          </cell>
          <cell r="EA126" t="str">
            <v/>
          </cell>
          <cell r="EC126">
            <v>0</v>
          </cell>
          <cell r="ED126" t="str">
            <v/>
          </cell>
          <cell r="EF126">
            <v>0</v>
          </cell>
          <cell r="EG126" t="str">
            <v/>
          </cell>
          <cell r="EI126">
            <v>0</v>
          </cell>
          <cell r="EJ126" t="str">
            <v/>
          </cell>
          <cell r="EL126">
            <v>0</v>
          </cell>
          <cell r="EM126" t="str">
            <v/>
          </cell>
          <cell r="EO126">
            <v>0</v>
          </cell>
          <cell r="EP126" t="str">
            <v/>
          </cell>
          <cell r="ER126">
            <v>0</v>
          </cell>
          <cell r="ES126" t="str">
            <v/>
          </cell>
          <cell r="EU126">
            <v>0</v>
          </cell>
          <cell r="EV126" t="str">
            <v/>
          </cell>
          <cell r="EX126">
            <v>0</v>
          </cell>
          <cell r="EY126" t="str">
            <v/>
          </cell>
          <cell r="FA126">
            <v>0</v>
          </cell>
          <cell r="FB126" t="str">
            <v/>
          </cell>
          <cell r="FD126">
            <v>0</v>
          </cell>
          <cell r="FE126" t="str">
            <v/>
          </cell>
          <cell r="FG126">
            <v>0</v>
          </cell>
          <cell r="FH126" t="str">
            <v/>
          </cell>
          <cell r="FJ126">
            <v>0</v>
          </cell>
          <cell r="FK126" t="str">
            <v/>
          </cell>
          <cell r="FM126">
            <v>0</v>
          </cell>
          <cell r="FN126" t="str">
            <v/>
          </cell>
          <cell r="FP126">
            <v>0</v>
          </cell>
          <cell r="FQ126" t="str">
            <v/>
          </cell>
          <cell r="FS126">
            <v>0</v>
          </cell>
          <cell r="FT126" t="str">
            <v/>
          </cell>
          <cell r="FV126">
            <v>0</v>
          </cell>
          <cell r="FW126" t="str">
            <v/>
          </cell>
          <cell r="FY126">
            <v>0</v>
          </cell>
          <cell r="FZ126" t="str">
            <v/>
          </cell>
          <cell r="GB126">
            <v>0</v>
          </cell>
          <cell r="GC126" t="str">
            <v/>
          </cell>
          <cell r="GE126">
            <v>0</v>
          </cell>
          <cell r="GF126" t="str">
            <v/>
          </cell>
          <cell r="GH126">
            <v>0</v>
          </cell>
          <cell r="GI126" t="str">
            <v/>
          </cell>
          <cell r="GK126">
            <v>0</v>
          </cell>
          <cell r="GL126" t="str">
            <v/>
          </cell>
          <cell r="GN126">
            <v>0</v>
          </cell>
          <cell r="GO126" t="str">
            <v/>
          </cell>
          <cell r="GQ126">
            <v>0</v>
          </cell>
          <cell r="GR126" t="str">
            <v/>
          </cell>
          <cell r="GT126">
            <v>0</v>
          </cell>
          <cell r="GU126" t="str">
            <v/>
          </cell>
          <cell r="GW126">
            <v>0</v>
          </cell>
          <cell r="GX126" t="str">
            <v/>
          </cell>
          <cell r="GZ126">
            <v>0</v>
          </cell>
          <cell r="HA126" t="str">
            <v/>
          </cell>
          <cell r="HC126">
            <v>0</v>
          </cell>
          <cell r="HD126" t="str">
            <v/>
          </cell>
          <cell r="HF126">
            <v>0</v>
          </cell>
          <cell r="HG126" t="str">
            <v/>
          </cell>
          <cell r="HI126">
            <v>0.69</v>
          </cell>
          <cell r="HJ126">
            <v>37444.927536231888</v>
          </cell>
          <cell r="HL126">
            <v>0</v>
          </cell>
          <cell r="HM126" t="str">
            <v/>
          </cell>
          <cell r="HO126">
            <v>0</v>
          </cell>
          <cell r="HP126" t="str">
            <v/>
          </cell>
          <cell r="HR126">
            <v>0</v>
          </cell>
          <cell r="HS126" t="str">
            <v/>
          </cell>
          <cell r="HU126">
            <v>0</v>
          </cell>
          <cell r="HV126" t="str">
            <v/>
          </cell>
        </row>
        <row r="127">
          <cell r="DQ127">
            <v>0</v>
          </cell>
          <cell r="DR127" t="str">
            <v/>
          </cell>
          <cell r="DT127">
            <v>0</v>
          </cell>
          <cell r="DU127" t="str">
            <v/>
          </cell>
          <cell r="DW127">
            <v>0</v>
          </cell>
          <cell r="DX127" t="str">
            <v/>
          </cell>
          <cell r="DZ127">
            <v>0</v>
          </cell>
          <cell r="EA127" t="str">
            <v/>
          </cell>
          <cell r="EC127">
            <v>0</v>
          </cell>
          <cell r="ED127" t="str">
            <v/>
          </cell>
          <cell r="EF127">
            <v>0</v>
          </cell>
          <cell r="EG127" t="str">
            <v/>
          </cell>
          <cell r="EI127">
            <v>0</v>
          </cell>
          <cell r="EJ127" t="str">
            <v/>
          </cell>
          <cell r="EL127">
            <v>0</v>
          </cell>
          <cell r="EM127" t="str">
            <v/>
          </cell>
          <cell r="EO127">
            <v>0</v>
          </cell>
          <cell r="EP127" t="str">
            <v/>
          </cell>
          <cell r="ER127">
            <v>0</v>
          </cell>
          <cell r="ES127" t="str">
            <v/>
          </cell>
          <cell r="EU127">
            <v>0</v>
          </cell>
          <cell r="EV127" t="str">
            <v/>
          </cell>
          <cell r="EX127">
            <v>0</v>
          </cell>
          <cell r="EY127" t="str">
            <v/>
          </cell>
          <cell r="FA127">
            <v>0</v>
          </cell>
          <cell r="FB127" t="str">
            <v/>
          </cell>
          <cell r="FD127">
            <v>0</v>
          </cell>
          <cell r="FE127" t="str">
            <v/>
          </cell>
          <cell r="FG127">
            <v>0</v>
          </cell>
          <cell r="FH127" t="str">
            <v/>
          </cell>
          <cell r="FJ127">
            <v>0</v>
          </cell>
          <cell r="FK127" t="str">
            <v/>
          </cell>
          <cell r="FM127">
            <v>0</v>
          </cell>
          <cell r="FN127" t="str">
            <v/>
          </cell>
          <cell r="FP127">
            <v>0</v>
          </cell>
          <cell r="FQ127" t="str">
            <v/>
          </cell>
          <cell r="FS127">
            <v>0</v>
          </cell>
          <cell r="FT127" t="str">
            <v/>
          </cell>
          <cell r="FV127">
            <v>0</v>
          </cell>
          <cell r="FW127" t="str">
            <v/>
          </cell>
          <cell r="FY127">
            <v>0</v>
          </cell>
          <cell r="FZ127" t="str">
            <v/>
          </cell>
          <cell r="GB127">
            <v>0</v>
          </cell>
          <cell r="GC127" t="str">
            <v/>
          </cell>
          <cell r="GE127">
            <v>0</v>
          </cell>
          <cell r="GF127" t="str">
            <v/>
          </cell>
          <cell r="GH127">
            <v>0</v>
          </cell>
          <cell r="GI127" t="str">
            <v/>
          </cell>
          <cell r="GK127">
            <v>0</v>
          </cell>
          <cell r="GL127" t="str">
            <v/>
          </cell>
          <cell r="GN127">
            <v>0</v>
          </cell>
          <cell r="GO127" t="str">
            <v/>
          </cell>
          <cell r="GQ127">
            <v>0</v>
          </cell>
          <cell r="GR127" t="str">
            <v/>
          </cell>
          <cell r="GT127">
            <v>0</v>
          </cell>
          <cell r="GU127" t="str">
            <v/>
          </cell>
          <cell r="GW127">
            <v>0</v>
          </cell>
          <cell r="GX127" t="str">
            <v/>
          </cell>
          <cell r="GZ127">
            <v>0.08</v>
          </cell>
          <cell r="HA127">
            <v>41737.5</v>
          </cell>
          <cell r="HC127">
            <v>0</v>
          </cell>
          <cell r="HD127" t="str">
            <v/>
          </cell>
          <cell r="HF127">
            <v>0</v>
          </cell>
          <cell r="HG127" t="str">
            <v/>
          </cell>
          <cell r="HI127">
            <v>0</v>
          </cell>
          <cell r="HJ127" t="str">
            <v/>
          </cell>
          <cell r="HL127">
            <v>0</v>
          </cell>
          <cell r="HM127" t="str">
            <v/>
          </cell>
          <cell r="HO127">
            <v>0</v>
          </cell>
          <cell r="HP127" t="str">
            <v/>
          </cell>
          <cell r="HR127">
            <v>0</v>
          </cell>
          <cell r="HS127" t="str">
            <v/>
          </cell>
          <cell r="HU127">
            <v>0</v>
          </cell>
          <cell r="HV127" t="str">
            <v/>
          </cell>
        </row>
        <row r="128">
          <cell r="DQ128">
            <v>0</v>
          </cell>
          <cell r="DR128" t="str">
            <v/>
          </cell>
          <cell r="DT128">
            <v>0</v>
          </cell>
          <cell r="DU128" t="str">
            <v/>
          </cell>
          <cell r="DW128">
            <v>0</v>
          </cell>
          <cell r="DX128" t="str">
            <v/>
          </cell>
          <cell r="DZ128">
            <v>1.84</v>
          </cell>
          <cell r="EA128">
            <v>40827.17391304348</v>
          </cell>
          <cell r="EC128">
            <v>0</v>
          </cell>
          <cell r="ED128" t="str">
            <v/>
          </cell>
          <cell r="EF128">
            <v>0</v>
          </cell>
          <cell r="EG128" t="str">
            <v/>
          </cell>
          <cell r="EI128">
            <v>0</v>
          </cell>
          <cell r="EJ128" t="str">
            <v/>
          </cell>
          <cell r="EL128">
            <v>0</v>
          </cell>
          <cell r="EM128" t="str">
            <v/>
          </cell>
          <cell r="EO128">
            <v>0</v>
          </cell>
          <cell r="EP128" t="str">
            <v/>
          </cell>
          <cell r="ER128">
            <v>0</v>
          </cell>
          <cell r="ES128" t="str">
            <v/>
          </cell>
          <cell r="EU128">
            <v>0</v>
          </cell>
          <cell r="EV128" t="str">
            <v/>
          </cell>
          <cell r="EX128">
            <v>0</v>
          </cell>
          <cell r="EY128" t="str">
            <v/>
          </cell>
          <cell r="FA128">
            <v>0</v>
          </cell>
          <cell r="FB128" t="str">
            <v/>
          </cell>
          <cell r="FD128">
            <v>0</v>
          </cell>
          <cell r="FE128" t="str">
            <v/>
          </cell>
          <cell r="FG128">
            <v>0</v>
          </cell>
          <cell r="FH128" t="str">
            <v/>
          </cell>
          <cell r="FJ128">
            <v>0</v>
          </cell>
          <cell r="FK128" t="str">
            <v/>
          </cell>
          <cell r="FM128">
            <v>0</v>
          </cell>
          <cell r="FN128" t="str">
            <v/>
          </cell>
          <cell r="FP128">
            <v>0</v>
          </cell>
          <cell r="FQ128" t="str">
            <v/>
          </cell>
          <cell r="FS128">
            <v>0</v>
          </cell>
          <cell r="FT128" t="str">
            <v/>
          </cell>
          <cell r="FV128">
            <v>0</v>
          </cell>
          <cell r="FW128" t="str">
            <v/>
          </cell>
          <cell r="FY128">
            <v>0</v>
          </cell>
          <cell r="FZ128" t="str">
            <v/>
          </cell>
          <cell r="GB128">
            <v>0</v>
          </cell>
          <cell r="GC128" t="str">
            <v/>
          </cell>
          <cell r="GE128">
            <v>0</v>
          </cell>
          <cell r="GF128" t="str">
            <v/>
          </cell>
          <cell r="GH128">
            <v>0</v>
          </cell>
          <cell r="GI128" t="str">
            <v/>
          </cell>
          <cell r="GK128">
            <v>0</v>
          </cell>
          <cell r="GL128" t="str">
            <v/>
          </cell>
          <cell r="GN128">
            <v>0</v>
          </cell>
          <cell r="GO128" t="str">
            <v/>
          </cell>
          <cell r="GQ128">
            <v>0</v>
          </cell>
          <cell r="GR128" t="str">
            <v/>
          </cell>
          <cell r="GT128">
            <v>0</v>
          </cell>
          <cell r="GU128" t="str">
            <v/>
          </cell>
          <cell r="GW128">
            <v>0</v>
          </cell>
          <cell r="GX128" t="str">
            <v/>
          </cell>
          <cell r="GZ128">
            <v>0</v>
          </cell>
          <cell r="HA128" t="str">
            <v/>
          </cell>
          <cell r="HC128">
            <v>0</v>
          </cell>
          <cell r="HD128" t="str">
            <v/>
          </cell>
          <cell r="HF128">
            <v>0</v>
          </cell>
          <cell r="HG128" t="str">
            <v/>
          </cell>
          <cell r="HI128">
            <v>0</v>
          </cell>
          <cell r="HJ128" t="str">
            <v/>
          </cell>
          <cell r="HL128">
            <v>0</v>
          </cell>
          <cell r="HM128" t="str">
            <v/>
          </cell>
          <cell r="HO128">
            <v>0</v>
          </cell>
          <cell r="HP128" t="str">
            <v/>
          </cell>
          <cell r="HR128">
            <v>0</v>
          </cell>
          <cell r="HS128" t="str">
            <v/>
          </cell>
          <cell r="HU128">
            <v>0</v>
          </cell>
          <cell r="HV128" t="str">
            <v/>
          </cell>
        </row>
        <row r="129">
          <cell r="DQ129">
            <v>0</v>
          </cell>
          <cell r="DR129" t="str">
            <v/>
          </cell>
          <cell r="DT129">
            <v>0</v>
          </cell>
          <cell r="DU129" t="str">
            <v/>
          </cell>
          <cell r="DW129">
            <v>0</v>
          </cell>
          <cell r="DX129" t="str">
            <v/>
          </cell>
          <cell r="DZ129">
            <v>0</v>
          </cell>
          <cell r="EA129" t="str">
            <v/>
          </cell>
          <cell r="EC129">
            <v>0</v>
          </cell>
          <cell r="ED129" t="str">
            <v/>
          </cell>
          <cell r="EF129">
            <v>0</v>
          </cell>
          <cell r="EG129" t="str">
            <v/>
          </cell>
          <cell r="EI129">
            <v>0</v>
          </cell>
          <cell r="EJ129" t="str">
            <v/>
          </cell>
          <cell r="EL129">
            <v>0</v>
          </cell>
          <cell r="EM129" t="str">
            <v/>
          </cell>
          <cell r="EO129">
            <v>0</v>
          </cell>
          <cell r="EP129" t="str">
            <v/>
          </cell>
          <cell r="ER129">
            <v>0</v>
          </cell>
          <cell r="ES129" t="str">
            <v/>
          </cell>
          <cell r="EU129">
            <v>0</v>
          </cell>
          <cell r="EV129" t="str">
            <v/>
          </cell>
          <cell r="EX129">
            <v>0</v>
          </cell>
          <cell r="EY129" t="str">
            <v/>
          </cell>
          <cell r="FA129">
            <v>0</v>
          </cell>
          <cell r="FB129" t="str">
            <v/>
          </cell>
          <cell r="FD129">
            <v>0</v>
          </cell>
          <cell r="FE129" t="str">
            <v/>
          </cell>
          <cell r="FG129">
            <v>0</v>
          </cell>
          <cell r="FH129" t="str">
            <v/>
          </cell>
          <cell r="FJ129">
            <v>0</v>
          </cell>
          <cell r="FK129" t="str">
            <v/>
          </cell>
          <cell r="FM129">
            <v>0</v>
          </cell>
          <cell r="FN129" t="str">
            <v/>
          </cell>
          <cell r="FP129">
            <v>0</v>
          </cell>
          <cell r="FQ129" t="str">
            <v/>
          </cell>
          <cell r="FS129">
            <v>1</v>
          </cell>
          <cell r="FT129">
            <v>35819</v>
          </cell>
          <cell r="FV129">
            <v>5.29</v>
          </cell>
          <cell r="FW129">
            <v>22880</v>
          </cell>
          <cell r="FY129">
            <v>0</v>
          </cell>
          <cell r="FZ129" t="str">
            <v/>
          </cell>
          <cell r="GB129">
            <v>0</v>
          </cell>
          <cell r="GC129" t="str">
            <v/>
          </cell>
          <cell r="GE129">
            <v>0</v>
          </cell>
          <cell r="GF129" t="str">
            <v/>
          </cell>
          <cell r="GH129">
            <v>0</v>
          </cell>
          <cell r="GI129" t="str">
            <v/>
          </cell>
          <cell r="GK129">
            <v>0</v>
          </cell>
          <cell r="GL129" t="str">
            <v/>
          </cell>
          <cell r="GN129">
            <v>0</v>
          </cell>
          <cell r="GO129" t="str">
            <v/>
          </cell>
          <cell r="GQ129">
            <v>0</v>
          </cell>
          <cell r="GR129" t="str">
            <v/>
          </cell>
          <cell r="GT129">
            <v>0</v>
          </cell>
          <cell r="GU129" t="str">
            <v/>
          </cell>
          <cell r="GW129">
            <v>0</v>
          </cell>
          <cell r="GX129" t="str">
            <v/>
          </cell>
          <cell r="GZ129">
            <v>0</v>
          </cell>
          <cell r="HA129" t="str">
            <v/>
          </cell>
          <cell r="HC129">
            <v>0</v>
          </cell>
          <cell r="HD129" t="str">
            <v/>
          </cell>
          <cell r="HF129">
            <v>0</v>
          </cell>
          <cell r="HG129" t="str">
            <v/>
          </cell>
          <cell r="HI129">
            <v>0</v>
          </cell>
          <cell r="HJ129" t="str">
            <v/>
          </cell>
          <cell r="HL129">
            <v>0</v>
          </cell>
          <cell r="HM129" t="str">
            <v/>
          </cell>
          <cell r="HO129">
            <v>0</v>
          </cell>
          <cell r="HP129" t="str">
            <v/>
          </cell>
          <cell r="HR129">
            <v>0.78</v>
          </cell>
          <cell r="HS129">
            <v>42943.589743589742</v>
          </cell>
          <cell r="HU129">
            <v>0</v>
          </cell>
          <cell r="HV129" t="str">
            <v/>
          </cell>
        </row>
        <row r="130">
          <cell r="DQ130">
            <v>0</v>
          </cell>
          <cell r="DR130" t="str">
            <v/>
          </cell>
          <cell r="DT130">
            <v>0.06</v>
          </cell>
          <cell r="DU130">
            <v>102916.66666666667</v>
          </cell>
          <cell r="DW130">
            <v>0</v>
          </cell>
          <cell r="DX130" t="str">
            <v/>
          </cell>
          <cell r="DZ130">
            <v>0</v>
          </cell>
          <cell r="EA130" t="str">
            <v/>
          </cell>
          <cell r="EC130">
            <v>0</v>
          </cell>
          <cell r="ED130" t="str">
            <v/>
          </cell>
          <cell r="EF130">
            <v>0</v>
          </cell>
          <cell r="EG130" t="str">
            <v/>
          </cell>
          <cell r="EI130">
            <v>0</v>
          </cell>
          <cell r="EJ130" t="str">
            <v/>
          </cell>
          <cell r="EL130">
            <v>0</v>
          </cell>
          <cell r="EM130" t="str">
            <v/>
          </cell>
          <cell r="EO130">
            <v>0</v>
          </cell>
          <cell r="EP130" t="str">
            <v/>
          </cell>
          <cell r="ER130">
            <v>0</v>
          </cell>
          <cell r="ES130" t="str">
            <v/>
          </cell>
          <cell r="EU130">
            <v>0</v>
          </cell>
          <cell r="EV130" t="str">
            <v/>
          </cell>
          <cell r="EX130">
            <v>0</v>
          </cell>
          <cell r="EY130" t="str">
            <v/>
          </cell>
          <cell r="FA130">
            <v>0</v>
          </cell>
          <cell r="FB130" t="str">
            <v/>
          </cell>
          <cell r="FD130">
            <v>0</v>
          </cell>
          <cell r="FE130" t="str">
            <v/>
          </cell>
          <cell r="FG130">
            <v>0</v>
          </cell>
          <cell r="FH130" t="str">
            <v/>
          </cell>
          <cell r="FJ130">
            <v>0</v>
          </cell>
          <cell r="FK130" t="str">
            <v/>
          </cell>
          <cell r="FM130">
            <v>0</v>
          </cell>
          <cell r="FN130" t="str">
            <v/>
          </cell>
          <cell r="FP130">
            <v>0</v>
          </cell>
          <cell r="FQ130" t="str">
            <v/>
          </cell>
          <cell r="FS130">
            <v>0</v>
          </cell>
          <cell r="FT130" t="str">
            <v/>
          </cell>
          <cell r="FV130">
            <v>0</v>
          </cell>
          <cell r="FW130" t="str">
            <v/>
          </cell>
          <cell r="FY130">
            <v>0</v>
          </cell>
          <cell r="FZ130" t="str">
            <v/>
          </cell>
          <cell r="GB130">
            <v>0</v>
          </cell>
          <cell r="GC130" t="str">
            <v/>
          </cell>
          <cell r="GE130">
            <v>0</v>
          </cell>
          <cell r="GF130" t="str">
            <v/>
          </cell>
          <cell r="GH130">
            <v>0</v>
          </cell>
          <cell r="GI130" t="str">
            <v/>
          </cell>
          <cell r="GK130">
            <v>0</v>
          </cell>
          <cell r="GL130" t="str">
            <v/>
          </cell>
          <cell r="GN130">
            <v>0</v>
          </cell>
          <cell r="GO130" t="str">
            <v/>
          </cell>
          <cell r="GQ130">
            <v>0</v>
          </cell>
          <cell r="GR130" t="str">
            <v/>
          </cell>
          <cell r="GT130">
            <v>0</v>
          </cell>
          <cell r="GU130" t="str">
            <v/>
          </cell>
          <cell r="GW130">
            <v>0</v>
          </cell>
          <cell r="GX130" t="str">
            <v/>
          </cell>
          <cell r="GZ130">
            <v>0</v>
          </cell>
          <cell r="HA130" t="str">
            <v/>
          </cell>
          <cell r="HC130">
            <v>0</v>
          </cell>
          <cell r="HD130" t="str">
            <v/>
          </cell>
          <cell r="HF130">
            <v>0</v>
          </cell>
          <cell r="HG130" t="str">
            <v/>
          </cell>
          <cell r="HI130">
            <v>0</v>
          </cell>
          <cell r="HJ130" t="str">
            <v/>
          </cell>
          <cell r="HL130">
            <v>0</v>
          </cell>
          <cell r="HM130" t="str">
            <v/>
          </cell>
          <cell r="HO130">
            <v>0.32</v>
          </cell>
          <cell r="HP130">
            <v>51881.25</v>
          </cell>
          <cell r="HR130">
            <v>0</v>
          </cell>
          <cell r="HS130" t="str">
            <v/>
          </cell>
          <cell r="HU130">
            <v>0</v>
          </cell>
          <cell r="HV130" t="str">
            <v/>
          </cell>
        </row>
        <row r="131">
          <cell r="DQ131">
            <v>0</v>
          </cell>
          <cell r="DR131" t="str">
            <v/>
          </cell>
          <cell r="DT131">
            <v>0</v>
          </cell>
          <cell r="DU131" t="str">
            <v/>
          </cell>
          <cell r="DW131">
            <v>0</v>
          </cell>
          <cell r="DX131" t="str">
            <v/>
          </cell>
          <cell r="DZ131">
            <v>0</v>
          </cell>
          <cell r="EA131" t="str">
            <v/>
          </cell>
          <cell r="EC131">
            <v>0</v>
          </cell>
          <cell r="ED131" t="str">
            <v/>
          </cell>
          <cell r="EF131">
            <v>0</v>
          </cell>
          <cell r="EG131" t="str">
            <v/>
          </cell>
          <cell r="EI131">
            <v>0</v>
          </cell>
          <cell r="EJ131" t="str">
            <v/>
          </cell>
          <cell r="EL131">
            <v>0</v>
          </cell>
          <cell r="EM131" t="str">
            <v/>
          </cell>
          <cell r="EO131">
            <v>0</v>
          </cell>
          <cell r="EP131" t="str">
            <v/>
          </cell>
          <cell r="ER131">
            <v>0</v>
          </cell>
          <cell r="ES131" t="str">
            <v/>
          </cell>
          <cell r="EU131">
            <v>0</v>
          </cell>
          <cell r="EV131" t="str">
            <v/>
          </cell>
          <cell r="EX131">
            <v>0</v>
          </cell>
          <cell r="EY131" t="str">
            <v/>
          </cell>
          <cell r="FA131">
            <v>0</v>
          </cell>
          <cell r="FB131" t="str">
            <v/>
          </cell>
          <cell r="FD131">
            <v>0</v>
          </cell>
          <cell r="FE131" t="str">
            <v/>
          </cell>
          <cell r="FG131">
            <v>0</v>
          </cell>
          <cell r="FH131" t="str">
            <v/>
          </cell>
          <cell r="FJ131">
            <v>0</v>
          </cell>
          <cell r="FK131" t="str">
            <v/>
          </cell>
          <cell r="FM131">
            <v>0</v>
          </cell>
          <cell r="FN131" t="str">
            <v/>
          </cell>
          <cell r="FP131">
            <v>0</v>
          </cell>
          <cell r="FQ131" t="str">
            <v/>
          </cell>
          <cell r="FS131">
            <v>0</v>
          </cell>
          <cell r="FT131" t="str">
            <v/>
          </cell>
          <cell r="FV131">
            <v>0</v>
          </cell>
          <cell r="FW131" t="str">
            <v/>
          </cell>
          <cell r="FY131">
            <v>0</v>
          </cell>
          <cell r="FZ131" t="str">
            <v/>
          </cell>
          <cell r="GB131">
            <v>0</v>
          </cell>
          <cell r="GC131" t="str">
            <v/>
          </cell>
          <cell r="GE131">
            <v>0</v>
          </cell>
          <cell r="GF131" t="str">
            <v/>
          </cell>
          <cell r="GH131">
            <v>0</v>
          </cell>
          <cell r="GI131" t="str">
            <v/>
          </cell>
          <cell r="GK131">
            <v>0</v>
          </cell>
          <cell r="GL131" t="str">
            <v/>
          </cell>
          <cell r="GN131">
            <v>0</v>
          </cell>
          <cell r="GO131" t="str">
            <v/>
          </cell>
          <cell r="GQ131">
            <v>0</v>
          </cell>
          <cell r="GR131" t="str">
            <v/>
          </cell>
          <cell r="GT131">
            <v>0</v>
          </cell>
          <cell r="GU131" t="str">
            <v/>
          </cell>
          <cell r="GW131">
            <v>0</v>
          </cell>
          <cell r="GX131" t="str">
            <v/>
          </cell>
          <cell r="GZ131">
            <v>0</v>
          </cell>
          <cell r="HA131" t="str">
            <v/>
          </cell>
          <cell r="HC131">
            <v>0</v>
          </cell>
          <cell r="HD131" t="str">
            <v/>
          </cell>
          <cell r="HF131">
            <v>0</v>
          </cell>
          <cell r="HG131" t="str">
            <v/>
          </cell>
          <cell r="HI131">
            <v>0</v>
          </cell>
          <cell r="HJ131" t="str">
            <v/>
          </cell>
          <cell r="HL131">
            <v>0</v>
          </cell>
          <cell r="HM131" t="str">
            <v/>
          </cell>
          <cell r="HO131">
            <v>0</v>
          </cell>
          <cell r="HP131" t="str">
            <v/>
          </cell>
          <cell r="HR131">
            <v>0</v>
          </cell>
          <cell r="HS131" t="str">
            <v/>
          </cell>
          <cell r="HU131">
            <v>0</v>
          </cell>
          <cell r="HV131" t="str">
            <v/>
          </cell>
        </row>
        <row r="132">
          <cell r="DQ132">
            <v>0</v>
          </cell>
          <cell r="DR132" t="str">
            <v/>
          </cell>
          <cell r="DT132">
            <v>0.75</v>
          </cell>
          <cell r="DU132">
            <v>73533.333333333328</v>
          </cell>
          <cell r="DW132">
            <v>0</v>
          </cell>
          <cell r="DX132" t="str">
            <v/>
          </cell>
          <cell r="DZ132">
            <v>0</v>
          </cell>
          <cell r="EA132" t="str">
            <v/>
          </cell>
          <cell r="EC132">
            <v>0</v>
          </cell>
          <cell r="ED132" t="str">
            <v/>
          </cell>
          <cell r="EF132">
            <v>0</v>
          </cell>
          <cell r="EG132" t="str">
            <v/>
          </cell>
          <cell r="EI132">
            <v>0</v>
          </cell>
          <cell r="EJ132" t="str">
            <v/>
          </cell>
          <cell r="EL132">
            <v>0.97</v>
          </cell>
          <cell r="EM132">
            <v>55890.721649484534</v>
          </cell>
          <cell r="EO132">
            <v>0</v>
          </cell>
          <cell r="EP132" t="str">
            <v/>
          </cell>
          <cell r="ER132">
            <v>0</v>
          </cell>
          <cell r="ES132" t="str">
            <v/>
          </cell>
          <cell r="EU132">
            <v>0</v>
          </cell>
          <cell r="EV132" t="str">
            <v/>
          </cell>
          <cell r="EX132">
            <v>0</v>
          </cell>
          <cell r="EY132" t="str">
            <v/>
          </cell>
          <cell r="FA132">
            <v>0</v>
          </cell>
          <cell r="FB132" t="str">
            <v/>
          </cell>
          <cell r="FD132">
            <v>0</v>
          </cell>
          <cell r="FE132" t="str">
            <v/>
          </cell>
          <cell r="FG132">
            <v>0</v>
          </cell>
          <cell r="FH132" t="str">
            <v/>
          </cell>
          <cell r="FJ132">
            <v>0</v>
          </cell>
          <cell r="FK132" t="str">
            <v/>
          </cell>
          <cell r="FM132">
            <v>0</v>
          </cell>
          <cell r="FN132" t="str">
            <v/>
          </cell>
          <cell r="FP132">
            <v>0</v>
          </cell>
          <cell r="FQ132" t="str">
            <v/>
          </cell>
          <cell r="FS132">
            <v>0</v>
          </cell>
          <cell r="FT132" t="str">
            <v/>
          </cell>
          <cell r="FV132">
            <v>0</v>
          </cell>
          <cell r="FW132" t="str">
            <v/>
          </cell>
          <cell r="FY132">
            <v>0</v>
          </cell>
          <cell r="FZ132" t="str">
            <v/>
          </cell>
          <cell r="GB132">
            <v>0</v>
          </cell>
          <cell r="GC132" t="str">
            <v/>
          </cell>
          <cell r="GE132">
            <v>0</v>
          </cell>
          <cell r="GF132" t="str">
            <v/>
          </cell>
          <cell r="GH132">
            <v>0</v>
          </cell>
          <cell r="GI132" t="str">
            <v/>
          </cell>
          <cell r="GK132">
            <v>0</v>
          </cell>
          <cell r="GL132" t="str">
            <v/>
          </cell>
          <cell r="GN132">
            <v>0</v>
          </cell>
          <cell r="GO132" t="str">
            <v/>
          </cell>
          <cell r="GQ132">
            <v>0</v>
          </cell>
          <cell r="GR132" t="str">
            <v/>
          </cell>
          <cell r="GT132">
            <v>0</v>
          </cell>
          <cell r="GU132" t="str">
            <v/>
          </cell>
          <cell r="GW132">
            <v>0.4</v>
          </cell>
          <cell r="GX132">
            <v>50410</v>
          </cell>
          <cell r="GZ132">
            <v>0</v>
          </cell>
          <cell r="HA132" t="str">
            <v/>
          </cell>
          <cell r="HC132">
            <v>0.85</v>
          </cell>
          <cell r="HD132">
            <v>45641.176470588238</v>
          </cell>
          <cell r="HF132">
            <v>0.63</v>
          </cell>
          <cell r="HG132">
            <v>54117.460317460318</v>
          </cell>
          <cell r="HI132">
            <v>10.39</v>
          </cell>
          <cell r="HJ132">
            <v>34809.047160731468</v>
          </cell>
          <cell r="HL132">
            <v>0</v>
          </cell>
          <cell r="HM132" t="str">
            <v/>
          </cell>
          <cell r="HO132">
            <v>0</v>
          </cell>
          <cell r="HP132" t="str">
            <v/>
          </cell>
          <cell r="HR132">
            <v>1.37</v>
          </cell>
          <cell r="HS132">
            <v>43706.56934306569</v>
          </cell>
          <cell r="HU132">
            <v>0</v>
          </cell>
          <cell r="HV132" t="str">
            <v/>
          </cell>
        </row>
        <row r="133">
          <cell r="DQ133">
            <v>0.13</v>
          </cell>
          <cell r="DR133">
            <v>78530.769230769234</v>
          </cell>
          <cell r="DT133">
            <v>0</v>
          </cell>
          <cell r="DU133" t="str">
            <v/>
          </cell>
          <cell r="DW133">
            <v>0</v>
          </cell>
          <cell r="DX133" t="str">
            <v/>
          </cell>
          <cell r="DZ133">
            <v>0</v>
          </cell>
          <cell r="EA133" t="str">
            <v/>
          </cell>
          <cell r="EC133">
            <v>0</v>
          </cell>
          <cell r="ED133" t="str">
            <v/>
          </cell>
          <cell r="EF133">
            <v>0</v>
          </cell>
          <cell r="EG133" t="str">
            <v/>
          </cell>
          <cell r="EI133">
            <v>0</v>
          </cell>
          <cell r="EJ133" t="str">
            <v/>
          </cell>
          <cell r="EL133">
            <v>0.28999999999999998</v>
          </cell>
          <cell r="EM133">
            <v>58306.896551724145</v>
          </cell>
          <cell r="EO133">
            <v>0</v>
          </cell>
          <cell r="EP133" t="str">
            <v/>
          </cell>
          <cell r="ER133">
            <v>0</v>
          </cell>
          <cell r="ES133" t="str">
            <v/>
          </cell>
          <cell r="EU133">
            <v>0</v>
          </cell>
          <cell r="EV133" t="str">
            <v/>
          </cell>
          <cell r="EX133">
            <v>0</v>
          </cell>
          <cell r="EY133" t="str">
            <v/>
          </cell>
          <cell r="FA133">
            <v>0</v>
          </cell>
          <cell r="FB133" t="str">
            <v/>
          </cell>
          <cell r="FD133">
            <v>0</v>
          </cell>
          <cell r="FE133" t="str">
            <v/>
          </cell>
          <cell r="FG133">
            <v>0</v>
          </cell>
          <cell r="FH133" t="str">
            <v/>
          </cell>
          <cell r="FJ133">
            <v>0</v>
          </cell>
          <cell r="FK133" t="str">
            <v/>
          </cell>
          <cell r="FM133">
            <v>0</v>
          </cell>
          <cell r="FN133" t="str">
            <v/>
          </cell>
          <cell r="FP133">
            <v>0</v>
          </cell>
          <cell r="FQ133" t="str">
            <v/>
          </cell>
          <cell r="FS133">
            <v>0</v>
          </cell>
          <cell r="FT133" t="str">
            <v/>
          </cell>
          <cell r="FV133">
            <v>0</v>
          </cell>
          <cell r="FW133" t="str">
            <v/>
          </cell>
          <cell r="FY133">
            <v>0</v>
          </cell>
          <cell r="FZ133" t="str">
            <v/>
          </cell>
          <cell r="GB133">
            <v>0</v>
          </cell>
          <cell r="GC133" t="str">
            <v/>
          </cell>
          <cell r="GE133">
            <v>0</v>
          </cell>
          <cell r="GF133" t="str">
            <v/>
          </cell>
          <cell r="GH133">
            <v>0</v>
          </cell>
          <cell r="GI133" t="str">
            <v/>
          </cell>
          <cell r="GK133">
            <v>0</v>
          </cell>
          <cell r="GL133" t="str">
            <v/>
          </cell>
          <cell r="GN133">
            <v>0</v>
          </cell>
          <cell r="GO133" t="str">
            <v/>
          </cell>
          <cell r="GQ133">
            <v>0</v>
          </cell>
          <cell r="GR133" t="str">
            <v/>
          </cell>
          <cell r="GT133">
            <v>0</v>
          </cell>
          <cell r="GU133" t="str">
            <v/>
          </cell>
          <cell r="GW133">
            <v>0.12</v>
          </cell>
          <cell r="GX133">
            <v>50408.333333333336</v>
          </cell>
          <cell r="GZ133">
            <v>0</v>
          </cell>
          <cell r="HA133" t="str">
            <v/>
          </cell>
          <cell r="HC133">
            <v>0.38</v>
          </cell>
          <cell r="HD133">
            <v>35421.052631578947</v>
          </cell>
          <cell r="HF133">
            <v>0.05</v>
          </cell>
          <cell r="HG133">
            <v>88800</v>
          </cell>
          <cell r="HI133">
            <v>2.54</v>
          </cell>
          <cell r="HJ133">
            <v>30397.63779527559</v>
          </cell>
          <cell r="HL133">
            <v>0</v>
          </cell>
          <cell r="HM133" t="str">
            <v/>
          </cell>
          <cell r="HO133">
            <v>0</v>
          </cell>
          <cell r="HP133" t="str">
            <v/>
          </cell>
          <cell r="HR133">
            <v>0.13</v>
          </cell>
          <cell r="HS133">
            <v>60053.846153846149</v>
          </cell>
          <cell r="HU133">
            <v>0</v>
          </cell>
          <cell r="HV133" t="str">
            <v/>
          </cell>
        </row>
        <row r="134">
          <cell r="DQ134">
            <v>0</v>
          </cell>
          <cell r="DR134" t="str">
            <v/>
          </cell>
          <cell r="DT134">
            <v>0.1</v>
          </cell>
          <cell r="DU134">
            <v>80000</v>
          </cell>
          <cell r="DW134">
            <v>0</v>
          </cell>
          <cell r="DX134" t="str">
            <v/>
          </cell>
          <cell r="DZ134">
            <v>0</v>
          </cell>
          <cell r="EA134" t="str">
            <v/>
          </cell>
          <cell r="EC134">
            <v>0</v>
          </cell>
          <cell r="ED134" t="str">
            <v/>
          </cell>
          <cell r="EF134">
            <v>0</v>
          </cell>
          <cell r="EG134" t="str">
            <v/>
          </cell>
          <cell r="EI134">
            <v>0</v>
          </cell>
          <cell r="EJ134" t="str">
            <v/>
          </cell>
          <cell r="EL134">
            <v>0</v>
          </cell>
          <cell r="EM134" t="str">
            <v/>
          </cell>
          <cell r="EO134">
            <v>0</v>
          </cell>
          <cell r="EP134" t="str">
            <v/>
          </cell>
          <cell r="ER134">
            <v>0</v>
          </cell>
          <cell r="ES134" t="str">
            <v/>
          </cell>
          <cell r="EU134">
            <v>0</v>
          </cell>
          <cell r="EV134" t="str">
            <v/>
          </cell>
          <cell r="EX134">
            <v>0</v>
          </cell>
          <cell r="EY134" t="str">
            <v/>
          </cell>
          <cell r="FA134">
            <v>0</v>
          </cell>
          <cell r="FB134" t="str">
            <v/>
          </cell>
          <cell r="FD134">
            <v>0</v>
          </cell>
          <cell r="FE134" t="str">
            <v/>
          </cell>
          <cell r="FG134">
            <v>0</v>
          </cell>
          <cell r="FH134" t="str">
            <v/>
          </cell>
          <cell r="FJ134">
            <v>0</v>
          </cell>
          <cell r="FK134" t="str">
            <v/>
          </cell>
          <cell r="FM134">
            <v>0</v>
          </cell>
          <cell r="FN134" t="str">
            <v/>
          </cell>
          <cell r="FP134">
            <v>0</v>
          </cell>
          <cell r="FQ134" t="str">
            <v/>
          </cell>
          <cell r="FS134">
            <v>0</v>
          </cell>
          <cell r="FT134" t="str">
            <v/>
          </cell>
          <cell r="FV134">
            <v>0</v>
          </cell>
          <cell r="FW134" t="str">
            <v/>
          </cell>
          <cell r="FY134">
            <v>0</v>
          </cell>
          <cell r="FZ134" t="str">
            <v/>
          </cell>
          <cell r="GB134">
            <v>0</v>
          </cell>
          <cell r="GC134" t="str">
            <v/>
          </cell>
          <cell r="GE134">
            <v>0</v>
          </cell>
          <cell r="GF134" t="str">
            <v/>
          </cell>
          <cell r="GH134">
            <v>0</v>
          </cell>
          <cell r="GI134" t="str">
            <v/>
          </cell>
          <cell r="GK134">
            <v>0</v>
          </cell>
          <cell r="GL134" t="str">
            <v/>
          </cell>
          <cell r="GN134">
            <v>0</v>
          </cell>
          <cell r="GO134" t="str">
            <v/>
          </cell>
          <cell r="GQ134">
            <v>0</v>
          </cell>
          <cell r="GR134" t="str">
            <v/>
          </cell>
          <cell r="GT134">
            <v>0</v>
          </cell>
          <cell r="GU134" t="str">
            <v/>
          </cell>
          <cell r="GW134">
            <v>0</v>
          </cell>
          <cell r="GX134" t="str">
            <v/>
          </cell>
          <cell r="GZ134">
            <v>0</v>
          </cell>
          <cell r="HA134" t="str">
            <v/>
          </cell>
          <cell r="HC134">
            <v>0.15</v>
          </cell>
          <cell r="HD134">
            <v>40313.333333333336</v>
          </cell>
          <cell r="HF134">
            <v>0.1</v>
          </cell>
          <cell r="HG134">
            <v>47740</v>
          </cell>
          <cell r="HI134">
            <v>0.5</v>
          </cell>
          <cell r="HJ134">
            <v>32210</v>
          </cell>
          <cell r="HL134">
            <v>0</v>
          </cell>
          <cell r="HM134" t="str">
            <v/>
          </cell>
          <cell r="HO134">
            <v>0</v>
          </cell>
          <cell r="HP134" t="str">
            <v/>
          </cell>
          <cell r="HR134">
            <v>0</v>
          </cell>
          <cell r="HS134" t="str">
            <v/>
          </cell>
          <cell r="HU134">
            <v>0</v>
          </cell>
          <cell r="HV134" t="str">
            <v/>
          </cell>
        </row>
        <row r="135">
          <cell r="DQ135">
            <v>0.12</v>
          </cell>
          <cell r="DR135">
            <v>58466.666666666672</v>
          </cell>
          <cell r="DT135">
            <v>0</v>
          </cell>
          <cell r="DU135" t="str">
            <v/>
          </cell>
          <cell r="DW135">
            <v>0</v>
          </cell>
          <cell r="DX135" t="str">
            <v/>
          </cell>
          <cell r="DZ135">
            <v>2E-3</v>
          </cell>
          <cell r="EA135">
            <v>22880</v>
          </cell>
          <cell r="EC135">
            <v>0</v>
          </cell>
          <cell r="ED135" t="str">
            <v/>
          </cell>
          <cell r="EF135">
            <v>0</v>
          </cell>
          <cell r="EG135" t="str">
            <v/>
          </cell>
          <cell r="EI135">
            <v>0</v>
          </cell>
          <cell r="EJ135" t="str">
            <v/>
          </cell>
          <cell r="EL135">
            <v>0</v>
          </cell>
          <cell r="EM135" t="str">
            <v/>
          </cell>
          <cell r="EO135">
            <v>0</v>
          </cell>
          <cell r="EP135" t="str">
            <v/>
          </cell>
          <cell r="ER135">
            <v>0</v>
          </cell>
          <cell r="ES135" t="str">
            <v/>
          </cell>
          <cell r="EU135">
            <v>0</v>
          </cell>
          <cell r="EV135" t="str">
            <v/>
          </cell>
          <cell r="EX135">
            <v>0</v>
          </cell>
          <cell r="EY135" t="str">
            <v/>
          </cell>
          <cell r="FA135">
            <v>0</v>
          </cell>
          <cell r="FB135" t="str">
            <v/>
          </cell>
          <cell r="FD135">
            <v>0</v>
          </cell>
          <cell r="FE135" t="str">
            <v/>
          </cell>
          <cell r="FG135">
            <v>0</v>
          </cell>
          <cell r="FH135" t="str">
            <v/>
          </cell>
          <cell r="FJ135">
            <v>0</v>
          </cell>
          <cell r="FK135" t="str">
            <v/>
          </cell>
          <cell r="FM135">
            <v>0</v>
          </cell>
          <cell r="FN135" t="str">
            <v/>
          </cell>
          <cell r="FP135">
            <v>0</v>
          </cell>
          <cell r="FQ135" t="str">
            <v/>
          </cell>
          <cell r="FS135">
            <v>0</v>
          </cell>
          <cell r="FT135" t="str">
            <v/>
          </cell>
          <cell r="FV135">
            <v>0</v>
          </cell>
          <cell r="FW135" t="str">
            <v/>
          </cell>
          <cell r="FY135">
            <v>0</v>
          </cell>
          <cell r="FZ135" t="str">
            <v/>
          </cell>
          <cell r="GB135">
            <v>0</v>
          </cell>
          <cell r="GC135" t="str">
            <v/>
          </cell>
          <cell r="GE135">
            <v>0</v>
          </cell>
          <cell r="GF135" t="str">
            <v/>
          </cell>
          <cell r="GH135">
            <v>0</v>
          </cell>
          <cell r="GI135" t="str">
            <v/>
          </cell>
          <cell r="GK135">
            <v>0</v>
          </cell>
          <cell r="GL135" t="str">
            <v/>
          </cell>
          <cell r="GN135">
            <v>0</v>
          </cell>
          <cell r="GO135" t="str">
            <v/>
          </cell>
          <cell r="GQ135">
            <v>0</v>
          </cell>
          <cell r="GR135" t="str">
            <v/>
          </cell>
          <cell r="GT135">
            <v>0</v>
          </cell>
          <cell r="GU135" t="str">
            <v/>
          </cell>
          <cell r="GW135">
            <v>0</v>
          </cell>
          <cell r="GX135" t="str">
            <v/>
          </cell>
          <cell r="GZ135">
            <v>0.04</v>
          </cell>
          <cell r="HA135">
            <v>32200</v>
          </cell>
          <cell r="HC135">
            <v>0</v>
          </cell>
          <cell r="HD135" t="str">
            <v/>
          </cell>
          <cell r="HF135">
            <v>0</v>
          </cell>
          <cell r="HG135" t="str">
            <v/>
          </cell>
          <cell r="HI135">
            <v>0</v>
          </cell>
          <cell r="HJ135" t="str">
            <v/>
          </cell>
          <cell r="HL135">
            <v>0</v>
          </cell>
          <cell r="HM135" t="str">
            <v/>
          </cell>
          <cell r="HO135">
            <v>0</v>
          </cell>
          <cell r="HP135" t="str">
            <v/>
          </cell>
          <cell r="HR135">
            <v>0</v>
          </cell>
          <cell r="HS135" t="str">
            <v/>
          </cell>
          <cell r="HU135">
            <v>0</v>
          </cell>
          <cell r="HV135" t="str">
            <v/>
          </cell>
        </row>
        <row r="136">
          <cell r="DQ136">
            <v>0.31</v>
          </cell>
          <cell r="DR136">
            <v>51325.806451612902</v>
          </cell>
          <cell r="DT136">
            <v>0</v>
          </cell>
          <cell r="DU136" t="str">
            <v/>
          </cell>
          <cell r="DW136">
            <v>0</v>
          </cell>
          <cell r="DX136" t="str">
            <v/>
          </cell>
          <cell r="DZ136">
            <v>1E-3</v>
          </cell>
          <cell r="EA136">
            <v>91000</v>
          </cell>
          <cell r="EC136">
            <v>0</v>
          </cell>
          <cell r="ED136" t="str">
            <v/>
          </cell>
          <cell r="EF136">
            <v>0</v>
          </cell>
          <cell r="EG136" t="str">
            <v/>
          </cell>
          <cell r="EI136">
            <v>0</v>
          </cell>
          <cell r="EJ136" t="str">
            <v/>
          </cell>
          <cell r="EL136">
            <v>0</v>
          </cell>
          <cell r="EM136" t="str">
            <v/>
          </cell>
          <cell r="EO136">
            <v>0</v>
          </cell>
          <cell r="EP136" t="str">
            <v/>
          </cell>
          <cell r="ER136">
            <v>0</v>
          </cell>
          <cell r="ES136" t="str">
            <v/>
          </cell>
          <cell r="EU136">
            <v>0</v>
          </cell>
          <cell r="EV136" t="str">
            <v/>
          </cell>
          <cell r="EX136">
            <v>0</v>
          </cell>
          <cell r="EY136" t="str">
            <v/>
          </cell>
          <cell r="FA136">
            <v>0</v>
          </cell>
          <cell r="FB136" t="str">
            <v/>
          </cell>
          <cell r="FD136">
            <v>0</v>
          </cell>
          <cell r="FE136" t="str">
            <v/>
          </cell>
          <cell r="FG136">
            <v>0</v>
          </cell>
          <cell r="FH136" t="str">
            <v/>
          </cell>
          <cell r="FJ136">
            <v>0</v>
          </cell>
          <cell r="FK136" t="str">
            <v/>
          </cell>
          <cell r="FM136">
            <v>0</v>
          </cell>
          <cell r="FN136" t="str">
            <v/>
          </cell>
          <cell r="FP136">
            <v>0</v>
          </cell>
          <cell r="FQ136" t="str">
            <v/>
          </cell>
          <cell r="FS136">
            <v>0</v>
          </cell>
          <cell r="FT136" t="str">
            <v/>
          </cell>
          <cell r="FV136">
            <v>0</v>
          </cell>
          <cell r="FW136" t="str">
            <v/>
          </cell>
          <cell r="FY136">
            <v>0</v>
          </cell>
          <cell r="FZ136" t="str">
            <v/>
          </cell>
          <cell r="GB136">
            <v>0</v>
          </cell>
          <cell r="GC136" t="str">
            <v/>
          </cell>
          <cell r="GE136">
            <v>0</v>
          </cell>
          <cell r="GF136" t="str">
            <v/>
          </cell>
          <cell r="GH136">
            <v>0</v>
          </cell>
          <cell r="GI136" t="str">
            <v/>
          </cell>
          <cell r="GK136">
            <v>0</v>
          </cell>
          <cell r="GL136" t="str">
            <v/>
          </cell>
          <cell r="GN136">
            <v>0</v>
          </cell>
          <cell r="GO136" t="str">
            <v/>
          </cell>
          <cell r="GQ136">
            <v>0</v>
          </cell>
          <cell r="GR136" t="str">
            <v/>
          </cell>
          <cell r="GT136">
            <v>0</v>
          </cell>
          <cell r="GU136" t="str">
            <v/>
          </cell>
          <cell r="GW136">
            <v>0</v>
          </cell>
          <cell r="GX136" t="str">
            <v/>
          </cell>
          <cell r="GZ136">
            <v>0.1</v>
          </cell>
          <cell r="HA136">
            <v>33790</v>
          </cell>
          <cell r="HC136">
            <v>0</v>
          </cell>
          <cell r="HD136" t="str">
            <v/>
          </cell>
          <cell r="HF136">
            <v>0</v>
          </cell>
          <cell r="HG136" t="str">
            <v/>
          </cell>
          <cell r="HI136">
            <v>0</v>
          </cell>
          <cell r="HJ136" t="str">
            <v/>
          </cell>
          <cell r="HL136">
            <v>0</v>
          </cell>
          <cell r="HM136" t="str">
            <v/>
          </cell>
          <cell r="HO136">
            <v>0</v>
          </cell>
          <cell r="HP136" t="str">
            <v/>
          </cell>
          <cell r="HR136">
            <v>0</v>
          </cell>
          <cell r="HS136" t="str">
            <v/>
          </cell>
          <cell r="HU136">
            <v>0</v>
          </cell>
          <cell r="HV136" t="str">
            <v/>
          </cell>
        </row>
        <row r="137">
          <cell r="DQ137">
            <v>0.04</v>
          </cell>
          <cell r="DR137">
            <v>62625</v>
          </cell>
          <cell r="DT137">
            <v>0</v>
          </cell>
          <cell r="DU137" t="str">
            <v/>
          </cell>
          <cell r="DW137">
            <v>0</v>
          </cell>
          <cell r="DX137" t="str">
            <v/>
          </cell>
          <cell r="DZ137">
            <v>0</v>
          </cell>
          <cell r="EA137" t="str">
            <v/>
          </cell>
          <cell r="EC137">
            <v>0</v>
          </cell>
          <cell r="ED137" t="str">
            <v/>
          </cell>
          <cell r="EF137">
            <v>0</v>
          </cell>
          <cell r="EG137" t="str">
            <v/>
          </cell>
          <cell r="EI137">
            <v>0</v>
          </cell>
          <cell r="EJ137" t="str">
            <v/>
          </cell>
          <cell r="EL137">
            <v>0</v>
          </cell>
          <cell r="EM137" t="str">
            <v/>
          </cell>
          <cell r="EO137">
            <v>0</v>
          </cell>
          <cell r="EP137" t="str">
            <v/>
          </cell>
          <cell r="ER137">
            <v>0</v>
          </cell>
          <cell r="ES137" t="str">
            <v/>
          </cell>
          <cell r="EU137">
            <v>0</v>
          </cell>
          <cell r="EV137" t="str">
            <v/>
          </cell>
          <cell r="EX137">
            <v>0</v>
          </cell>
          <cell r="EY137" t="str">
            <v/>
          </cell>
          <cell r="FA137">
            <v>0</v>
          </cell>
          <cell r="FB137" t="str">
            <v/>
          </cell>
          <cell r="FD137">
            <v>0</v>
          </cell>
          <cell r="FE137" t="str">
            <v/>
          </cell>
          <cell r="FG137">
            <v>0</v>
          </cell>
          <cell r="FH137" t="str">
            <v/>
          </cell>
          <cell r="FJ137">
            <v>0</v>
          </cell>
          <cell r="FK137" t="str">
            <v/>
          </cell>
          <cell r="FM137">
            <v>0</v>
          </cell>
          <cell r="FN137" t="str">
            <v/>
          </cell>
          <cell r="FP137">
            <v>0</v>
          </cell>
          <cell r="FQ137" t="str">
            <v/>
          </cell>
          <cell r="FS137">
            <v>0</v>
          </cell>
          <cell r="FT137" t="str">
            <v/>
          </cell>
          <cell r="FV137">
            <v>0</v>
          </cell>
          <cell r="FW137" t="str">
            <v/>
          </cell>
          <cell r="FY137">
            <v>0</v>
          </cell>
          <cell r="FZ137" t="str">
            <v/>
          </cell>
          <cell r="GB137">
            <v>0</v>
          </cell>
          <cell r="GC137" t="str">
            <v/>
          </cell>
          <cell r="GE137">
            <v>0</v>
          </cell>
          <cell r="GF137" t="str">
            <v/>
          </cell>
          <cell r="GH137">
            <v>0</v>
          </cell>
          <cell r="GI137" t="str">
            <v/>
          </cell>
          <cell r="GK137">
            <v>0</v>
          </cell>
          <cell r="GL137" t="str">
            <v/>
          </cell>
          <cell r="GN137">
            <v>0</v>
          </cell>
          <cell r="GO137" t="str">
            <v/>
          </cell>
          <cell r="GQ137">
            <v>0</v>
          </cell>
          <cell r="GR137" t="str">
            <v/>
          </cell>
          <cell r="GT137">
            <v>0</v>
          </cell>
          <cell r="GU137" t="str">
            <v/>
          </cell>
          <cell r="GW137">
            <v>0</v>
          </cell>
          <cell r="GX137" t="str">
            <v/>
          </cell>
          <cell r="GZ137">
            <v>0</v>
          </cell>
          <cell r="HA137" t="str">
            <v/>
          </cell>
          <cell r="HC137">
            <v>0</v>
          </cell>
          <cell r="HD137" t="str">
            <v/>
          </cell>
          <cell r="HF137">
            <v>0</v>
          </cell>
          <cell r="HG137" t="str">
            <v/>
          </cell>
          <cell r="HI137">
            <v>0</v>
          </cell>
          <cell r="HJ137" t="str">
            <v/>
          </cell>
          <cell r="HL137">
            <v>0</v>
          </cell>
          <cell r="HM137" t="str">
            <v/>
          </cell>
          <cell r="HO137">
            <v>0</v>
          </cell>
          <cell r="HP137" t="str">
            <v/>
          </cell>
          <cell r="HR137">
            <v>0</v>
          </cell>
          <cell r="HS137" t="str">
            <v/>
          </cell>
          <cell r="HU137">
            <v>0</v>
          </cell>
          <cell r="HV137" t="str">
            <v/>
          </cell>
        </row>
        <row r="138">
          <cell r="DQ138">
            <v>0.55000000000000004</v>
          </cell>
          <cell r="DR138">
            <v>89343.636363636353</v>
          </cell>
          <cell r="DT138">
            <v>0</v>
          </cell>
          <cell r="DU138" t="str">
            <v/>
          </cell>
          <cell r="DW138">
            <v>0</v>
          </cell>
          <cell r="DX138" t="str">
            <v/>
          </cell>
          <cell r="DZ138">
            <v>0</v>
          </cell>
          <cell r="EA138" t="str">
            <v/>
          </cell>
          <cell r="EC138">
            <v>0</v>
          </cell>
          <cell r="ED138" t="str">
            <v/>
          </cell>
          <cell r="EF138">
            <v>0</v>
          </cell>
          <cell r="EG138" t="str">
            <v/>
          </cell>
          <cell r="EI138">
            <v>0</v>
          </cell>
          <cell r="EJ138" t="str">
            <v/>
          </cell>
          <cell r="EL138">
            <v>0</v>
          </cell>
          <cell r="EM138" t="str">
            <v/>
          </cell>
          <cell r="EO138">
            <v>0</v>
          </cell>
          <cell r="EP138" t="str">
            <v/>
          </cell>
          <cell r="ER138">
            <v>0</v>
          </cell>
          <cell r="ES138" t="str">
            <v/>
          </cell>
          <cell r="EU138">
            <v>0</v>
          </cell>
          <cell r="EV138" t="str">
            <v/>
          </cell>
          <cell r="EX138">
            <v>0</v>
          </cell>
          <cell r="EY138" t="str">
            <v/>
          </cell>
          <cell r="FA138">
            <v>0</v>
          </cell>
          <cell r="FB138" t="str">
            <v/>
          </cell>
          <cell r="FD138">
            <v>0</v>
          </cell>
          <cell r="FE138" t="str">
            <v/>
          </cell>
          <cell r="FG138">
            <v>0</v>
          </cell>
          <cell r="FH138" t="str">
            <v/>
          </cell>
          <cell r="FJ138">
            <v>0</v>
          </cell>
          <cell r="FK138" t="str">
            <v/>
          </cell>
          <cell r="FM138">
            <v>0</v>
          </cell>
          <cell r="FN138" t="str">
            <v/>
          </cell>
          <cell r="FP138">
            <v>0</v>
          </cell>
          <cell r="FQ138" t="str">
            <v/>
          </cell>
          <cell r="FS138">
            <v>0</v>
          </cell>
          <cell r="FT138" t="str">
            <v/>
          </cell>
          <cell r="FV138">
            <v>0</v>
          </cell>
          <cell r="FW138" t="str">
            <v/>
          </cell>
          <cell r="FY138">
            <v>0</v>
          </cell>
          <cell r="FZ138" t="str">
            <v/>
          </cell>
          <cell r="GB138">
            <v>0</v>
          </cell>
          <cell r="GC138" t="str">
            <v/>
          </cell>
          <cell r="GE138">
            <v>0.11</v>
          </cell>
          <cell r="GF138">
            <v>44909.090909090912</v>
          </cell>
          <cell r="GH138">
            <v>0</v>
          </cell>
          <cell r="GI138" t="str">
            <v/>
          </cell>
          <cell r="GK138">
            <v>0</v>
          </cell>
          <cell r="GL138" t="str">
            <v/>
          </cell>
          <cell r="GN138">
            <v>0</v>
          </cell>
          <cell r="GO138" t="str">
            <v/>
          </cell>
          <cell r="GQ138">
            <v>0</v>
          </cell>
          <cell r="GR138" t="str">
            <v/>
          </cell>
          <cell r="GT138">
            <v>0</v>
          </cell>
          <cell r="GU138" t="str">
            <v/>
          </cell>
          <cell r="GW138">
            <v>0</v>
          </cell>
          <cell r="GX138" t="str">
            <v/>
          </cell>
          <cell r="GZ138">
            <v>0</v>
          </cell>
          <cell r="HA138" t="str">
            <v/>
          </cell>
          <cell r="HC138">
            <v>0</v>
          </cell>
          <cell r="HD138" t="str">
            <v/>
          </cell>
          <cell r="HF138">
            <v>0</v>
          </cell>
          <cell r="HG138" t="str">
            <v/>
          </cell>
          <cell r="HI138">
            <v>0</v>
          </cell>
          <cell r="HJ138" t="str">
            <v/>
          </cell>
          <cell r="HL138">
            <v>0.34</v>
          </cell>
          <cell r="HM138">
            <v>37055.882352941175</v>
          </cell>
          <cell r="HO138">
            <v>0</v>
          </cell>
          <cell r="HP138" t="str">
            <v/>
          </cell>
          <cell r="HR138">
            <v>0</v>
          </cell>
          <cell r="HS138" t="str">
            <v/>
          </cell>
          <cell r="HU138">
            <v>0</v>
          </cell>
          <cell r="HV138" t="str">
            <v/>
          </cell>
        </row>
        <row r="139">
          <cell r="DQ139">
            <v>5.71</v>
          </cell>
          <cell r="DR139">
            <v>59145.18388791594</v>
          </cell>
          <cell r="DT139">
            <v>1.1499999999999999</v>
          </cell>
          <cell r="DU139">
            <v>99915.652173913055</v>
          </cell>
          <cell r="DW139">
            <v>0.56000000000000005</v>
          </cell>
          <cell r="DX139">
            <v>60649.999999999993</v>
          </cell>
          <cell r="DZ139">
            <v>0.81</v>
          </cell>
          <cell r="EA139">
            <v>91938.271604938273</v>
          </cell>
          <cell r="EC139">
            <v>0.11</v>
          </cell>
          <cell r="ED139">
            <v>232963.63636363635</v>
          </cell>
          <cell r="EF139">
            <v>0</v>
          </cell>
          <cell r="EG139" t="str">
            <v/>
          </cell>
          <cell r="EI139">
            <v>0</v>
          </cell>
          <cell r="EJ139" t="str">
            <v/>
          </cell>
          <cell r="EL139">
            <v>0</v>
          </cell>
          <cell r="EM139" t="str">
            <v/>
          </cell>
          <cell r="EO139">
            <v>0</v>
          </cell>
          <cell r="EP139" t="str">
            <v/>
          </cell>
          <cell r="ER139">
            <v>0</v>
          </cell>
          <cell r="ES139" t="str">
            <v/>
          </cell>
          <cell r="EU139">
            <v>0</v>
          </cell>
          <cell r="EV139" t="str">
            <v/>
          </cell>
          <cell r="EX139">
            <v>0</v>
          </cell>
          <cell r="EY139" t="str">
            <v/>
          </cell>
          <cell r="FA139">
            <v>0</v>
          </cell>
          <cell r="FB139" t="str">
            <v/>
          </cell>
          <cell r="FD139">
            <v>0</v>
          </cell>
          <cell r="FE139" t="str">
            <v/>
          </cell>
          <cell r="FG139">
            <v>0</v>
          </cell>
          <cell r="FH139" t="str">
            <v/>
          </cell>
          <cell r="FJ139">
            <v>0</v>
          </cell>
          <cell r="FK139" t="str">
            <v/>
          </cell>
          <cell r="FM139">
            <v>0</v>
          </cell>
          <cell r="FN139" t="str">
            <v/>
          </cell>
          <cell r="FP139">
            <v>0</v>
          </cell>
          <cell r="FQ139" t="str">
            <v/>
          </cell>
          <cell r="FS139">
            <v>0</v>
          </cell>
          <cell r="FT139" t="str">
            <v/>
          </cell>
          <cell r="FV139">
            <v>0</v>
          </cell>
          <cell r="FW139" t="str">
            <v/>
          </cell>
          <cell r="FY139">
            <v>0</v>
          </cell>
          <cell r="FZ139" t="str">
            <v/>
          </cell>
          <cell r="GB139">
            <v>0</v>
          </cell>
          <cell r="GC139" t="str">
            <v/>
          </cell>
          <cell r="GE139">
            <v>12.91</v>
          </cell>
          <cell r="GF139">
            <v>48828.505034856702</v>
          </cell>
          <cell r="GH139">
            <v>7.97</v>
          </cell>
          <cell r="GI139">
            <v>47319.196988707656</v>
          </cell>
          <cell r="GK139">
            <v>0.61</v>
          </cell>
          <cell r="GL139">
            <v>50318.032786885247</v>
          </cell>
          <cell r="GN139">
            <v>0.03</v>
          </cell>
          <cell r="GO139">
            <v>39733.333333333336</v>
          </cell>
          <cell r="GQ139">
            <v>0</v>
          </cell>
          <cell r="GR139" t="str">
            <v/>
          </cell>
          <cell r="GT139">
            <v>66.849999999999994</v>
          </cell>
          <cell r="GU139">
            <v>39625.295437546753</v>
          </cell>
          <cell r="GW139">
            <v>0</v>
          </cell>
          <cell r="GX139" t="str">
            <v/>
          </cell>
          <cell r="GZ139">
            <v>0.1</v>
          </cell>
          <cell r="HA139">
            <v>40820</v>
          </cell>
          <cell r="HC139">
            <v>0</v>
          </cell>
          <cell r="HD139" t="str">
            <v/>
          </cell>
          <cell r="HF139">
            <v>0</v>
          </cell>
          <cell r="HG139" t="str">
            <v/>
          </cell>
          <cell r="HI139">
            <v>0</v>
          </cell>
          <cell r="HJ139" t="str">
            <v/>
          </cell>
          <cell r="HL139">
            <v>0</v>
          </cell>
          <cell r="HM139" t="str">
            <v/>
          </cell>
          <cell r="HO139">
            <v>7.03</v>
          </cell>
          <cell r="HP139">
            <v>45997.581792318633</v>
          </cell>
          <cell r="HR139">
            <v>0</v>
          </cell>
          <cell r="HS139" t="str">
            <v/>
          </cell>
          <cell r="HU139">
            <v>0</v>
          </cell>
          <cell r="HV139" t="str">
            <v/>
          </cell>
        </row>
        <row r="140">
          <cell r="DQ140">
            <v>0.44</v>
          </cell>
          <cell r="DR140">
            <v>40245.454545454544</v>
          </cell>
          <cell r="DT140">
            <v>0</v>
          </cell>
          <cell r="DU140" t="str">
            <v/>
          </cell>
          <cell r="DW140">
            <v>0</v>
          </cell>
          <cell r="DX140" t="str">
            <v/>
          </cell>
          <cell r="DZ140">
            <v>0</v>
          </cell>
          <cell r="EA140" t="str">
            <v/>
          </cell>
          <cell r="EC140">
            <v>0</v>
          </cell>
          <cell r="ED140" t="str">
            <v/>
          </cell>
          <cell r="EF140">
            <v>0</v>
          </cell>
          <cell r="EG140" t="str">
            <v/>
          </cell>
          <cell r="EI140">
            <v>0</v>
          </cell>
          <cell r="EJ140" t="str">
            <v/>
          </cell>
          <cell r="EL140">
            <v>0</v>
          </cell>
          <cell r="EM140" t="str">
            <v/>
          </cell>
          <cell r="EO140">
            <v>0</v>
          </cell>
          <cell r="EP140" t="str">
            <v/>
          </cell>
          <cell r="ER140">
            <v>0</v>
          </cell>
          <cell r="ES140" t="str">
            <v/>
          </cell>
          <cell r="EU140">
            <v>0</v>
          </cell>
          <cell r="EV140" t="str">
            <v/>
          </cell>
          <cell r="EX140">
            <v>0</v>
          </cell>
          <cell r="EY140" t="str">
            <v/>
          </cell>
          <cell r="FA140">
            <v>0</v>
          </cell>
          <cell r="FB140" t="str">
            <v/>
          </cell>
          <cell r="FD140">
            <v>0</v>
          </cell>
          <cell r="FE140" t="str">
            <v/>
          </cell>
          <cell r="FG140">
            <v>0</v>
          </cell>
          <cell r="FH140" t="str">
            <v/>
          </cell>
          <cell r="FJ140">
            <v>0</v>
          </cell>
          <cell r="FK140" t="str">
            <v/>
          </cell>
          <cell r="FM140">
            <v>0</v>
          </cell>
          <cell r="FN140" t="str">
            <v/>
          </cell>
          <cell r="FP140">
            <v>0</v>
          </cell>
          <cell r="FQ140" t="str">
            <v/>
          </cell>
          <cell r="FS140">
            <v>0</v>
          </cell>
          <cell r="FT140" t="str">
            <v/>
          </cell>
          <cell r="FV140">
            <v>0</v>
          </cell>
          <cell r="FW140" t="str">
            <v/>
          </cell>
          <cell r="FY140">
            <v>0</v>
          </cell>
          <cell r="FZ140" t="str">
            <v/>
          </cell>
          <cell r="GB140">
            <v>0</v>
          </cell>
          <cell r="GC140" t="str">
            <v/>
          </cell>
          <cell r="GE140">
            <v>0</v>
          </cell>
          <cell r="GF140" t="str">
            <v/>
          </cell>
          <cell r="GH140">
            <v>0</v>
          </cell>
          <cell r="GI140" t="str">
            <v/>
          </cell>
          <cell r="GK140">
            <v>0</v>
          </cell>
          <cell r="GL140" t="str">
            <v/>
          </cell>
          <cell r="GN140">
            <v>0</v>
          </cell>
          <cell r="GO140" t="str">
            <v/>
          </cell>
          <cell r="GQ140">
            <v>0</v>
          </cell>
          <cell r="GR140" t="str">
            <v/>
          </cell>
          <cell r="GT140">
            <v>0</v>
          </cell>
          <cell r="GU140" t="str">
            <v/>
          </cell>
          <cell r="GW140">
            <v>0</v>
          </cell>
          <cell r="GX140" t="str">
            <v/>
          </cell>
          <cell r="GZ140">
            <v>0</v>
          </cell>
          <cell r="HA140" t="str">
            <v/>
          </cell>
          <cell r="HC140">
            <v>3.5</v>
          </cell>
          <cell r="HD140">
            <v>39968.857142857145</v>
          </cell>
          <cell r="HF140">
            <v>0</v>
          </cell>
          <cell r="HG140" t="str">
            <v/>
          </cell>
          <cell r="HI140">
            <v>0</v>
          </cell>
          <cell r="HJ140" t="str">
            <v/>
          </cell>
          <cell r="HL140">
            <v>0</v>
          </cell>
          <cell r="HM140" t="str">
            <v/>
          </cell>
          <cell r="HO140">
            <v>0</v>
          </cell>
          <cell r="HP140" t="str">
            <v/>
          </cell>
          <cell r="HR140">
            <v>0</v>
          </cell>
          <cell r="HS140" t="str">
            <v/>
          </cell>
          <cell r="HU140">
            <v>0</v>
          </cell>
          <cell r="HV140" t="str">
            <v/>
          </cell>
        </row>
        <row r="141">
          <cell r="DQ141">
            <v>0.91</v>
          </cell>
          <cell r="DR141">
            <v>39923.076923076922</v>
          </cell>
          <cell r="DT141">
            <v>0</v>
          </cell>
          <cell r="DU141" t="str">
            <v/>
          </cell>
          <cell r="DW141">
            <v>0</v>
          </cell>
          <cell r="DX141" t="str">
            <v/>
          </cell>
          <cell r="DZ141">
            <v>0</v>
          </cell>
          <cell r="EA141" t="str">
            <v/>
          </cell>
          <cell r="EC141">
            <v>0</v>
          </cell>
          <cell r="ED141" t="str">
            <v/>
          </cell>
          <cell r="EF141">
            <v>0</v>
          </cell>
          <cell r="EG141" t="str">
            <v/>
          </cell>
          <cell r="EI141">
            <v>0</v>
          </cell>
          <cell r="EJ141" t="str">
            <v/>
          </cell>
          <cell r="EL141">
            <v>0</v>
          </cell>
          <cell r="EM141" t="str">
            <v/>
          </cell>
          <cell r="EO141">
            <v>0</v>
          </cell>
          <cell r="EP141" t="str">
            <v/>
          </cell>
          <cell r="ER141">
            <v>0</v>
          </cell>
          <cell r="ES141" t="str">
            <v/>
          </cell>
          <cell r="EU141">
            <v>0</v>
          </cell>
          <cell r="EV141" t="str">
            <v/>
          </cell>
          <cell r="EX141">
            <v>0</v>
          </cell>
          <cell r="EY141" t="str">
            <v/>
          </cell>
          <cell r="FA141">
            <v>0</v>
          </cell>
          <cell r="FB141" t="str">
            <v/>
          </cell>
          <cell r="FD141">
            <v>0</v>
          </cell>
          <cell r="FE141" t="str">
            <v/>
          </cell>
          <cell r="FG141">
            <v>0</v>
          </cell>
          <cell r="FH141" t="str">
            <v/>
          </cell>
          <cell r="FJ141">
            <v>0</v>
          </cell>
          <cell r="FK141" t="str">
            <v/>
          </cell>
          <cell r="FM141">
            <v>0</v>
          </cell>
          <cell r="FN141" t="str">
            <v/>
          </cell>
          <cell r="FP141">
            <v>0</v>
          </cell>
          <cell r="FQ141" t="str">
            <v/>
          </cell>
          <cell r="FS141">
            <v>0</v>
          </cell>
          <cell r="FT141" t="str">
            <v/>
          </cell>
          <cell r="FV141">
            <v>0</v>
          </cell>
          <cell r="FW141" t="str">
            <v/>
          </cell>
          <cell r="FY141">
            <v>0</v>
          </cell>
          <cell r="FZ141" t="str">
            <v/>
          </cell>
          <cell r="GB141">
            <v>0</v>
          </cell>
          <cell r="GC141" t="str">
            <v/>
          </cell>
          <cell r="GE141">
            <v>0</v>
          </cell>
          <cell r="GF141" t="str">
            <v/>
          </cell>
          <cell r="GH141">
            <v>0</v>
          </cell>
          <cell r="GI141" t="str">
            <v/>
          </cell>
          <cell r="GK141">
            <v>0</v>
          </cell>
          <cell r="GL141" t="str">
            <v/>
          </cell>
          <cell r="GN141">
            <v>0</v>
          </cell>
          <cell r="GO141" t="str">
            <v/>
          </cell>
          <cell r="GQ141">
            <v>0</v>
          </cell>
          <cell r="GR141" t="str">
            <v/>
          </cell>
          <cell r="GT141">
            <v>0</v>
          </cell>
          <cell r="GU141" t="str">
            <v/>
          </cell>
          <cell r="GW141">
            <v>0</v>
          </cell>
          <cell r="GX141" t="str">
            <v/>
          </cell>
          <cell r="GZ141">
            <v>0</v>
          </cell>
          <cell r="HA141" t="str">
            <v/>
          </cell>
          <cell r="HC141">
            <v>7.18</v>
          </cell>
          <cell r="HD141">
            <v>39972.84122562674</v>
          </cell>
          <cell r="HF141">
            <v>0</v>
          </cell>
          <cell r="HG141" t="str">
            <v/>
          </cell>
          <cell r="HI141">
            <v>0</v>
          </cell>
          <cell r="HJ141" t="str">
            <v/>
          </cell>
          <cell r="HL141">
            <v>0</v>
          </cell>
          <cell r="HM141" t="str">
            <v/>
          </cell>
          <cell r="HO141">
            <v>0</v>
          </cell>
          <cell r="HP141" t="str">
            <v/>
          </cell>
          <cell r="HR141">
            <v>0</v>
          </cell>
          <cell r="HS141" t="str">
            <v/>
          </cell>
          <cell r="HU141">
            <v>0</v>
          </cell>
          <cell r="HV141" t="str">
            <v/>
          </cell>
        </row>
        <row r="142">
          <cell r="DQ142">
            <v>0.19</v>
          </cell>
          <cell r="DR142">
            <v>39357.894736842107</v>
          </cell>
          <cell r="DT142">
            <v>0</v>
          </cell>
          <cell r="DU142" t="str">
            <v/>
          </cell>
          <cell r="DW142">
            <v>0</v>
          </cell>
          <cell r="DX142" t="str">
            <v/>
          </cell>
          <cell r="DZ142">
            <v>0</v>
          </cell>
          <cell r="EA142" t="str">
            <v/>
          </cell>
          <cell r="EC142">
            <v>0</v>
          </cell>
          <cell r="ED142" t="str">
            <v/>
          </cell>
          <cell r="EF142">
            <v>0</v>
          </cell>
          <cell r="EG142" t="str">
            <v/>
          </cell>
          <cell r="EI142">
            <v>0</v>
          </cell>
          <cell r="EJ142" t="str">
            <v/>
          </cell>
          <cell r="EL142">
            <v>0</v>
          </cell>
          <cell r="EM142" t="str">
            <v/>
          </cell>
          <cell r="EO142">
            <v>0</v>
          </cell>
          <cell r="EP142" t="str">
            <v/>
          </cell>
          <cell r="ER142">
            <v>0</v>
          </cell>
          <cell r="ES142" t="str">
            <v/>
          </cell>
          <cell r="EU142">
            <v>0</v>
          </cell>
          <cell r="EV142" t="str">
            <v/>
          </cell>
          <cell r="EX142">
            <v>0</v>
          </cell>
          <cell r="EY142" t="str">
            <v/>
          </cell>
          <cell r="FA142">
            <v>0</v>
          </cell>
          <cell r="FB142" t="str">
            <v/>
          </cell>
          <cell r="FD142">
            <v>0</v>
          </cell>
          <cell r="FE142" t="str">
            <v/>
          </cell>
          <cell r="FG142">
            <v>0</v>
          </cell>
          <cell r="FH142" t="str">
            <v/>
          </cell>
          <cell r="FJ142">
            <v>0</v>
          </cell>
          <cell r="FK142" t="str">
            <v/>
          </cell>
          <cell r="FM142">
            <v>0</v>
          </cell>
          <cell r="FN142" t="str">
            <v/>
          </cell>
          <cell r="FP142">
            <v>0</v>
          </cell>
          <cell r="FQ142" t="str">
            <v/>
          </cell>
          <cell r="FS142">
            <v>0</v>
          </cell>
          <cell r="FT142" t="str">
            <v/>
          </cell>
          <cell r="FV142">
            <v>0</v>
          </cell>
          <cell r="FW142" t="str">
            <v/>
          </cell>
          <cell r="FY142">
            <v>0</v>
          </cell>
          <cell r="FZ142" t="str">
            <v/>
          </cell>
          <cell r="GB142">
            <v>0</v>
          </cell>
          <cell r="GC142" t="str">
            <v/>
          </cell>
          <cell r="GE142">
            <v>0</v>
          </cell>
          <cell r="GF142" t="str">
            <v/>
          </cell>
          <cell r="GH142">
            <v>0</v>
          </cell>
          <cell r="GI142" t="str">
            <v/>
          </cell>
          <cell r="GK142">
            <v>0</v>
          </cell>
          <cell r="GL142" t="str">
            <v/>
          </cell>
          <cell r="GN142">
            <v>0</v>
          </cell>
          <cell r="GO142" t="str">
            <v/>
          </cell>
          <cell r="GQ142">
            <v>0</v>
          </cell>
          <cell r="GR142" t="str">
            <v/>
          </cell>
          <cell r="GT142">
            <v>0</v>
          </cell>
          <cell r="GU142" t="str">
            <v/>
          </cell>
          <cell r="GW142">
            <v>0</v>
          </cell>
          <cell r="GX142" t="str">
            <v/>
          </cell>
          <cell r="GZ142">
            <v>0</v>
          </cell>
          <cell r="HA142" t="str">
            <v/>
          </cell>
          <cell r="HC142">
            <v>1.48</v>
          </cell>
          <cell r="HD142">
            <v>39918.243243243247</v>
          </cell>
          <cell r="HF142">
            <v>0</v>
          </cell>
          <cell r="HG142" t="str">
            <v/>
          </cell>
          <cell r="HI142">
            <v>0</v>
          </cell>
          <cell r="HJ142" t="str">
            <v/>
          </cell>
          <cell r="HL142">
            <v>0</v>
          </cell>
          <cell r="HM142" t="str">
            <v/>
          </cell>
          <cell r="HO142">
            <v>0</v>
          </cell>
          <cell r="HP142" t="str">
            <v/>
          </cell>
          <cell r="HR142">
            <v>0</v>
          </cell>
          <cell r="HS142" t="str">
            <v/>
          </cell>
          <cell r="HU142">
            <v>0</v>
          </cell>
          <cell r="HV142" t="str">
            <v/>
          </cell>
        </row>
        <row r="143">
          <cell r="DQ143">
            <v>7.0000000000000007E-2</v>
          </cell>
          <cell r="DR143">
            <v>41628.571428571428</v>
          </cell>
          <cell r="DT143">
            <v>0</v>
          </cell>
          <cell r="DU143" t="str">
            <v/>
          </cell>
          <cell r="DW143">
            <v>0</v>
          </cell>
          <cell r="DX143" t="str">
            <v/>
          </cell>
          <cell r="DZ143">
            <v>0</v>
          </cell>
          <cell r="EA143" t="str">
            <v/>
          </cell>
          <cell r="EC143">
            <v>0</v>
          </cell>
          <cell r="ED143" t="str">
            <v/>
          </cell>
          <cell r="EF143">
            <v>0</v>
          </cell>
          <cell r="EG143" t="str">
            <v/>
          </cell>
          <cell r="EI143">
            <v>0</v>
          </cell>
          <cell r="EJ143" t="str">
            <v/>
          </cell>
          <cell r="EL143">
            <v>0</v>
          </cell>
          <cell r="EM143" t="str">
            <v/>
          </cell>
          <cell r="EO143">
            <v>0</v>
          </cell>
          <cell r="EP143" t="str">
            <v/>
          </cell>
          <cell r="ER143">
            <v>0</v>
          </cell>
          <cell r="ES143" t="str">
            <v/>
          </cell>
          <cell r="EU143">
            <v>0</v>
          </cell>
          <cell r="EV143" t="str">
            <v/>
          </cell>
          <cell r="EX143">
            <v>0</v>
          </cell>
          <cell r="EY143" t="str">
            <v/>
          </cell>
          <cell r="FA143">
            <v>0</v>
          </cell>
          <cell r="FB143" t="str">
            <v/>
          </cell>
          <cell r="FD143">
            <v>0</v>
          </cell>
          <cell r="FE143" t="str">
            <v/>
          </cell>
          <cell r="FG143">
            <v>0</v>
          </cell>
          <cell r="FH143" t="str">
            <v/>
          </cell>
          <cell r="FJ143">
            <v>0</v>
          </cell>
          <cell r="FK143" t="str">
            <v/>
          </cell>
          <cell r="FM143">
            <v>0</v>
          </cell>
          <cell r="FN143" t="str">
            <v/>
          </cell>
          <cell r="FP143">
            <v>0</v>
          </cell>
          <cell r="FQ143" t="str">
            <v/>
          </cell>
          <cell r="FS143">
            <v>0</v>
          </cell>
          <cell r="FT143" t="str">
            <v/>
          </cell>
          <cell r="FV143">
            <v>0</v>
          </cell>
          <cell r="FW143" t="str">
            <v/>
          </cell>
          <cell r="FY143">
            <v>0</v>
          </cell>
          <cell r="FZ143" t="str">
            <v/>
          </cell>
          <cell r="GB143">
            <v>0</v>
          </cell>
          <cell r="GC143" t="str">
            <v/>
          </cell>
          <cell r="GE143">
            <v>0</v>
          </cell>
          <cell r="GF143" t="str">
            <v/>
          </cell>
          <cell r="GH143">
            <v>0</v>
          </cell>
          <cell r="GI143" t="str">
            <v/>
          </cell>
          <cell r="GK143">
            <v>0</v>
          </cell>
          <cell r="GL143" t="str">
            <v/>
          </cell>
          <cell r="GN143">
            <v>0</v>
          </cell>
          <cell r="GO143" t="str">
            <v/>
          </cell>
          <cell r="GQ143">
            <v>0</v>
          </cell>
          <cell r="GR143" t="str">
            <v/>
          </cell>
          <cell r="GT143">
            <v>0</v>
          </cell>
          <cell r="GU143" t="str">
            <v/>
          </cell>
          <cell r="GW143">
            <v>0</v>
          </cell>
          <cell r="GX143" t="str">
            <v/>
          </cell>
          <cell r="GZ143">
            <v>0</v>
          </cell>
          <cell r="HA143" t="str">
            <v/>
          </cell>
          <cell r="HC143">
            <v>0.57999999999999996</v>
          </cell>
          <cell r="HD143">
            <v>39693.103448275862</v>
          </cell>
          <cell r="HF143">
            <v>0</v>
          </cell>
          <cell r="HG143" t="str">
            <v/>
          </cell>
          <cell r="HI143">
            <v>0</v>
          </cell>
          <cell r="HJ143" t="str">
            <v/>
          </cell>
          <cell r="HL143">
            <v>0</v>
          </cell>
          <cell r="HM143" t="str">
            <v/>
          </cell>
          <cell r="HO143">
            <v>0</v>
          </cell>
          <cell r="HP143" t="str">
            <v/>
          </cell>
          <cell r="HR143">
            <v>0</v>
          </cell>
          <cell r="HS143" t="str">
            <v/>
          </cell>
          <cell r="HU143">
            <v>0</v>
          </cell>
          <cell r="HV143" t="str">
            <v/>
          </cell>
        </row>
        <row r="144">
          <cell r="DQ144">
            <v>0.15</v>
          </cell>
          <cell r="DR144">
            <v>40340</v>
          </cell>
          <cell r="DT144">
            <v>0</v>
          </cell>
          <cell r="DU144" t="str">
            <v/>
          </cell>
          <cell r="DW144">
            <v>0</v>
          </cell>
          <cell r="DX144" t="str">
            <v/>
          </cell>
          <cell r="DZ144">
            <v>0</v>
          </cell>
          <cell r="EA144" t="str">
            <v/>
          </cell>
          <cell r="EC144">
            <v>0</v>
          </cell>
          <cell r="ED144" t="str">
            <v/>
          </cell>
          <cell r="EF144">
            <v>0</v>
          </cell>
          <cell r="EG144" t="str">
            <v/>
          </cell>
          <cell r="EI144">
            <v>0</v>
          </cell>
          <cell r="EJ144" t="str">
            <v/>
          </cell>
          <cell r="EL144">
            <v>0</v>
          </cell>
          <cell r="EM144" t="str">
            <v/>
          </cell>
          <cell r="EO144">
            <v>0</v>
          </cell>
          <cell r="EP144" t="str">
            <v/>
          </cell>
          <cell r="ER144">
            <v>0</v>
          </cell>
          <cell r="ES144" t="str">
            <v/>
          </cell>
          <cell r="EU144">
            <v>0</v>
          </cell>
          <cell r="EV144" t="str">
            <v/>
          </cell>
          <cell r="EX144">
            <v>0</v>
          </cell>
          <cell r="EY144" t="str">
            <v/>
          </cell>
          <cell r="FA144">
            <v>0</v>
          </cell>
          <cell r="FB144" t="str">
            <v/>
          </cell>
          <cell r="FD144">
            <v>0</v>
          </cell>
          <cell r="FE144" t="str">
            <v/>
          </cell>
          <cell r="FG144">
            <v>0</v>
          </cell>
          <cell r="FH144" t="str">
            <v/>
          </cell>
          <cell r="FJ144">
            <v>0</v>
          </cell>
          <cell r="FK144" t="str">
            <v/>
          </cell>
          <cell r="FM144">
            <v>0</v>
          </cell>
          <cell r="FN144" t="str">
            <v/>
          </cell>
          <cell r="FP144">
            <v>0</v>
          </cell>
          <cell r="FQ144" t="str">
            <v/>
          </cell>
          <cell r="FS144">
            <v>0</v>
          </cell>
          <cell r="FT144" t="str">
            <v/>
          </cell>
          <cell r="FV144">
            <v>0</v>
          </cell>
          <cell r="FW144" t="str">
            <v/>
          </cell>
          <cell r="FY144">
            <v>0</v>
          </cell>
          <cell r="FZ144" t="str">
            <v/>
          </cell>
          <cell r="GB144">
            <v>0</v>
          </cell>
          <cell r="GC144" t="str">
            <v/>
          </cell>
          <cell r="GE144">
            <v>0</v>
          </cell>
          <cell r="GF144" t="str">
            <v/>
          </cell>
          <cell r="GH144">
            <v>0</v>
          </cell>
          <cell r="GI144" t="str">
            <v/>
          </cell>
          <cell r="GK144">
            <v>0</v>
          </cell>
          <cell r="GL144" t="str">
            <v/>
          </cell>
          <cell r="GN144">
            <v>0</v>
          </cell>
          <cell r="GO144" t="str">
            <v/>
          </cell>
          <cell r="GQ144">
            <v>0</v>
          </cell>
          <cell r="GR144" t="str">
            <v/>
          </cell>
          <cell r="GT144">
            <v>0</v>
          </cell>
          <cell r="GU144" t="str">
            <v/>
          </cell>
          <cell r="GW144">
            <v>0</v>
          </cell>
          <cell r="GX144" t="str">
            <v/>
          </cell>
          <cell r="GZ144">
            <v>0</v>
          </cell>
          <cell r="HA144" t="str">
            <v/>
          </cell>
          <cell r="HC144">
            <v>1.2</v>
          </cell>
          <cell r="HD144">
            <v>39834.166666666672</v>
          </cell>
          <cell r="HF144">
            <v>0</v>
          </cell>
          <cell r="HG144" t="str">
            <v/>
          </cell>
          <cell r="HI144">
            <v>0</v>
          </cell>
          <cell r="HJ144" t="str">
            <v/>
          </cell>
          <cell r="HL144">
            <v>0</v>
          </cell>
          <cell r="HM144" t="str">
            <v/>
          </cell>
          <cell r="HO144">
            <v>0</v>
          </cell>
          <cell r="HP144" t="str">
            <v/>
          </cell>
          <cell r="HR144">
            <v>0</v>
          </cell>
          <cell r="HS144" t="str">
            <v/>
          </cell>
          <cell r="HU144">
            <v>0</v>
          </cell>
          <cell r="HV144" t="str">
            <v/>
          </cell>
        </row>
        <row r="145">
          <cell r="DQ145">
            <v>0.84</v>
          </cell>
          <cell r="DR145">
            <v>54578.571428571428</v>
          </cell>
          <cell r="DT145">
            <v>0.11</v>
          </cell>
          <cell r="DU145">
            <v>92209.090909090912</v>
          </cell>
          <cell r="DW145">
            <v>0</v>
          </cell>
          <cell r="DX145" t="str">
            <v/>
          </cell>
          <cell r="DZ145">
            <v>0.04</v>
          </cell>
          <cell r="EA145">
            <v>80900</v>
          </cell>
          <cell r="EC145">
            <v>0</v>
          </cell>
          <cell r="ED145" t="str">
            <v/>
          </cell>
          <cell r="EF145">
            <v>0</v>
          </cell>
          <cell r="EG145" t="str">
            <v/>
          </cell>
          <cell r="EI145">
            <v>0</v>
          </cell>
          <cell r="EJ145" t="str">
            <v/>
          </cell>
          <cell r="EL145">
            <v>0.1</v>
          </cell>
          <cell r="EM145">
            <v>22880</v>
          </cell>
          <cell r="EO145">
            <v>0.5</v>
          </cell>
          <cell r="EP145">
            <v>55034</v>
          </cell>
          <cell r="ER145">
            <v>0</v>
          </cell>
          <cell r="ES145" t="str">
            <v/>
          </cell>
          <cell r="EU145">
            <v>0</v>
          </cell>
          <cell r="EV145" t="str">
            <v/>
          </cell>
          <cell r="EX145">
            <v>0</v>
          </cell>
          <cell r="EY145" t="str">
            <v/>
          </cell>
          <cell r="FA145">
            <v>0</v>
          </cell>
          <cell r="FB145" t="str">
            <v/>
          </cell>
          <cell r="FD145">
            <v>0</v>
          </cell>
          <cell r="FE145" t="str">
            <v/>
          </cell>
          <cell r="FG145">
            <v>0</v>
          </cell>
          <cell r="FH145" t="str">
            <v/>
          </cell>
          <cell r="FJ145">
            <v>0</v>
          </cell>
          <cell r="FK145" t="str">
            <v/>
          </cell>
          <cell r="FM145">
            <v>0</v>
          </cell>
          <cell r="FN145" t="str">
            <v/>
          </cell>
          <cell r="FP145">
            <v>0</v>
          </cell>
          <cell r="FQ145" t="str">
            <v/>
          </cell>
          <cell r="FS145">
            <v>0</v>
          </cell>
          <cell r="FT145" t="str">
            <v/>
          </cell>
          <cell r="FV145">
            <v>0</v>
          </cell>
          <cell r="FW145" t="str">
            <v/>
          </cell>
          <cell r="FY145">
            <v>0</v>
          </cell>
          <cell r="FZ145" t="str">
            <v/>
          </cell>
          <cell r="GB145">
            <v>0.05</v>
          </cell>
          <cell r="GC145">
            <v>84340</v>
          </cell>
          <cell r="GE145">
            <v>0</v>
          </cell>
          <cell r="GF145" t="str">
            <v/>
          </cell>
          <cell r="GH145">
            <v>0</v>
          </cell>
          <cell r="GI145" t="str">
            <v/>
          </cell>
          <cell r="GK145">
            <v>0</v>
          </cell>
          <cell r="GL145" t="str">
            <v/>
          </cell>
          <cell r="GN145">
            <v>0</v>
          </cell>
          <cell r="GO145" t="str">
            <v/>
          </cell>
          <cell r="GQ145">
            <v>0</v>
          </cell>
          <cell r="GR145" t="str">
            <v/>
          </cell>
          <cell r="GT145">
            <v>0</v>
          </cell>
          <cell r="GU145" t="str">
            <v/>
          </cell>
          <cell r="GW145">
            <v>0</v>
          </cell>
          <cell r="GX145" t="str">
            <v/>
          </cell>
          <cell r="GZ145">
            <v>0</v>
          </cell>
          <cell r="HA145" t="str">
            <v/>
          </cell>
          <cell r="HC145">
            <v>0</v>
          </cell>
          <cell r="HD145" t="str">
            <v/>
          </cell>
          <cell r="HF145">
            <v>0</v>
          </cell>
          <cell r="HG145" t="str">
            <v/>
          </cell>
          <cell r="HI145">
            <v>8.59</v>
          </cell>
          <cell r="HJ145">
            <v>36167.287543655417</v>
          </cell>
          <cell r="HL145">
            <v>0.08</v>
          </cell>
          <cell r="HM145">
            <v>30862.5</v>
          </cell>
          <cell r="HO145">
            <v>1.19</v>
          </cell>
          <cell r="HP145">
            <v>35351.26050420168</v>
          </cell>
          <cell r="HR145">
            <v>0</v>
          </cell>
          <cell r="HS145" t="str">
            <v/>
          </cell>
          <cell r="HU145">
            <v>0</v>
          </cell>
          <cell r="HV145" t="str">
            <v/>
          </cell>
        </row>
        <row r="146">
          <cell r="DQ146">
            <v>0</v>
          </cell>
          <cell r="DR146" t="str">
            <v/>
          </cell>
          <cell r="DT146">
            <v>0.34</v>
          </cell>
          <cell r="DU146">
            <v>88920.588235294112</v>
          </cell>
          <cell r="DW146">
            <v>0</v>
          </cell>
          <cell r="DX146" t="str">
            <v/>
          </cell>
          <cell r="DZ146">
            <v>0</v>
          </cell>
          <cell r="EA146" t="str">
            <v/>
          </cell>
          <cell r="EC146">
            <v>0</v>
          </cell>
          <cell r="ED146" t="str">
            <v/>
          </cell>
          <cell r="EF146">
            <v>0</v>
          </cell>
          <cell r="EG146" t="str">
            <v/>
          </cell>
          <cell r="EI146">
            <v>0</v>
          </cell>
          <cell r="EJ146" t="str">
            <v/>
          </cell>
          <cell r="EL146">
            <v>0</v>
          </cell>
          <cell r="EM146" t="str">
            <v/>
          </cell>
          <cell r="EO146">
            <v>0</v>
          </cell>
          <cell r="EP146" t="str">
            <v/>
          </cell>
          <cell r="ER146">
            <v>0</v>
          </cell>
          <cell r="ES146" t="str">
            <v/>
          </cell>
          <cell r="EU146">
            <v>0</v>
          </cell>
          <cell r="EV146" t="str">
            <v/>
          </cell>
          <cell r="EX146">
            <v>0</v>
          </cell>
          <cell r="EY146" t="str">
            <v/>
          </cell>
          <cell r="FA146">
            <v>0</v>
          </cell>
          <cell r="FB146" t="str">
            <v/>
          </cell>
          <cell r="FD146">
            <v>0</v>
          </cell>
          <cell r="FE146" t="str">
            <v/>
          </cell>
          <cell r="FG146">
            <v>0</v>
          </cell>
          <cell r="FH146" t="str">
            <v/>
          </cell>
          <cell r="FJ146">
            <v>0</v>
          </cell>
          <cell r="FK146" t="str">
            <v/>
          </cell>
          <cell r="FM146">
            <v>0</v>
          </cell>
          <cell r="FN146" t="str">
            <v/>
          </cell>
          <cell r="FP146">
            <v>0</v>
          </cell>
          <cell r="FQ146" t="str">
            <v/>
          </cell>
          <cell r="FS146">
            <v>0</v>
          </cell>
          <cell r="FT146" t="str">
            <v/>
          </cell>
          <cell r="FV146">
            <v>0</v>
          </cell>
          <cell r="FW146" t="str">
            <v/>
          </cell>
          <cell r="FY146">
            <v>0</v>
          </cell>
          <cell r="FZ146" t="str">
            <v/>
          </cell>
          <cell r="GB146">
            <v>0</v>
          </cell>
          <cell r="GC146" t="str">
            <v/>
          </cell>
          <cell r="GE146">
            <v>0</v>
          </cell>
          <cell r="GF146" t="str">
            <v/>
          </cell>
          <cell r="GH146">
            <v>0</v>
          </cell>
          <cell r="GI146" t="str">
            <v/>
          </cell>
          <cell r="GK146">
            <v>0</v>
          </cell>
          <cell r="GL146" t="str">
            <v/>
          </cell>
          <cell r="GN146">
            <v>0</v>
          </cell>
          <cell r="GO146" t="str">
            <v/>
          </cell>
          <cell r="GQ146">
            <v>0</v>
          </cell>
          <cell r="GR146" t="str">
            <v/>
          </cell>
          <cell r="GT146">
            <v>0</v>
          </cell>
          <cell r="GU146" t="str">
            <v/>
          </cell>
          <cell r="GW146">
            <v>0.33</v>
          </cell>
          <cell r="GX146">
            <v>54457.575757575753</v>
          </cell>
          <cell r="GZ146">
            <v>5.49</v>
          </cell>
          <cell r="HA146">
            <v>41128.233151183966</v>
          </cell>
          <cell r="HC146">
            <v>0</v>
          </cell>
          <cell r="HD146" t="str">
            <v/>
          </cell>
          <cell r="HF146">
            <v>0</v>
          </cell>
          <cell r="HG146" t="str">
            <v/>
          </cell>
          <cell r="HI146">
            <v>0.1</v>
          </cell>
          <cell r="HJ146">
            <v>26910</v>
          </cell>
          <cell r="HL146">
            <v>0</v>
          </cell>
          <cell r="HM146" t="str">
            <v/>
          </cell>
          <cell r="HO146">
            <v>0.34</v>
          </cell>
          <cell r="HP146">
            <v>33235.294117647056</v>
          </cell>
          <cell r="HR146">
            <v>0</v>
          </cell>
          <cell r="HS146" t="str">
            <v/>
          </cell>
          <cell r="HU146">
            <v>0</v>
          </cell>
          <cell r="HV146" t="str">
            <v/>
          </cell>
        </row>
        <row r="147">
          <cell r="DQ147">
            <v>0</v>
          </cell>
          <cell r="DR147" t="str">
            <v/>
          </cell>
          <cell r="DT147">
            <v>0.02</v>
          </cell>
          <cell r="DU147">
            <v>69050</v>
          </cell>
          <cell r="DW147">
            <v>0</v>
          </cell>
          <cell r="DX147" t="str">
            <v/>
          </cell>
          <cell r="DZ147">
            <v>0</v>
          </cell>
          <cell r="EA147" t="str">
            <v/>
          </cell>
          <cell r="EC147">
            <v>0</v>
          </cell>
          <cell r="ED147" t="str">
            <v/>
          </cell>
          <cell r="EF147">
            <v>0</v>
          </cell>
          <cell r="EG147" t="str">
            <v/>
          </cell>
          <cell r="EI147">
            <v>0</v>
          </cell>
          <cell r="EJ147" t="str">
            <v/>
          </cell>
          <cell r="EL147">
            <v>0</v>
          </cell>
          <cell r="EM147" t="str">
            <v/>
          </cell>
          <cell r="EO147">
            <v>0</v>
          </cell>
          <cell r="EP147" t="str">
            <v/>
          </cell>
          <cell r="ER147">
            <v>0</v>
          </cell>
          <cell r="ES147" t="str">
            <v/>
          </cell>
          <cell r="EU147">
            <v>0</v>
          </cell>
          <cell r="EV147" t="str">
            <v/>
          </cell>
          <cell r="EX147">
            <v>0</v>
          </cell>
          <cell r="EY147" t="str">
            <v/>
          </cell>
          <cell r="FA147">
            <v>0</v>
          </cell>
          <cell r="FB147" t="str">
            <v/>
          </cell>
          <cell r="FD147">
            <v>0</v>
          </cell>
          <cell r="FE147" t="str">
            <v/>
          </cell>
          <cell r="FG147">
            <v>0</v>
          </cell>
          <cell r="FH147" t="str">
            <v/>
          </cell>
          <cell r="FJ147">
            <v>0</v>
          </cell>
          <cell r="FK147" t="str">
            <v/>
          </cell>
          <cell r="FM147">
            <v>0</v>
          </cell>
          <cell r="FN147" t="str">
            <v/>
          </cell>
          <cell r="FP147">
            <v>0</v>
          </cell>
          <cell r="FQ147" t="str">
            <v/>
          </cell>
          <cell r="FS147">
            <v>0</v>
          </cell>
          <cell r="FT147" t="str">
            <v/>
          </cell>
          <cell r="FV147">
            <v>0</v>
          </cell>
          <cell r="FW147" t="str">
            <v/>
          </cell>
          <cell r="FY147">
            <v>0</v>
          </cell>
          <cell r="FZ147" t="str">
            <v/>
          </cell>
          <cell r="GB147">
            <v>0</v>
          </cell>
          <cell r="GC147" t="str">
            <v/>
          </cell>
          <cell r="GE147">
            <v>0</v>
          </cell>
          <cell r="GF147" t="str">
            <v/>
          </cell>
          <cell r="GH147">
            <v>0</v>
          </cell>
          <cell r="GI147" t="str">
            <v/>
          </cell>
          <cell r="GK147">
            <v>0</v>
          </cell>
          <cell r="GL147" t="str">
            <v/>
          </cell>
          <cell r="GN147">
            <v>0</v>
          </cell>
          <cell r="GO147" t="str">
            <v/>
          </cell>
          <cell r="GQ147">
            <v>0</v>
          </cell>
          <cell r="GR147" t="str">
            <v/>
          </cell>
          <cell r="GT147">
            <v>0</v>
          </cell>
          <cell r="GU147" t="str">
            <v/>
          </cell>
          <cell r="GW147">
            <v>0</v>
          </cell>
          <cell r="GX147" t="str">
            <v/>
          </cell>
          <cell r="GZ147">
            <v>0</v>
          </cell>
          <cell r="HA147" t="str">
            <v/>
          </cell>
          <cell r="HC147">
            <v>0</v>
          </cell>
          <cell r="HD147" t="str">
            <v/>
          </cell>
          <cell r="HF147">
            <v>0</v>
          </cell>
          <cell r="HG147" t="str">
            <v/>
          </cell>
          <cell r="HI147">
            <v>0</v>
          </cell>
          <cell r="HJ147" t="str">
            <v/>
          </cell>
          <cell r="HL147">
            <v>0.59</v>
          </cell>
          <cell r="HM147">
            <v>29684.745762711867</v>
          </cell>
          <cell r="HO147">
            <v>0</v>
          </cell>
          <cell r="HP147" t="str">
            <v/>
          </cell>
          <cell r="HR147">
            <v>0</v>
          </cell>
          <cell r="HS147" t="str">
            <v/>
          </cell>
          <cell r="HU147">
            <v>0</v>
          </cell>
          <cell r="HV147" t="str">
            <v/>
          </cell>
        </row>
        <row r="148">
          <cell r="DQ148">
            <v>0</v>
          </cell>
          <cell r="DR148" t="str">
            <v/>
          </cell>
          <cell r="DT148">
            <v>0</v>
          </cell>
          <cell r="DU148" t="str">
            <v/>
          </cell>
          <cell r="DW148">
            <v>0</v>
          </cell>
          <cell r="DX148" t="str">
            <v/>
          </cell>
          <cell r="DZ148">
            <v>0</v>
          </cell>
          <cell r="EA148" t="str">
            <v/>
          </cell>
          <cell r="EC148">
            <v>0</v>
          </cell>
          <cell r="ED148" t="str">
            <v/>
          </cell>
          <cell r="EF148">
            <v>0</v>
          </cell>
          <cell r="EG148" t="str">
            <v/>
          </cell>
          <cell r="EI148">
            <v>0</v>
          </cell>
          <cell r="EJ148" t="str">
            <v/>
          </cell>
          <cell r="EL148">
            <v>0</v>
          </cell>
          <cell r="EM148" t="str">
            <v/>
          </cell>
          <cell r="EO148">
            <v>0</v>
          </cell>
          <cell r="EP148" t="str">
            <v/>
          </cell>
          <cell r="ER148">
            <v>0</v>
          </cell>
          <cell r="ES148" t="str">
            <v/>
          </cell>
          <cell r="EU148">
            <v>0</v>
          </cell>
          <cell r="EV148" t="str">
            <v/>
          </cell>
          <cell r="EX148">
            <v>0</v>
          </cell>
          <cell r="EY148" t="str">
            <v/>
          </cell>
          <cell r="FA148">
            <v>0</v>
          </cell>
          <cell r="FB148" t="str">
            <v/>
          </cell>
          <cell r="FD148">
            <v>0</v>
          </cell>
          <cell r="FE148" t="str">
            <v/>
          </cell>
          <cell r="FG148">
            <v>0</v>
          </cell>
          <cell r="FH148" t="str">
            <v/>
          </cell>
          <cell r="FJ148">
            <v>0</v>
          </cell>
          <cell r="FK148" t="str">
            <v/>
          </cell>
          <cell r="FM148">
            <v>0</v>
          </cell>
          <cell r="FN148" t="str">
            <v/>
          </cell>
          <cell r="FP148">
            <v>0</v>
          </cell>
          <cell r="FQ148" t="str">
            <v/>
          </cell>
          <cell r="FS148">
            <v>0</v>
          </cell>
          <cell r="FT148" t="str">
            <v/>
          </cell>
          <cell r="FV148">
            <v>0</v>
          </cell>
          <cell r="FW148" t="str">
            <v/>
          </cell>
          <cell r="FY148">
            <v>0</v>
          </cell>
          <cell r="FZ148" t="str">
            <v/>
          </cell>
          <cell r="GB148">
            <v>0.04</v>
          </cell>
          <cell r="GC148">
            <v>67650</v>
          </cell>
          <cell r="GE148">
            <v>0</v>
          </cell>
          <cell r="GF148" t="str">
            <v/>
          </cell>
          <cell r="GH148">
            <v>0</v>
          </cell>
          <cell r="GI148" t="str">
            <v/>
          </cell>
          <cell r="GK148">
            <v>0</v>
          </cell>
          <cell r="GL148" t="str">
            <v/>
          </cell>
          <cell r="GN148">
            <v>0</v>
          </cell>
          <cell r="GO148" t="str">
            <v/>
          </cell>
          <cell r="GQ148">
            <v>0</v>
          </cell>
          <cell r="GR148" t="str">
            <v/>
          </cell>
          <cell r="GT148">
            <v>0</v>
          </cell>
          <cell r="GU148" t="str">
            <v/>
          </cell>
          <cell r="GW148">
            <v>0</v>
          </cell>
          <cell r="GX148" t="str">
            <v/>
          </cell>
          <cell r="GZ148">
            <v>0</v>
          </cell>
          <cell r="HA148" t="str">
            <v/>
          </cell>
          <cell r="HC148">
            <v>0</v>
          </cell>
          <cell r="HD148" t="str">
            <v/>
          </cell>
          <cell r="HF148">
            <v>0</v>
          </cell>
          <cell r="HG148" t="str">
            <v/>
          </cell>
          <cell r="HI148">
            <v>0</v>
          </cell>
          <cell r="HJ148" t="str">
            <v/>
          </cell>
          <cell r="HL148">
            <v>0</v>
          </cell>
          <cell r="HM148" t="str">
            <v/>
          </cell>
          <cell r="HO148">
            <v>0</v>
          </cell>
          <cell r="HP148" t="str">
            <v/>
          </cell>
          <cell r="HR148">
            <v>0</v>
          </cell>
          <cell r="HS148" t="str">
            <v/>
          </cell>
          <cell r="HU148">
            <v>0</v>
          </cell>
          <cell r="HV148" t="str">
            <v/>
          </cell>
        </row>
        <row r="149">
          <cell r="DQ149">
            <v>0</v>
          </cell>
          <cell r="DR149" t="str">
            <v/>
          </cell>
          <cell r="DT149">
            <v>0</v>
          </cell>
          <cell r="DU149" t="str">
            <v/>
          </cell>
          <cell r="DW149">
            <v>0</v>
          </cell>
          <cell r="DX149" t="str">
            <v/>
          </cell>
          <cell r="DZ149">
            <v>0</v>
          </cell>
          <cell r="EA149" t="str">
            <v/>
          </cell>
          <cell r="EC149">
            <v>0</v>
          </cell>
          <cell r="ED149" t="str">
            <v/>
          </cell>
          <cell r="EF149">
            <v>0</v>
          </cell>
          <cell r="EG149" t="str">
            <v/>
          </cell>
          <cell r="EI149">
            <v>0</v>
          </cell>
          <cell r="EJ149" t="str">
            <v/>
          </cell>
          <cell r="EL149">
            <v>0</v>
          </cell>
          <cell r="EM149" t="str">
            <v/>
          </cell>
          <cell r="EO149">
            <v>0</v>
          </cell>
          <cell r="EP149" t="str">
            <v/>
          </cell>
          <cell r="ER149">
            <v>0</v>
          </cell>
          <cell r="ES149" t="str">
            <v/>
          </cell>
          <cell r="EU149">
            <v>0</v>
          </cell>
          <cell r="EV149" t="str">
            <v/>
          </cell>
          <cell r="EX149">
            <v>0</v>
          </cell>
          <cell r="EY149" t="str">
            <v/>
          </cell>
          <cell r="FA149">
            <v>0</v>
          </cell>
          <cell r="FB149" t="str">
            <v/>
          </cell>
          <cell r="FD149">
            <v>0</v>
          </cell>
          <cell r="FE149" t="str">
            <v/>
          </cell>
          <cell r="FG149">
            <v>0</v>
          </cell>
          <cell r="FH149" t="str">
            <v/>
          </cell>
          <cell r="FJ149">
            <v>0</v>
          </cell>
          <cell r="FK149" t="str">
            <v/>
          </cell>
          <cell r="FM149">
            <v>0</v>
          </cell>
          <cell r="FN149" t="str">
            <v/>
          </cell>
          <cell r="FP149">
            <v>0</v>
          </cell>
          <cell r="FQ149" t="str">
            <v/>
          </cell>
          <cell r="FS149">
            <v>0</v>
          </cell>
          <cell r="FT149" t="str">
            <v/>
          </cell>
          <cell r="FV149">
            <v>0</v>
          </cell>
          <cell r="FW149" t="str">
            <v/>
          </cell>
          <cell r="FY149">
            <v>0</v>
          </cell>
          <cell r="FZ149" t="str">
            <v/>
          </cell>
          <cell r="GB149">
            <v>0</v>
          </cell>
          <cell r="GC149" t="str">
            <v/>
          </cell>
          <cell r="GE149">
            <v>0</v>
          </cell>
          <cell r="GF149" t="str">
            <v/>
          </cell>
          <cell r="GH149">
            <v>0</v>
          </cell>
          <cell r="GI149" t="str">
            <v/>
          </cell>
          <cell r="GK149">
            <v>0</v>
          </cell>
          <cell r="GL149" t="str">
            <v/>
          </cell>
          <cell r="GN149">
            <v>0</v>
          </cell>
          <cell r="GO149" t="str">
            <v/>
          </cell>
          <cell r="GQ149">
            <v>0</v>
          </cell>
          <cell r="GR149" t="str">
            <v/>
          </cell>
          <cell r="GT149">
            <v>0</v>
          </cell>
          <cell r="GU149" t="str">
            <v/>
          </cell>
          <cell r="GW149">
            <v>0</v>
          </cell>
          <cell r="GX149" t="str">
            <v/>
          </cell>
          <cell r="GZ149">
            <v>0</v>
          </cell>
          <cell r="HA149" t="str">
            <v/>
          </cell>
          <cell r="HC149">
            <v>0</v>
          </cell>
          <cell r="HD149" t="str">
            <v/>
          </cell>
          <cell r="HF149">
            <v>0</v>
          </cell>
          <cell r="HG149" t="str">
            <v/>
          </cell>
          <cell r="HI149">
            <v>0</v>
          </cell>
          <cell r="HJ149" t="str">
            <v/>
          </cell>
          <cell r="HL149">
            <v>0</v>
          </cell>
          <cell r="HM149" t="str">
            <v/>
          </cell>
          <cell r="HO149">
            <v>0</v>
          </cell>
          <cell r="HP149" t="str">
            <v/>
          </cell>
          <cell r="HR149">
            <v>0</v>
          </cell>
          <cell r="HS149" t="str">
            <v/>
          </cell>
          <cell r="HU149">
            <v>0</v>
          </cell>
          <cell r="HV149" t="str">
            <v/>
          </cell>
        </row>
        <row r="150">
          <cell r="DQ150">
            <v>0</v>
          </cell>
          <cell r="DR150" t="str">
            <v/>
          </cell>
          <cell r="DT150">
            <v>0.04</v>
          </cell>
          <cell r="DU150">
            <v>75000</v>
          </cell>
          <cell r="DW150">
            <v>0</v>
          </cell>
          <cell r="DX150" t="str">
            <v/>
          </cell>
          <cell r="DZ150">
            <v>0</v>
          </cell>
          <cell r="EA150" t="str">
            <v/>
          </cell>
          <cell r="EC150">
            <v>0</v>
          </cell>
          <cell r="ED150" t="str">
            <v/>
          </cell>
          <cell r="EF150">
            <v>0</v>
          </cell>
          <cell r="EG150" t="str">
            <v/>
          </cell>
          <cell r="EI150">
            <v>0</v>
          </cell>
          <cell r="EJ150" t="str">
            <v/>
          </cell>
          <cell r="EL150">
            <v>0</v>
          </cell>
          <cell r="EM150" t="str">
            <v/>
          </cell>
          <cell r="EO150">
            <v>0</v>
          </cell>
          <cell r="EP150" t="str">
            <v/>
          </cell>
          <cell r="ER150">
            <v>0</v>
          </cell>
          <cell r="ES150" t="str">
            <v/>
          </cell>
          <cell r="EU150">
            <v>0</v>
          </cell>
          <cell r="EV150" t="str">
            <v/>
          </cell>
          <cell r="EX150">
            <v>0</v>
          </cell>
          <cell r="EY150" t="str">
            <v/>
          </cell>
          <cell r="FA150">
            <v>0</v>
          </cell>
          <cell r="FB150" t="str">
            <v/>
          </cell>
          <cell r="FD150">
            <v>0</v>
          </cell>
          <cell r="FE150" t="str">
            <v/>
          </cell>
          <cell r="FG150">
            <v>0</v>
          </cell>
          <cell r="FH150" t="str">
            <v/>
          </cell>
          <cell r="FJ150">
            <v>0</v>
          </cell>
          <cell r="FK150" t="str">
            <v/>
          </cell>
          <cell r="FM150">
            <v>0</v>
          </cell>
          <cell r="FN150" t="str">
            <v/>
          </cell>
          <cell r="FP150">
            <v>0</v>
          </cell>
          <cell r="FQ150" t="str">
            <v/>
          </cell>
          <cell r="FS150">
            <v>0</v>
          </cell>
          <cell r="FT150" t="str">
            <v/>
          </cell>
          <cell r="FV150">
            <v>0</v>
          </cell>
          <cell r="FW150" t="str">
            <v/>
          </cell>
          <cell r="FY150">
            <v>0</v>
          </cell>
          <cell r="FZ150" t="str">
            <v/>
          </cell>
          <cell r="GB150">
            <v>0</v>
          </cell>
          <cell r="GC150" t="str">
            <v/>
          </cell>
          <cell r="GE150">
            <v>0</v>
          </cell>
          <cell r="GF150" t="str">
            <v/>
          </cell>
          <cell r="GH150">
            <v>0</v>
          </cell>
          <cell r="GI150" t="str">
            <v/>
          </cell>
          <cell r="GK150">
            <v>0</v>
          </cell>
          <cell r="GL150" t="str">
            <v/>
          </cell>
          <cell r="GN150">
            <v>0</v>
          </cell>
          <cell r="GO150" t="str">
            <v/>
          </cell>
          <cell r="GQ150">
            <v>0</v>
          </cell>
          <cell r="GR150" t="str">
            <v/>
          </cell>
          <cell r="GT150">
            <v>0</v>
          </cell>
          <cell r="GU150" t="str">
            <v/>
          </cell>
          <cell r="GW150">
            <v>0</v>
          </cell>
          <cell r="GX150" t="str">
            <v/>
          </cell>
          <cell r="GZ150">
            <v>0</v>
          </cell>
          <cell r="HA150" t="str">
            <v/>
          </cell>
          <cell r="HC150">
            <v>0</v>
          </cell>
          <cell r="HD150" t="str">
            <v/>
          </cell>
          <cell r="HF150">
            <v>0</v>
          </cell>
          <cell r="HG150" t="str">
            <v/>
          </cell>
          <cell r="HI150">
            <v>1.6</v>
          </cell>
          <cell r="HJ150">
            <v>34912.5</v>
          </cell>
          <cell r="HL150">
            <v>6.68</v>
          </cell>
          <cell r="HM150">
            <v>28434.131736526946</v>
          </cell>
          <cell r="HO150">
            <v>0</v>
          </cell>
          <cell r="HP150" t="str">
            <v/>
          </cell>
          <cell r="HR150">
            <v>0</v>
          </cell>
          <cell r="HS150" t="str">
            <v/>
          </cell>
          <cell r="HU150">
            <v>0</v>
          </cell>
          <cell r="HV150" t="str">
            <v/>
          </cell>
        </row>
        <row r="151">
          <cell r="DQ151">
            <v>0</v>
          </cell>
          <cell r="DR151" t="str">
            <v/>
          </cell>
          <cell r="DT151">
            <v>0</v>
          </cell>
          <cell r="DU151" t="str">
            <v/>
          </cell>
          <cell r="DW151">
            <v>0</v>
          </cell>
          <cell r="DX151" t="str">
            <v/>
          </cell>
          <cell r="DZ151">
            <v>0</v>
          </cell>
          <cell r="EA151" t="str">
            <v/>
          </cell>
          <cell r="EC151">
            <v>0</v>
          </cell>
          <cell r="ED151" t="str">
            <v/>
          </cell>
          <cell r="EF151">
            <v>0</v>
          </cell>
          <cell r="EG151" t="str">
            <v/>
          </cell>
          <cell r="EI151">
            <v>0</v>
          </cell>
          <cell r="EJ151" t="str">
            <v/>
          </cell>
          <cell r="EL151">
            <v>0</v>
          </cell>
          <cell r="EM151" t="str">
            <v/>
          </cell>
          <cell r="EO151">
            <v>0</v>
          </cell>
          <cell r="EP151" t="str">
            <v/>
          </cell>
          <cell r="ER151">
            <v>0</v>
          </cell>
          <cell r="ES151" t="str">
            <v/>
          </cell>
          <cell r="EU151">
            <v>0</v>
          </cell>
          <cell r="EV151" t="str">
            <v/>
          </cell>
          <cell r="EX151">
            <v>0</v>
          </cell>
          <cell r="EY151" t="str">
            <v/>
          </cell>
          <cell r="FA151">
            <v>0</v>
          </cell>
          <cell r="FB151" t="str">
            <v/>
          </cell>
          <cell r="FD151">
            <v>0</v>
          </cell>
          <cell r="FE151" t="str">
            <v/>
          </cell>
          <cell r="FG151">
            <v>0</v>
          </cell>
          <cell r="FH151" t="str">
            <v/>
          </cell>
          <cell r="FJ151">
            <v>0</v>
          </cell>
          <cell r="FK151" t="str">
            <v/>
          </cell>
          <cell r="FM151">
            <v>0</v>
          </cell>
          <cell r="FN151" t="str">
            <v/>
          </cell>
          <cell r="FP151">
            <v>0</v>
          </cell>
          <cell r="FQ151" t="str">
            <v/>
          </cell>
          <cell r="FS151">
            <v>0</v>
          </cell>
          <cell r="FT151" t="str">
            <v/>
          </cell>
          <cell r="FV151">
            <v>0</v>
          </cell>
          <cell r="FW151" t="str">
            <v/>
          </cell>
          <cell r="FY151">
            <v>0</v>
          </cell>
          <cell r="FZ151" t="str">
            <v/>
          </cell>
          <cell r="GB151">
            <v>0</v>
          </cell>
          <cell r="GC151" t="str">
            <v/>
          </cell>
          <cell r="GE151">
            <v>0</v>
          </cell>
          <cell r="GF151" t="str">
            <v/>
          </cell>
          <cell r="GH151">
            <v>0</v>
          </cell>
          <cell r="GI151" t="str">
            <v/>
          </cell>
          <cell r="GK151">
            <v>0</v>
          </cell>
          <cell r="GL151" t="str">
            <v/>
          </cell>
          <cell r="GN151">
            <v>0</v>
          </cell>
          <cell r="GO151" t="str">
            <v/>
          </cell>
          <cell r="GQ151">
            <v>0</v>
          </cell>
          <cell r="GR151" t="str">
            <v/>
          </cell>
          <cell r="GT151">
            <v>0</v>
          </cell>
          <cell r="GU151" t="str">
            <v/>
          </cell>
          <cell r="GW151">
            <v>0</v>
          </cell>
          <cell r="GX151" t="str">
            <v/>
          </cell>
          <cell r="GZ151">
            <v>0</v>
          </cell>
          <cell r="HA151" t="str">
            <v/>
          </cell>
          <cell r="HC151">
            <v>0</v>
          </cell>
          <cell r="HD151" t="str">
            <v/>
          </cell>
          <cell r="HF151">
            <v>0</v>
          </cell>
          <cell r="HG151" t="str">
            <v/>
          </cell>
          <cell r="HI151">
            <v>0</v>
          </cell>
          <cell r="HJ151" t="str">
            <v/>
          </cell>
          <cell r="HL151">
            <v>0</v>
          </cell>
          <cell r="HM151" t="str">
            <v/>
          </cell>
          <cell r="HO151">
            <v>0</v>
          </cell>
          <cell r="HP151" t="str">
            <v/>
          </cell>
          <cell r="HR151">
            <v>0</v>
          </cell>
          <cell r="HS151" t="str">
            <v/>
          </cell>
          <cell r="HU151">
            <v>0</v>
          </cell>
          <cell r="HV151" t="str">
            <v/>
          </cell>
        </row>
        <row r="152">
          <cell r="DQ152">
            <v>0</v>
          </cell>
          <cell r="DR152" t="str">
            <v/>
          </cell>
          <cell r="DT152">
            <v>0</v>
          </cell>
          <cell r="DU152" t="str">
            <v/>
          </cell>
          <cell r="DW152">
            <v>0</v>
          </cell>
          <cell r="DX152" t="str">
            <v/>
          </cell>
          <cell r="DZ152">
            <v>0</v>
          </cell>
          <cell r="EA152" t="str">
            <v/>
          </cell>
          <cell r="EC152">
            <v>0</v>
          </cell>
          <cell r="ED152" t="str">
            <v/>
          </cell>
          <cell r="EF152">
            <v>0</v>
          </cell>
          <cell r="EG152" t="str">
            <v/>
          </cell>
          <cell r="EI152">
            <v>0</v>
          </cell>
          <cell r="EJ152" t="str">
            <v/>
          </cell>
          <cell r="EL152">
            <v>0</v>
          </cell>
          <cell r="EM152" t="str">
            <v/>
          </cell>
          <cell r="EO152">
            <v>0</v>
          </cell>
          <cell r="EP152" t="str">
            <v/>
          </cell>
          <cell r="ER152">
            <v>0</v>
          </cell>
          <cell r="ES152" t="str">
            <v/>
          </cell>
          <cell r="EU152">
            <v>0</v>
          </cell>
          <cell r="EV152" t="str">
            <v/>
          </cell>
          <cell r="EX152">
            <v>0</v>
          </cell>
          <cell r="EY152" t="str">
            <v/>
          </cell>
          <cell r="FA152">
            <v>0</v>
          </cell>
          <cell r="FB152" t="str">
            <v/>
          </cell>
          <cell r="FD152">
            <v>0</v>
          </cell>
          <cell r="FE152" t="str">
            <v/>
          </cell>
          <cell r="FG152">
            <v>0</v>
          </cell>
          <cell r="FH152" t="str">
            <v/>
          </cell>
          <cell r="FJ152">
            <v>0</v>
          </cell>
          <cell r="FK152" t="str">
            <v/>
          </cell>
          <cell r="FM152">
            <v>0</v>
          </cell>
          <cell r="FN152" t="str">
            <v/>
          </cell>
          <cell r="FP152">
            <v>0</v>
          </cell>
          <cell r="FQ152" t="str">
            <v/>
          </cell>
          <cell r="FS152">
            <v>0</v>
          </cell>
          <cell r="FT152" t="str">
            <v/>
          </cell>
          <cell r="FV152">
            <v>0</v>
          </cell>
          <cell r="FW152" t="str">
            <v/>
          </cell>
          <cell r="FY152">
            <v>0</v>
          </cell>
          <cell r="FZ152" t="str">
            <v/>
          </cell>
          <cell r="GB152">
            <v>0</v>
          </cell>
          <cell r="GC152" t="str">
            <v/>
          </cell>
          <cell r="GE152">
            <v>0</v>
          </cell>
          <cell r="GF152" t="str">
            <v/>
          </cell>
          <cell r="GH152">
            <v>0</v>
          </cell>
          <cell r="GI152" t="str">
            <v/>
          </cell>
          <cell r="GK152">
            <v>0</v>
          </cell>
          <cell r="GL152" t="str">
            <v/>
          </cell>
          <cell r="GN152">
            <v>0</v>
          </cell>
          <cell r="GO152" t="str">
            <v/>
          </cell>
          <cell r="GQ152">
            <v>0</v>
          </cell>
          <cell r="GR152" t="str">
            <v/>
          </cell>
          <cell r="GT152">
            <v>0</v>
          </cell>
          <cell r="GU152" t="str">
            <v/>
          </cell>
          <cell r="GW152">
            <v>0</v>
          </cell>
          <cell r="GX152" t="str">
            <v/>
          </cell>
          <cell r="GZ152">
            <v>0</v>
          </cell>
          <cell r="HA152" t="str">
            <v/>
          </cell>
          <cell r="HC152">
            <v>0</v>
          </cell>
          <cell r="HD152" t="str">
            <v/>
          </cell>
          <cell r="HF152">
            <v>0</v>
          </cell>
          <cell r="HG152" t="str">
            <v/>
          </cell>
          <cell r="HI152">
            <v>0</v>
          </cell>
          <cell r="HJ152" t="str">
            <v/>
          </cell>
          <cell r="HL152">
            <v>0</v>
          </cell>
          <cell r="HM152" t="str">
            <v/>
          </cell>
          <cell r="HO152">
            <v>0</v>
          </cell>
          <cell r="HP152" t="str">
            <v/>
          </cell>
          <cell r="HR152">
            <v>0</v>
          </cell>
          <cell r="HS152" t="str">
            <v/>
          </cell>
          <cell r="HU152">
            <v>0</v>
          </cell>
          <cell r="HV152" t="str">
            <v/>
          </cell>
        </row>
        <row r="153">
          <cell r="DQ153">
            <v>0</v>
          </cell>
          <cell r="DR153" t="str">
            <v/>
          </cell>
          <cell r="DT153">
            <v>1.44</v>
          </cell>
          <cell r="DU153">
            <v>90079.166666666672</v>
          </cell>
          <cell r="DW153">
            <v>0</v>
          </cell>
          <cell r="DX153" t="str">
            <v/>
          </cell>
          <cell r="DZ153">
            <v>0</v>
          </cell>
          <cell r="EA153" t="str">
            <v/>
          </cell>
          <cell r="EC153">
            <v>0</v>
          </cell>
          <cell r="ED153" t="str">
            <v/>
          </cell>
          <cell r="EF153">
            <v>0</v>
          </cell>
          <cell r="EG153" t="str">
            <v/>
          </cell>
          <cell r="EI153">
            <v>0</v>
          </cell>
          <cell r="EJ153" t="str">
            <v/>
          </cell>
          <cell r="EL153">
            <v>0</v>
          </cell>
          <cell r="EM153" t="str">
            <v/>
          </cell>
          <cell r="EO153">
            <v>0</v>
          </cell>
          <cell r="EP153" t="str">
            <v/>
          </cell>
          <cell r="ER153">
            <v>0</v>
          </cell>
          <cell r="ES153" t="str">
            <v/>
          </cell>
          <cell r="EU153">
            <v>0</v>
          </cell>
          <cell r="EV153" t="str">
            <v/>
          </cell>
          <cell r="EX153">
            <v>0</v>
          </cell>
          <cell r="EY153" t="str">
            <v/>
          </cell>
          <cell r="FA153">
            <v>0</v>
          </cell>
          <cell r="FB153" t="str">
            <v/>
          </cell>
          <cell r="FD153">
            <v>0</v>
          </cell>
          <cell r="FE153" t="str">
            <v/>
          </cell>
          <cell r="FG153">
            <v>0</v>
          </cell>
          <cell r="FH153" t="str">
            <v/>
          </cell>
          <cell r="FJ153">
            <v>0.44999999999999996</v>
          </cell>
          <cell r="FK153">
            <v>54440.000000000007</v>
          </cell>
          <cell r="FM153">
            <v>0</v>
          </cell>
          <cell r="FN153" t="str">
            <v/>
          </cell>
          <cell r="FP153">
            <v>0</v>
          </cell>
          <cell r="FQ153" t="str">
            <v/>
          </cell>
          <cell r="FS153">
            <v>0</v>
          </cell>
          <cell r="FT153" t="str">
            <v/>
          </cell>
          <cell r="FV153">
            <v>0</v>
          </cell>
          <cell r="FW153" t="str">
            <v/>
          </cell>
          <cell r="FY153">
            <v>0</v>
          </cell>
          <cell r="FZ153" t="str">
            <v/>
          </cell>
          <cell r="GB153">
            <v>0.54</v>
          </cell>
          <cell r="GC153">
            <v>65955.555555555547</v>
          </cell>
          <cell r="GE153">
            <v>0</v>
          </cell>
          <cell r="GF153" t="str">
            <v/>
          </cell>
          <cell r="GH153">
            <v>0</v>
          </cell>
          <cell r="GI153" t="str">
            <v/>
          </cell>
          <cell r="GK153">
            <v>0</v>
          </cell>
          <cell r="GL153" t="str">
            <v/>
          </cell>
          <cell r="GN153">
            <v>0</v>
          </cell>
          <cell r="GO153" t="str">
            <v/>
          </cell>
          <cell r="GQ153">
            <v>0</v>
          </cell>
          <cell r="GR153" t="str">
            <v/>
          </cell>
          <cell r="GT153">
            <v>0</v>
          </cell>
          <cell r="GU153" t="str">
            <v/>
          </cell>
          <cell r="GW153">
            <v>16.23</v>
          </cell>
          <cell r="GX153">
            <v>46355.637707948241</v>
          </cell>
          <cell r="GZ153">
            <v>2.7</v>
          </cell>
          <cell r="HA153">
            <v>42212.222222222219</v>
          </cell>
          <cell r="HC153">
            <v>0</v>
          </cell>
          <cell r="HD153" t="str">
            <v/>
          </cell>
          <cell r="HF153">
            <v>0</v>
          </cell>
          <cell r="HG153" t="str">
            <v/>
          </cell>
          <cell r="HI153">
            <v>0</v>
          </cell>
          <cell r="HJ153" t="str">
            <v/>
          </cell>
          <cell r="HL153">
            <v>0</v>
          </cell>
          <cell r="HM153" t="str">
            <v/>
          </cell>
          <cell r="HO153">
            <v>1.26</v>
          </cell>
          <cell r="HP153">
            <v>33747.619047619046</v>
          </cell>
          <cell r="HR153">
            <v>0</v>
          </cell>
          <cell r="HS153" t="str">
            <v/>
          </cell>
          <cell r="HU153">
            <v>0</v>
          </cell>
          <cell r="HV153" t="str">
            <v/>
          </cell>
        </row>
        <row r="154">
          <cell r="DQ154">
            <v>0</v>
          </cell>
          <cell r="DR154" t="str">
            <v/>
          </cell>
          <cell r="DT154">
            <v>0.14000000000000001</v>
          </cell>
          <cell r="DU154">
            <v>89871.428571428565</v>
          </cell>
          <cell r="DW154">
            <v>0</v>
          </cell>
          <cell r="DX154" t="str">
            <v/>
          </cell>
          <cell r="DZ154">
            <v>0</v>
          </cell>
          <cell r="EA154" t="str">
            <v/>
          </cell>
          <cell r="EC154">
            <v>0</v>
          </cell>
          <cell r="ED154" t="str">
            <v/>
          </cell>
          <cell r="EF154">
            <v>0</v>
          </cell>
          <cell r="EG154" t="str">
            <v/>
          </cell>
          <cell r="EI154">
            <v>0</v>
          </cell>
          <cell r="EJ154" t="str">
            <v/>
          </cell>
          <cell r="EL154">
            <v>0</v>
          </cell>
          <cell r="EM154" t="str">
            <v/>
          </cell>
          <cell r="EO154">
            <v>0</v>
          </cell>
          <cell r="EP154" t="str">
            <v/>
          </cell>
          <cell r="ER154">
            <v>0</v>
          </cell>
          <cell r="ES154" t="str">
            <v/>
          </cell>
          <cell r="EU154">
            <v>0</v>
          </cell>
          <cell r="EV154" t="str">
            <v/>
          </cell>
          <cell r="EX154">
            <v>0</v>
          </cell>
          <cell r="EY154" t="str">
            <v/>
          </cell>
          <cell r="FA154">
            <v>0</v>
          </cell>
          <cell r="FB154" t="str">
            <v/>
          </cell>
          <cell r="FD154">
            <v>0</v>
          </cell>
          <cell r="FE154" t="str">
            <v/>
          </cell>
          <cell r="FG154">
            <v>0</v>
          </cell>
          <cell r="FH154" t="str">
            <v/>
          </cell>
          <cell r="FJ154">
            <v>0</v>
          </cell>
          <cell r="FK154" t="str">
            <v/>
          </cell>
          <cell r="FM154">
            <v>0</v>
          </cell>
          <cell r="FN154" t="str">
            <v/>
          </cell>
          <cell r="FP154">
            <v>0</v>
          </cell>
          <cell r="FQ154" t="str">
            <v/>
          </cell>
          <cell r="FS154">
            <v>0</v>
          </cell>
          <cell r="FT154" t="str">
            <v/>
          </cell>
          <cell r="FV154">
            <v>0</v>
          </cell>
          <cell r="FW154" t="str">
            <v/>
          </cell>
          <cell r="FY154">
            <v>0</v>
          </cell>
          <cell r="FZ154" t="str">
            <v/>
          </cell>
          <cell r="GB154">
            <v>0.06</v>
          </cell>
          <cell r="GC154">
            <v>55300</v>
          </cell>
          <cell r="GE154">
            <v>0</v>
          </cell>
          <cell r="GF154" t="str">
            <v/>
          </cell>
          <cell r="GH154">
            <v>0</v>
          </cell>
          <cell r="GI154" t="str">
            <v/>
          </cell>
          <cell r="GK154">
            <v>0</v>
          </cell>
          <cell r="GL154" t="str">
            <v/>
          </cell>
          <cell r="GN154">
            <v>0</v>
          </cell>
          <cell r="GO154" t="str">
            <v/>
          </cell>
          <cell r="GQ154">
            <v>0</v>
          </cell>
          <cell r="GR154" t="str">
            <v/>
          </cell>
          <cell r="GT154">
            <v>0</v>
          </cell>
          <cell r="GU154" t="str">
            <v/>
          </cell>
          <cell r="GW154">
            <v>2.2599999999999998</v>
          </cell>
          <cell r="GX154">
            <v>51018.584070796467</v>
          </cell>
          <cell r="GZ154">
            <v>0</v>
          </cell>
          <cell r="HA154" t="str">
            <v/>
          </cell>
          <cell r="HC154">
            <v>0</v>
          </cell>
          <cell r="HD154" t="str">
            <v/>
          </cell>
          <cell r="HF154">
            <v>0</v>
          </cell>
          <cell r="HG154" t="str">
            <v/>
          </cell>
          <cell r="HI154">
            <v>0</v>
          </cell>
          <cell r="HJ154" t="str">
            <v/>
          </cell>
          <cell r="HL154">
            <v>0</v>
          </cell>
          <cell r="HM154" t="str">
            <v/>
          </cell>
          <cell r="HO154">
            <v>0.16</v>
          </cell>
          <cell r="HP154">
            <v>34512.5</v>
          </cell>
          <cell r="HR154">
            <v>0</v>
          </cell>
          <cell r="HS154" t="str">
            <v/>
          </cell>
          <cell r="HU154">
            <v>0</v>
          </cell>
          <cell r="HV154" t="str">
            <v/>
          </cell>
        </row>
        <row r="155">
          <cell r="DQ155">
            <v>4</v>
          </cell>
          <cell r="DR155">
            <v>36577</v>
          </cell>
          <cell r="DT155">
            <v>0</v>
          </cell>
          <cell r="DU155" t="str">
            <v/>
          </cell>
          <cell r="DW155">
            <v>8</v>
          </cell>
          <cell r="DX155">
            <v>62292</v>
          </cell>
          <cell r="DZ155">
            <v>0</v>
          </cell>
          <cell r="EA155" t="str">
            <v/>
          </cell>
          <cell r="EC155">
            <v>0</v>
          </cell>
          <cell r="ED155" t="str">
            <v/>
          </cell>
          <cell r="EF155">
            <v>0</v>
          </cell>
          <cell r="EG155" t="str">
            <v/>
          </cell>
          <cell r="EI155">
            <v>0</v>
          </cell>
          <cell r="EJ155" t="str">
            <v/>
          </cell>
          <cell r="EL155">
            <v>0</v>
          </cell>
          <cell r="EM155" t="str">
            <v/>
          </cell>
          <cell r="EO155">
            <v>0</v>
          </cell>
          <cell r="EP155" t="str">
            <v/>
          </cell>
          <cell r="ER155">
            <v>0</v>
          </cell>
          <cell r="ES155" t="str">
            <v/>
          </cell>
          <cell r="EU155">
            <v>0</v>
          </cell>
          <cell r="EV155" t="str">
            <v/>
          </cell>
          <cell r="EX155">
            <v>0</v>
          </cell>
          <cell r="EY155" t="str">
            <v/>
          </cell>
          <cell r="FA155">
            <v>0</v>
          </cell>
          <cell r="FB155" t="str">
            <v/>
          </cell>
          <cell r="FD155">
            <v>0</v>
          </cell>
          <cell r="FE155" t="str">
            <v/>
          </cell>
          <cell r="FG155">
            <v>0</v>
          </cell>
          <cell r="FH155" t="str">
            <v/>
          </cell>
          <cell r="FJ155">
            <v>0</v>
          </cell>
          <cell r="FK155" t="str">
            <v/>
          </cell>
          <cell r="FM155">
            <v>0</v>
          </cell>
          <cell r="FN155" t="str">
            <v/>
          </cell>
          <cell r="FP155">
            <v>0</v>
          </cell>
          <cell r="FQ155" t="str">
            <v/>
          </cell>
          <cell r="FS155">
            <v>0</v>
          </cell>
          <cell r="FT155" t="str">
            <v/>
          </cell>
          <cell r="FV155">
            <v>0</v>
          </cell>
          <cell r="FW155" t="str">
            <v/>
          </cell>
          <cell r="FY155">
            <v>0</v>
          </cell>
          <cell r="FZ155" t="str">
            <v/>
          </cell>
          <cell r="GB155">
            <v>0</v>
          </cell>
          <cell r="GC155" t="str">
            <v/>
          </cell>
          <cell r="GE155">
            <v>0</v>
          </cell>
          <cell r="GF155" t="str">
            <v/>
          </cell>
          <cell r="GH155">
            <v>0</v>
          </cell>
          <cell r="GI155" t="str">
            <v/>
          </cell>
          <cell r="GK155">
            <v>0</v>
          </cell>
          <cell r="GL155" t="str">
            <v/>
          </cell>
          <cell r="GN155">
            <v>0</v>
          </cell>
          <cell r="GO155" t="str">
            <v/>
          </cell>
          <cell r="GQ155">
            <v>0</v>
          </cell>
          <cell r="GR155" t="str">
            <v/>
          </cell>
          <cell r="GT155">
            <v>0</v>
          </cell>
          <cell r="GU155" t="str">
            <v/>
          </cell>
          <cell r="GW155">
            <v>0</v>
          </cell>
          <cell r="GX155" t="str">
            <v/>
          </cell>
          <cell r="GZ155">
            <v>0</v>
          </cell>
          <cell r="HA155" t="str">
            <v/>
          </cell>
          <cell r="HC155">
            <v>0</v>
          </cell>
          <cell r="HD155" t="str">
            <v/>
          </cell>
          <cell r="HF155">
            <v>0</v>
          </cell>
          <cell r="HG155" t="str">
            <v/>
          </cell>
          <cell r="HI155">
            <v>0</v>
          </cell>
          <cell r="HJ155" t="str">
            <v/>
          </cell>
          <cell r="HL155">
            <v>64</v>
          </cell>
          <cell r="HM155">
            <v>22880</v>
          </cell>
          <cell r="HO155">
            <v>0</v>
          </cell>
          <cell r="HP155" t="str">
            <v/>
          </cell>
          <cell r="HR155">
            <v>0</v>
          </cell>
          <cell r="HS155" t="str">
            <v/>
          </cell>
          <cell r="HU155">
            <v>0</v>
          </cell>
          <cell r="HV155" t="str">
            <v/>
          </cell>
        </row>
        <row r="156">
          <cell r="DQ156">
            <v>0</v>
          </cell>
          <cell r="DR156" t="str">
            <v/>
          </cell>
          <cell r="DT156">
            <v>0</v>
          </cell>
          <cell r="DU156" t="str">
            <v/>
          </cell>
          <cell r="DW156">
            <v>0</v>
          </cell>
          <cell r="DX156" t="str">
            <v/>
          </cell>
          <cell r="DZ156">
            <v>0</v>
          </cell>
          <cell r="EA156" t="str">
            <v/>
          </cell>
          <cell r="EC156">
            <v>0</v>
          </cell>
          <cell r="ED156" t="str">
            <v/>
          </cell>
          <cell r="EF156">
            <v>0</v>
          </cell>
          <cell r="EG156" t="str">
            <v/>
          </cell>
          <cell r="EI156">
            <v>0</v>
          </cell>
          <cell r="EJ156" t="str">
            <v/>
          </cell>
          <cell r="EL156">
            <v>0</v>
          </cell>
          <cell r="EM156" t="str">
            <v/>
          </cell>
          <cell r="EO156">
            <v>0</v>
          </cell>
          <cell r="EP156" t="str">
            <v/>
          </cell>
          <cell r="ER156">
            <v>0</v>
          </cell>
          <cell r="ES156" t="str">
            <v/>
          </cell>
          <cell r="EU156">
            <v>0</v>
          </cell>
          <cell r="EV156" t="str">
            <v/>
          </cell>
          <cell r="EX156">
            <v>0</v>
          </cell>
          <cell r="EY156" t="str">
            <v/>
          </cell>
          <cell r="FA156">
            <v>0</v>
          </cell>
          <cell r="FB156" t="str">
            <v/>
          </cell>
          <cell r="FD156">
            <v>0</v>
          </cell>
          <cell r="FE156" t="str">
            <v/>
          </cell>
          <cell r="FG156">
            <v>0</v>
          </cell>
          <cell r="FH156" t="str">
            <v/>
          </cell>
          <cell r="FJ156">
            <v>0</v>
          </cell>
          <cell r="FK156" t="str">
            <v/>
          </cell>
          <cell r="FM156">
            <v>0</v>
          </cell>
          <cell r="FN156" t="str">
            <v/>
          </cell>
          <cell r="FP156">
            <v>0</v>
          </cell>
          <cell r="FQ156" t="str">
            <v/>
          </cell>
          <cell r="FS156">
            <v>0</v>
          </cell>
          <cell r="FT156" t="str">
            <v/>
          </cell>
          <cell r="FV156">
            <v>0</v>
          </cell>
          <cell r="FW156" t="str">
            <v/>
          </cell>
          <cell r="FY156">
            <v>0</v>
          </cell>
          <cell r="FZ156" t="str">
            <v/>
          </cell>
          <cell r="GB156">
            <v>0</v>
          </cell>
          <cell r="GC156" t="str">
            <v/>
          </cell>
          <cell r="GE156">
            <v>0</v>
          </cell>
          <cell r="GF156" t="str">
            <v/>
          </cell>
          <cell r="GH156">
            <v>0</v>
          </cell>
          <cell r="GI156" t="str">
            <v/>
          </cell>
          <cell r="GK156">
            <v>0</v>
          </cell>
          <cell r="GL156" t="str">
            <v/>
          </cell>
          <cell r="GN156">
            <v>0</v>
          </cell>
          <cell r="GO156" t="str">
            <v/>
          </cell>
          <cell r="GQ156">
            <v>0</v>
          </cell>
          <cell r="GR156" t="str">
            <v/>
          </cell>
          <cell r="GT156">
            <v>0</v>
          </cell>
          <cell r="GU156" t="str">
            <v/>
          </cell>
          <cell r="GW156">
            <v>0</v>
          </cell>
          <cell r="GX156" t="str">
            <v/>
          </cell>
          <cell r="GZ156">
            <v>0</v>
          </cell>
          <cell r="HA156" t="str">
            <v/>
          </cell>
          <cell r="HC156">
            <v>0</v>
          </cell>
          <cell r="HD156" t="str">
            <v/>
          </cell>
          <cell r="HF156">
            <v>0</v>
          </cell>
          <cell r="HG156" t="str">
            <v/>
          </cell>
          <cell r="HI156">
            <v>0</v>
          </cell>
          <cell r="HJ156" t="str">
            <v/>
          </cell>
          <cell r="HL156">
            <v>0</v>
          </cell>
          <cell r="HM156" t="str">
            <v/>
          </cell>
          <cell r="HO156">
            <v>0</v>
          </cell>
          <cell r="HP156" t="str">
            <v/>
          </cell>
          <cell r="HR156">
            <v>0</v>
          </cell>
          <cell r="HS156" t="str">
            <v/>
          </cell>
          <cell r="HU156">
            <v>0</v>
          </cell>
          <cell r="HV156" t="str">
            <v/>
          </cell>
        </row>
        <row r="157">
          <cell r="DQ157">
            <v>3.7499999999999999E-2</v>
          </cell>
          <cell r="DR157">
            <v>78026.666666666672</v>
          </cell>
          <cell r="DT157">
            <v>0.05</v>
          </cell>
          <cell r="DU157">
            <v>60700</v>
          </cell>
          <cell r="DW157">
            <v>0</v>
          </cell>
          <cell r="DX157" t="str">
            <v/>
          </cell>
          <cell r="DZ157">
            <v>0</v>
          </cell>
          <cell r="EA157" t="str">
            <v/>
          </cell>
          <cell r="EC157">
            <v>0</v>
          </cell>
          <cell r="ED157" t="str">
            <v/>
          </cell>
          <cell r="EF157">
            <v>0</v>
          </cell>
          <cell r="EG157" t="str">
            <v/>
          </cell>
          <cell r="EI157">
            <v>0</v>
          </cell>
          <cell r="EJ157" t="str">
            <v/>
          </cell>
          <cell r="EL157">
            <v>0</v>
          </cell>
          <cell r="EM157" t="str">
            <v/>
          </cell>
          <cell r="EO157">
            <v>0</v>
          </cell>
          <cell r="EP157" t="str">
            <v/>
          </cell>
          <cell r="ER157">
            <v>0</v>
          </cell>
          <cell r="ES157" t="str">
            <v/>
          </cell>
          <cell r="EU157">
            <v>0</v>
          </cell>
          <cell r="EV157" t="str">
            <v/>
          </cell>
          <cell r="EX157">
            <v>0</v>
          </cell>
          <cell r="EY157" t="str">
            <v/>
          </cell>
          <cell r="FA157">
            <v>0</v>
          </cell>
          <cell r="FB157" t="str">
            <v/>
          </cell>
          <cell r="FD157">
            <v>0</v>
          </cell>
          <cell r="FE157" t="str">
            <v/>
          </cell>
          <cell r="FG157">
            <v>0</v>
          </cell>
          <cell r="FH157" t="str">
            <v/>
          </cell>
          <cell r="FJ157">
            <v>0</v>
          </cell>
          <cell r="FK157" t="str">
            <v/>
          </cell>
          <cell r="FM157">
            <v>0</v>
          </cell>
          <cell r="FN157" t="str">
            <v/>
          </cell>
          <cell r="FP157">
            <v>0</v>
          </cell>
          <cell r="FQ157" t="str">
            <v/>
          </cell>
          <cell r="FS157">
            <v>0</v>
          </cell>
          <cell r="FT157" t="str">
            <v/>
          </cell>
          <cell r="FV157">
            <v>0</v>
          </cell>
          <cell r="FW157" t="str">
            <v/>
          </cell>
          <cell r="FY157">
            <v>0</v>
          </cell>
          <cell r="FZ157" t="str">
            <v/>
          </cell>
          <cell r="GB157">
            <v>0</v>
          </cell>
          <cell r="GC157" t="str">
            <v/>
          </cell>
          <cell r="GE157">
            <v>0</v>
          </cell>
          <cell r="GF157" t="str">
            <v/>
          </cell>
          <cell r="GH157">
            <v>0</v>
          </cell>
          <cell r="GI157" t="str">
            <v/>
          </cell>
          <cell r="GK157">
            <v>0</v>
          </cell>
          <cell r="GL157" t="str">
            <v/>
          </cell>
          <cell r="GN157">
            <v>0</v>
          </cell>
          <cell r="GO157" t="str">
            <v/>
          </cell>
          <cell r="GQ157">
            <v>0</v>
          </cell>
          <cell r="GR157" t="str">
            <v/>
          </cell>
          <cell r="GT157">
            <v>0</v>
          </cell>
          <cell r="GU157" t="str">
            <v/>
          </cell>
          <cell r="GW157">
            <v>0</v>
          </cell>
          <cell r="GX157" t="str">
            <v/>
          </cell>
          <cell r="GZ157">
            <v>0.01</v>
          </cell>
          <cell r="HA157">
            <v>43200</v>
          </cell>
          <cell r="HC157">
            <v>0</v>
          </cell>
          <cell r="HD157" t="str">
            <v/>
          </cell>
          <cell r="HF157">
            <v>0</v>
          </cell>
          <cell r="HG157" t="str">
            <v/>
          </cell>
          <cell r="HI157">
            <v>0</v>
          </cell>
          <cell r="HJ157" t="str">
            <v/>
          </cell>
          <cell r="HL157">
            <v>0.64</v>
          </cell>
          <cell r="HM157">
            <v>31312.5</v>
          </cell>
          <cell r="HO157">
            <v>0</v>
          </cell>
          <cell r="HP157" t="str">
            <v/>
          </cell>
          <cell r="HR157">
            <v>0</v>
          </cell>
          <cell r="HS157" t="str">
            <v/>
          </cell>
          <cell r="HU157">
            <v>0</v>
          </cell>
          <cell r="HV157" t="str">
            <v/>
          </cell>
        </row>
        <row r="158">
          <cell r="DQ158">
            <v>0</v>
          </cell>
          <cell r="DR158" t="str">
            <v/>
          </cell>
          <cell r="DT158">
            <v>0</v>
          </cell>
          <cell r="DU158" t="str">
            <v/>
          </cell>
          <cell r="DW158">
            <v>0</v>
          </cell>
          <cell r="DX158" t="str">
            <v/>
          </cell>
          <cell r="DZ158">
            <v>0</v>
          </cell>
          <cell r="EA158" t="str">
            <v/>
          </cell>
          <cell r="EC158">
            <v>0</v>
          </cell>
          <cell r="ED158" t="str">
            <v/>
          </cell>
          <cell r="EF158">
            <v>0</v>
          </cell>
          <cell r="EG158" t="str">
            <v/>
          </cell>
          <cell r="EI158">
            <v>0</v>
          </cell>
          <cell r="EJ158" t="str">
            <v/>
          </cell>
          <cell r="EL158">
            <v>0</v>
          </cell>
          <cell r="EM158" t="str">
            <v/>
          </cell>
          <cell r="EO158">
            <v>0</v>
          </cell>
          <cell r="EP158" t="str">
            <v/>
          </cell>
          <cell r="ER158">
            <v>0</v>
          </cell>
          <cell r="ES158" t="str">
            <v/>
          </cell>
          <cell r="EU158">
            <v>0</v>
          </cell>
          <cell r="EV158" t="str">
            <v/>
          </cell>
          <cell r="EX158">
            <v>0</v>
          </cell>
          <cell r="EY158" t="str">
            <v/>
          </cell>
          <cell r="FA158">
            <v>0</v>
          </cell>
          <cell r="FB158" t="str">
            <v/>
          </cell>
          <cell r="FD158">
            <v>0</v>
          </cell>
          <cell r="FE158" t="str">
            <v/>
          </cell>
          <cell r="FG158">
            <v>0</v>
          </cell>
          <cell r="FH158" t="str">
            <v/>
          </cell>
          <cell r="FJ158">
            <v>0</v>
          </cell>
          <cell r="FK158" t="str">
            <v/>
          </cell>
          <cell r="FM158">
            <v>0</v>
          </cell>
          <cell r="FN158" t="str">
            <v/>
          </cell>
          <cell r="FP158">
            <v>0</v>
          </cell>
          <cell r="FQ158" t="str">
            <v/>
          </cell>
          <cell r="FS158">
            <v>0</v>
          </cell>
          <cell r="FT158" t="str">
            <v/>
          </cell>
          <cell r="FV158">
            <v>0</v>
          </cell>
          <cell r="FW158" t="str">
            <v/>
          </cell>
          <cell r="FY158">
            <v>0</v>
          </cell>
          <cell r="FZ158" t="str">
            <v/>
          </cell>
          <cell r="GB158">
            <v>0</v>
          </cell>
          <cell r="GC158" t="str">
            <v/>
          </cell>
          <cell r="GE158">
            <v>0</v>
          </cell>
          <cell r="GF158" t="str">
            <v/>
          </cell>
          <cell r="GH158">
            <v>0</v>
          </cell>
          <cell r="GI158" t="str">
            <v/>
          </cell>
          <cell r="GK158">
            <v>0</v>
          </cell>
          <cell r="GL158" t="str">
            <v/>
          </cell>
          <cell r="GN158">
            <v>0</v>
          </cell>
          <cell r="GO158" t="str">
            <v/>
          </cell>
          <cell r="GQ158">
            <v>0</v>
          </cell>
          <cell r="GR158" t="str">
            <v/>
          </cell>
          <cell r="GT158">
            <v>0</v>
          </cell>
          <cell r="GU158" t="str">
            <v/>
          </cell>
          <cell r="GW158">
            <v>0</v>
          </cell>
          <cell r="GX158" t="str">
            <v/>
          </cell>
          <cell r="GZ158">
            <v>0</v>
          </cell>
          <cell r="HA158" t="str">
            <v/>
          </cell>
          <cell r="HC158">
            <v>0</v>
          </cell>
          <cell r="HD158" t="str">
            <v/>
          </cell>
          <cell r="HF158">
            <v>0</v>
          </cell>
          <cell r="HG158" t="str">
            <v/>
          </cell>
          <cell r="HI158">
            <v>0</v>
          </cell>
          <cell r="HJ158" t="str">
            <v/>
          </cell>
          <cell r="HL158">
            <v>0</v>
          </cell>
          <cell r="HM158" t="str">
            <v/>
          </cell>
          <cell r="HO158">
            <v>0</v>
          </cell>
          <cell r="HP158" t="str">
            <v/>
          </cell>
          <cell r="HR158">
            <v>0</v>
          </cell>
          <cell r="HS158" t="str">
            <v/>
          </cell>
          <cell r="HU158">
            <v>0</v>
          </cell>
          <cell r="HV158" t="str">
            <v/>
          </cell>
        </row>
        <row r="159">
          <cell r="DQ159">
            <v>4.3799999999999999E-2</v>
          </cell>
          <cell r="DR159">
            <v>56004.566210045661</v>
          </cell>
          <cell r="DT159">
            <v>3.2199999999999999E-2</v>
          </cell>
          <cell r="DU159">
            <v>78043.478260869568</v>
          </cell>
          <cell r="DW159">
            <v>0</v>
          </cell>
          <cell r="DX159" t="str">
            <v/>
          </cell>
          <cell r="DZ159">
            <v>0</v>
          </cell>
          <cell r="EA159" t="str">
            <v/>
          </cell>
          <cell r="EC159">
            <v>0</v>
          </cell>
          <cell r="ED159" t="str">
            <v/>
          </cell>
          <cell r="EF159">
            <v>0</v>
          </cell>
          <cell r="EG159" t="str">
            <v/>
          </cell>
          <cell r="EI159">
            <v>0</v>
          </cell>
          <cell r="EJ159" t="str">
            <v/>
          </cell>
          <cell r="EL159">
            <v>0</v>
          </cell>
          <cell r="EM159" t="str">
            <v/>
          </cell>
          <cell r="EO159">
            <v>0</v>
          </cell>
          <cell r="EP159" t="str">
            <v/>
          </cell>
          <cell r="ER159">
            <v>0</v>
          </cell>
          <cell r="ES159" t="str">
            <v/>
          </cell>
          <cell r="EU159">
            <v>0</v>
          </cell>
          <cell r="EV159" t="str">
            <v/>
          </cell>
          <cell r="EX159">
            <v>0</v>
          </cell>
          <cell r="EY159" t="str">
            <v/>
          </cell>
          <cell r="FA159">
            <v>0</v>
          </cell>
          <cell r="FB159" t="str">
            <v/>
          </cell>
          <cell r="FD159">
            <v>0</v>
          </cell>
          <cell r="FE159" t="str">
            <v/>
          </cell>
          <cell r="FG159">
            <v>0</v>
          </cell>
          <cell r="FH159" t="str">
            <v/>
          </cell>
          <cell r="FJ159">
            <v>0</v>
          </cell>
          <cell r="FK159" t="str">
            <v/>
          </cell>
          <cell r="FM159">
            <v>0</v>
          </cell>
          <cell r="FN159" t="str">
            <v/>
          </cell>
          <cell r="FP159">
            <v>0</v>
          </cell>
          <cell r="FQ159" t="str">
            <v/>
          </cell>
          <cell r="FS159">
            <v>0</v>
          </cell>
          <cell r="FT159" t="str">
            <v/>
          </cell>
          <cell r="FV159">
            <v>0</v>
          </cell>
          <cell r="FW159" t="str">
            <v/>
          </cell>
          <cell r="FY159">
            <v>0</v>
          </cell>
          <cell r="FZ159" t="str">
            <v/>
          </cell>
          <cell r="GB159">
            <v>0</v>
          </cell>
          <cell r="GC159" t="str">
            <v/>
          </cell>
          <cell r="GE159">
            <v>0</v>
          </cell>
          <cell r="GF159" t="str">
            <v/>
          </cell>
          <cell r="GH159">
            <v>0</v>
          </cell>
          <cell r="GI159" t="str">
            <v/>
          </cell>
          <cell r="GK159">
            <v>0</v>
          </cell>
          <cell r="GL159" t="str">
            <v/>
          </cell>
          <cell r="GN159">
            <v>0</v>
          </cell>
          <cell r="GO159" t="str">
            <v/>
          </cell>
          <cell r="GQ159">
            <v>0</v>
          </cell>
          <cell r="GR159" t="str">
            <v/>
          </cell>
          <cell r="GT159">
            <v>0</v>
          </cell>
          <cell r="GU159" t="str">
            <v/>
          </cell>
          <cell r="GW159">
            <v>0</v>
          </cell>
          <cell r="GX159" t="str">
            <v/>
          </cell>
          <cell r="GZ159">
            <v>2.5000000000000001E-2</v>
          </cell>
          <cell r="HA159">
            <v>38400</v>
          </cell>
          <cell r="HC159">
            <v>0</v>
          </cell>
          <cell r="HD159" t="str">
            <v/>
          </cell>
          <cell r="HF159">
            <v>0</v>
          </cell>
          <cell r="HG159" t="str">
            <v/>
          </cell>
          <cell r="HI159">
            <v>0</v>
          </cell>
          <cell r="HJ159" t="str">
            <v/>
          </cell>
          <cell r="HL159">
            <v>0</v>
          </cell>
          <cell r="HM159" t="str">
            <v/>
          </cell>
          <cell r="HO159">
            <v>0</v>
          </cell>
          <cell r="HP159" t="str">
            <v/>
          </cell>
          <cell r="HR159">
            <v>0</v>
          </cell>
          <cell r="HS159" t="str">
            <v/>
          </cell>
          <cell r="HU159">
            <v>0</v>
          </cell>
          <cell r="HV159" t="str">
            <v/>
          </cell>
        </row>
        <row r="160">
          <cell r="DQ160">
            <v>0</v>
          </cell>
          <cell r="DR160" t="str">
            <v/>
          </cell>
          <cell r="DT160">
            <v>8.9999999999999993E-3</v>
          </cell>
          <cell r="DU160">
            <v>57000.000000000007</v>
          </cell>
          <cell r="DW160">
            <v>0</v>
          </cell>
          <cell r="DX160" t="str">
            <v/>
          </cell>
          <cell r="DZ160">
            <v>0</v>
          </cell>
          <cell r="EA160" t="str">
            <v/>
          </cell>
          <cell r="EC160">
            <v>0</v>
          </cell>
          <cell r="ED160" t="str">
            <v/>
          </cell>
          <cell r="EF160">
            <v>0</v>
          </cell>
          <cell r="EG160" t="str">
            <v/>
          </cell>
          <cell r="EI160">
            <v>0</v>
          </cell>
          <cell r="EJ160" t="str">
            <v/>
          </cell>
          <cell r="EL160">
            <v>0</v>
          </cell>
          <cell r="EM160" t="str">
            <v/>
          </cell>
          <cell r="EO160">
            <v>0</v>
          </cell>
          <cell r="EP160" t="str">
            <v/>
          </cell>
          <cell r="ER160">
            <v>0</v>
          </cell>
          <cell r="ES160" t="str">
            <v/>
          </cell>
          <cell r="EU160">
            <v>0</v>
          </cell>
          <cell r="EV160" t="str">
            <v/>
          </cell>
          <cell r="EX160">
            <v>0</v>
          </cell>
          <cell r="EY160" t="str">
            <v/>
          </cell>
          <cell r="FA160">
            <v>0</v>
          </cell>
          <cell r="FB160" t="str">
            <v/>
          </cell>
          <cell r="FD160">
            <v>0</v>
          </cell>
          <cell r="FE160" t="str">
            <v/>
          </cell>
          <cell r="FG160">
            <v>0</v>
          </cell>
          <cell r="FH160" t="str">
            <v/>
          </cell>
          <cell r="FJ160">
            <v>0</v>
          </cell>
          <cell r="FK160" t="str">
            <v/>
          </cell>
          <cell r="FM160">
            <v>0</v>
          </cell>
          <cell r="FN160" t="str">
            <v/>
          </cell>
          <cell r="FP160">
            <v>0</v>
          </cell>
          <cell r="FQ160" t="str">
            <v/>
          </cell>
          <cell r="FS160">
            <v>0</v>
          </cell>
          <cell r="FT160" t="str">
            <v/>
          </cell>
          <cell r="FV160">
            <v>0</v>
          </cell>
          <cell r="FW160" t="str">
            <v/>
          </cell>
          <cell r="FY160">
            <v>0</v>
          </cell>
          <cell r="FZ160" t="str">
            <v/>
          </cell>
          <cell r="GB160">
            <v>0</v>
          </cell>
          <cell r="GC160" t="str">
            <v/>
          </cell>
          <cell r="GE160">
            <v>0</v>
          </cell>
          <cell r="GF160" t="str">
            <v/>
          </cell>
          <cell r="GH160">
            <v>0</v>
          </cell>
          <cell r="GI160" t="str">
            <v/>
          </cell>
          <cell r="GK160">
            <v>0</v>
          </cell>
          <cell r="GL160" t="str">
            <v/>
          </cell>
          <cell r="GN160">
            <v>0</v>
          </cell>
          <cell r="GO160" t="str">
            <v/>
          </cell>
          <cell r="GQ160">
            <v>0</v>
          </cell>
          <cell r="GR160" t="str">
            <v/>
          </cell>
          <cell r="GT160">
            <v>0</v>
          </cell>
          <cell r="GU160" t="str">
            <v/>
          </cell>
          <cell r="GW160">
            <v>0</v>
          </cell>
          <cell r="GX160" t="str">
            <v/>
          </cell>
          <cell r="GZ160">
            <v>2.1999999999999999E-2</v>
          </cell>
          <cell r="HA160">
            <v>37272.727272727272</v>
          </cell>
          <cell r="HC160">
            <v>0</v>
          </cell>
          <cell r="HD160" t="str">
            <v/>
          </cell>
          <cell r="HF160">
            <v>0</v>
          </cell>
          <cell r="HG160" t="str">
            <v/>
          </cell>
          <cell r="HI160">
            <v>0</v>
          </cell>
          <cell r="HJ160" t="str">
            <v/>
          </cell>
          <cell r="HL160">
            <v>6.7000000000000004E-2</v>
          </cell>
          <cell r="HM160">
            <v>31208.955223880595</v>
          </cell>
          <cell r="HO160">
            <v>0</v>
          </cell>
          <cell r="HP160" t="str">
            <v/>
          </cell>
          <cell r="HR160">
            <v>0</v>
          </cell>
          <cell r="HS160" t="str">
            <v/>
          </cell>
          <cell r="HU160">
            <v>0</v>
          </cell>
          <cell r="HV160" t="str">
            <v/>
          </cell>
        </row>
        <row r="161">
          <cell r="DQ161">
            <v>2</v>
          </cell>
          <cell r="DR161">
            <v>41054</v>
          </cell>
          <cell r="DT161">
            <v>3.4000000000000002E-2</v>
          </cell>
          <cell r="DU161">
            <v>80352.941176470587</v>
          </cell>
          <cell r="DW161">
            <v>0</v>
          </cell>
          <cell r="DX161" t="str">
            <v/>
          </cell>
          <cell r="DZ161">
            <v>0</v>
          </cell>
          <cell r="EA161" t="str">
            <v/>
          </cell>
          <cell r="EC161">
            <v>0</v>
          </cell>
          <cell r="ED161" t="str">
            <v/>
          </cell>
          <cell r="EF161">
            <v>0</v>
          </cell>
          <cell r="EG161" t="str">
            <v/>
          </cell>
          <cell r="EI161">
            <v>0</v>
          </cell>
          <cell r="EJ161" t="str">
            <v/>
          </cell>
          <cell r="EL161">
            <v>0</v>
          </cell>
          <cell r="EM161" t="str">
            <v/>
          </cell>
          <cell r="EO161">
            <v>0</v>
          </cell>
          <cell r="EP161" t="str">
            <v/>
          </cell>
          <cell r="ER161">
            <v>0</v>
          </cell>
          <cell r="ES161" t="str">
            <v/>
          </cell>
          <cell r="EU161">
            <v>0</v>
          </cell>
          <cell r="EV161" t="str">
            <v/>
          </cell>
          <cell r="EX161">
            <v>0</v>
          </cell>
          <cell r="EY161" t="str">
            <v/>
          </cell>
          <cell r="FA161">
            <v>0</v>
          </cell>
          <cell r="FB161" t="str">
            <v/>
          </cell>
          <cell r="FD161">
            <v>0</v>
          </cell>
          <cell r="FE161" t="str">
            <v/>
          </cell>
          <cell r="FG161">
            <v>0</v>
          </cell>
          <cell r="FH161" t="str">
            <v/>
          </cell>
          <cell r="FJ161">
            <v>0</v>
          </cell>
          <cell r="FK161" t="str">
            <v/>
          </cell>
          <cell r="FM161">
            <v>0</v>
          </cell>
          <cell r="FN161" t="str">
            <v/>
          </cell>
          <cell r="FP161">
            <v>0</v>
          </cell>
          <cell r="FQ161" t="str">
            <v/>
          </cell>
          <cell r="FS161">
            <v>0</v>
          </cell>
          <cell r="FT161" t="str">
            <v/>
          </cell>
          <cell r="FV161">
            <v>0</v>
          </cell>
          <cell r="FW161" t="str">
            <v/>
          </cell>
          <cell r="FY161">
            <v>0</v>
          </cell>
          <cell r="FZ161" t="str">
            <v/>
          </cell>
          <cell r="GB161">
            <v>0</v>
          </cell>
          <cell r="GC161" t="str">
            <v/>
          </cell>
          <cell r="GE161">
            <v>0</v>
          </cell>
          <cell r="GF161" t="str">
            <v/>
          </cell>
          <cell r="GH161">
            <v>0</v>
          </cell>
          <cell r="GI161" t="str">
            <v/>
          </cell>
          <cell r="GK161">
            <v>0</v>
          </cell>
          <cell r="GL161" t="str">
            <v/>
          </cell>
          <cell r="GN161">
            <v>0</v>
          </cell>
          <cell r="GO161" t="str">
            <v/>
          </cell>
          <cell r="GQ161">
            <v>0</v>
          </cell>
          <cell r="GR161" t="str">
            <v/>
          </cell>
          <cell r="GT161">
            <v>0</v>
          </cell>
          <cell r="GU161" t="str">
            <v/>
          </cell>
          <cell r="GW161">
            <v>0</v>
          </cell>
          <cell r="GX161" t="str">
            <v/>
          </cell>
          <cell r="GZ161">
            <v>2</v>
          </cell>
          <cell r="HA161">
            <v>39765</v>
          </cell>
          <cell r="HC161">
            <v>0</v>
          </cell>
          <cell r="HD161" t="str">
            <v/>
          </cell>
          <cell r="HF161">
            <v>0</v>
          </cell>
          <cell r="HG161" t="str">
            <v/>
          </cell>
          <cell r="HI161">
            <v>0</v>
          </cell>
          <cell r="HJ161" t="str">
            <v/>
          </cell>
          <cell r="HL161">
            <v>7.04</v>
          </cell>
          <cell r="HM161">
            <v>29974.147727272728</v>
          </cell>
          <cell r="HO161">
            <v>0</v>
          </cell>
          <cell r="HP161" t="str">
            <v/>
          </cell>
          <cell r="HR161">
            <v>0</v>
          </cell>
          <cell r="HS161" t="str">
            <v/>
          </cell>
          <cell r="HU161">
            <v>0</v>
          </cell>
          <cell r="HV161" t="str">
            <v/>
          </cell>
        </row>
        <row r="162">
          <cell r="DQ162">
            <v>1</v>
          </cell>
          <cell r="DR162">
            <v>67689</v>
          </cell>
          <cell r="DT162">
            <v>0.6</v>
          </cell>
          <cell r="DU162">
            <v>77421.666666666672</v>
          </cell>
          <cell r="DW162">
            <v>0</v>
          </cell>
          <cell r="DX162" t="str">
            <v/>
          </cell>
          <cell r="DZ162">
            <v>0</v>
          </cell>
          <cell r="EA162" t="str">
            <v/>
          </cell>
          <cell r="EC162">
            <v>0</v>
          </cell>
          <cell r="ED162" t="str">
            <v/>
          </cell>
          <cell r="EF162">
            <v>0</v>
          </cell>
          <cell r="EG162" t="str">
            <v/>
          </cell>
          <cell r="EI162">
            <v>0</v>
          </cell>
          <cell r="EJ162" t="str">
            <v/>
          </cell>
          <cell r="EL162">
            <v>0</v>
          </cell>
          <cell r="EM162" t="str">
            <v/>
          </cell>
          <cell r="EO162">
            <v>0</v>
          </cell>
          <cell r="EP162" t="str">
            <v/>
          </cell>
          <cell r="ER162">
            <v>0</v>
          </cell>
          <cell r="ES162" t="str">
            <v/>
          </cell>
          <cell r="EU162">
            <v>0</v>
          </cell>
          <cell r="EV162" t="str">
            <v/>
          </cell>
          <cell r="EX162">
            <v>0</v>
          </cell>
          <cell r="EY162" t="str">
            <v/>
          </cell>
          <cell r="FA162">
            <v>0</v>
          </cell>
          <cell r="FB162" t="str">
            <v/>
          </cell>
          <cell r="FD162">
            <v>0</v>
          </cell>
          <cell r="FE162" t="str">
            <v/>
          </cell>
          <cell r="FG162">
            <v>0</v>
          </cell>
          <cell r="FH162" t="str">
            <v/>
          </cell>
          <cell r="FJ162">
            <v>0</v>
          </cell>
          <cell r="FK162" t="str">
            <v/>
          </cell>
          <cell r="FM162">
            <v>0</v>
          </cell>
          <cell r="FN162" t="str">
            <v/>
          </cell>
          <cell r="FP162">
            <v>0</v>
          </cell>
          <cell r="FQ162" t="str">
            <v/>
          </cell>
          <cell r="FS162">
            <v>0</v>
          </cell>
          <cell r="FT162" t="str">
            <v/>
          </cell>
          <cell r="FV162">
            <v>0</v>
          </cell>
          <cell r="FW162" t="str">
            <v/>
          </cell>
          <cell r="FY162">
            <v>0</v>
          </cell>
          <cell r="FZ162" t="str">
            <v/>
          </cell>
          <cell r="GB162">
            <v>0</v>
          </cell>
          <cell r="GC162" t="str">
            <v/>
          </cell>
          <cell r="GE162">
            <v>1.33</v>
          </cell>
          <cell r="GF162">
            <v>42146.616541353382</v>
          </cell>
          <cell r="GH162">
            <v>0</v>
          </cell>
          <cell r="GI162" t="str">
            <v/>
          </cell>
          <cell r="GK162">
            <v>0</v>
          </cell>
          <cell r="GL162" t="str">
            <v/>
          </cell>
          <cell r="GN162">
            <v>0</v>
          </cell>
          <cell r="GO162" t="str">
            <v/>
          </cell>
          <cell r="GQ162">
            <v>0</v>
          </cell>
          <cell r="GR162" t="str">
            <v/>
          </cell>
          <cell r="GT162">
            <v>0</v>
          </cell>
          <cell r="GU162" t="str">
            <v/>
          </cell>
          <cell r="GW162">
            <v>0</v>
          </cell>
          <cell r="GX162" t="str">
            <v/>
          </cell>
          <cell r="GZ162">
            <v>0</v>
          </cell>
          <cell r="HA162" t="str">
            <v/>
          </cell>
          <cell r="HC162">
            <v>0</v>
          </cell>
          <cell r="HD162" t="str">
            <v/>
          </cell>
          <cell r="HF162">
            <v>0</v>
          </cell>
          <cell r="HG162" t="str">
            <v/>
          </cell>
          <cell r="HI162">
            <v>0</v>
          </cell>
          <cell r="HJ162" t="str">
            <v/>
          </cell>
          <cell r="HL162">
            <v>2</v>
          </cell>
          <cell r="HM162">
            <v>33175</v>
          </cell>
          <cell r="HO162">
            <v>0</v>
          </cell>
          <cell r="HP162" t="str">
            <v/>
          </cell>
          <cell r="HR162">
            <v>0</v>
          </cell>
          <cell r="HS162" t="str">
            <v/>
          </cell>
          <cell r="HU162">
            <v>0</v>
          </cell>
          <cell r="HV162" t="str">
            <v/>
          </cell>
        </row>
        <row r="163">
          <cell r="DQ163">
            <v>1</v>
          </cell>
          <cell r="DR163">
            <v>50029</v>
          </cell>
          <cell r="DT163">
            <v>0.12</v>
          </cell>
          <cell r="DU163">
            <v>54600</v>
          </cell>
          <cell r="DW163">
            <v>0.12</v>
          </cell>
          <cell r="DX163">
            <v>62375</v>
          </cell>
          <cell r="DZ163">
            <v>0.5</v>
          </cell>
          <cell r="EA163">
            <v>55654</v>
          </cell>
          <cell r="EC163">
            <v>0</v>
          </cell>
          <cell r="ED163" t="str">
            <v/>
          </cell>
          <cell r="EF163">
            <v>0</v>
          </cell>
          <cell r="EG163" t="str">
            <v/>
          </cell>
          <cell r="EI163">
            <v>0</v>
          </cell>
          <cell r="EJ163" t="str">
            <v/>
          </cell>
          <cell r="EL163">
            <v>0.15</v>
          </cell>
          <cell r="EM163">
            <v>81573.333333333343</v>
          </cell>
          <cell r="EO163">
            <v>0</v>
          </cell>
          <cell r="EP163" t="str">
            <v/>
          </cell>
          <cell r="ER163">
            <v>0</v>
          </cell>
          <cell r="ES163" t="str">
            <v/>
          </cell>
          <cell r="EU163">
            <v>0</v>
          </cell>
          <cell r="EV163" t="str">
            <v/>
          </cell>
          <cell r="EX163">
            <v>0</v>
          </cell>
          <cell r="EY163" t="str">
            <v/>
          </cell>
          <cell r="FA163">
            <v>0</v>
          </cell>
          <cell r="FB163" t="str">
            <v/>
          </cell>
          <cell r="FD163">
            <v>0</v>
          </cell>
          <cell r="FE163" t="str">
            <v/>
          </cell>
          <cell r="FG163">
            <v>0</v>
          </cell>
          <cell r="FH163" t="str">
            <v/>
          </cell>
          <cell r="FJ163">
            <v>0</v>
          </cell>
          <cell r="FK163" t="str">
            <v/>
          </cell>
          <cell r="FM163">
            <v>0</v>
          </cell>
          <cell r="FN163" t="str">
            <v/>
          </cell>
          <cell r="FP163">
            <v>0</v>
          </cell>
          <cell r="FQ163" t="str">
            <v/>
          </cell>
          <cell r="FS163">
            <v>0</v>
          </cell>
          <cell r="FT163" t="str">
            <v/>
          </cell>
          <cell r="FV163">
            <v>0</v>
          </cell>
          <cell r="FW163" t="str">
            <v/>
          </cell>
          <cell r="FY163">
            <v>0</v>
          </cell>
          <cell r="FZ163" t="str">
            <v/>
          </cell>
          <cell r="GB163">
            <v>2.8</v>
          </cell>
          <cell r="GC163">
            <v>40207.5</v>
          </cell>
          <cell r="GE163">
            <v>0</v>
          </cell>
          <cell r="GF163" t="str">
            <v/>
          </cell>
          <cell r="GH163">
            <v>0</v>
          </cell>
          <cell r="GI163" t="str">
            <v/>
          </cell>
          <cell r="GK163">
            <v>0</v>
          </cell>
          <cell r="GL163" t="str">
            <v/>
          </cell>
          <cell r="GN163">
            <v>0</v>
          </cell>
          <cell r="GO163" t="str">
            <v/>
          </cell>
          <cell r="GQ163">
            <v>0</v>
          </cell>
          <cell r="GR163" t="str">
            <v/>
          </cell>
          <cell r="GT163">
            <v>0</v>
          </cell>
          <cell r="GU163" t="str">
            <v/>
          </cell>
          <cell r="GW163">
            <v>0</v>
          </cell>
          <cell r="GX163" t="str">
            <v/>
          </cell>
          <cell r="GZ163">
            <v>0</v>
          </cell>
          <cell r="HA163" t="str">
            <v/>
          </cell>
          <cell r="HC163">
            <v>1.5</v>
          </cell>
          <cell r="HD163">
            <v>51704.666666666664</v>
          </cell>
          <cell r="HF163">
            <v>0</v>
          </cell>
          <cell r="HG163" t="str">
            <v/>
          </cell>
          <cell r="HI163">
            <v>3.8</v>
          </cell>
          <cell r="HJ163">
            <v>29247.105263157897</v>
          </cell>
          <cell r="HL163">
            <v>3.8</v>
          </cell>
          <cell r="HM163">
            <v>31714.473684210527</v>
          </cell>
          <cell r="HO163">
            <v>0</v>
          </cell>
          <cell r="HP163" t="str">
            <v/>
          </cell>
          <cell r="HR163">
            <v>0</v>
          </cell>
          <cell r="HS163" t="str">
            <v/>
          </cell>
          <cell r="HU163">
            <v>0</v>
          </cell>
          <cell r="HV163" t="str">
            <v/>
          </cell>
        </row>
        <row r="164">
          <cell r="DQ164">
            <v>0.03</v>
          </cell>
          <cell r="DR164">
            <v>53800</v>
          </cell>
          <cell r="DT164">
            <v>0</v>
          </cell>
          <cell r="DU164" t="str">
            <v/>
          </cell>
          <cell r="DW164">
            <v>0</v>
          </cell>
          <cell r="DX164" t="str">
            <v/>
          </cell>
          <cell r="DZ164">
            <v>0</v>
          </cell>
          <cell r="EA164" t="str">
            <v/>
          </cell>
          <cell r="EC164">
            <v>0</v>
          </cell>
          <cell r="ED164" t="str">
            <v/>
          </cell>
          <cell r="EF164">
            <v>0</v>
          </cell>
          <cell r="EG164" t="str">
            <v/>
          </cell>
          <cell r="EI164">
            <v>0</v>
          </cell>
          <cell r="EJ164" t="str">
            <v/>
          </cell>
          <cell r="EL164">
            <v>0</v>
          </cell>
          <cell r="EM164" t="str">
            <v/>
          </cell>
          <cell r="EO164">
            <v>0</v>
          </cell>
          <cell r="EP164" t="str">
            <v/>
          </cell>
          <cell r="ER164">
            <v>0</v>
          </cell>
          <cell r="ES164" t="str">
            <v/>
          </cell>
          <cell r="EU164">
            <v>0</v>
          </cell>
          <cell r="EV164" t="str">
            <v/>
          </cell>
          <cell r="EX164">
            <v>0</v>
          </cell>
          <cell r="EY164" t="str">
            <v/>
          </cell>
          <cell r="FA164">
            <v>0</v>
          </cell>
          <cell r="FB164" t="str">
            <v/>
          </cell>
          <cell r="FD164">
            <v>0</v>
          </cell>
          <cell r="FE164" t="str">
            <v/>
          </cell>
          <cell r="FG164">
            <v>0</v>
          </cell>
          <cell r="FH164" t="str">
            <v/>
          </cell>
          <cell r="FJ164">
            <v>0.08</v>
          </cell>
          <cell r="FK164">
            <v>34612.5</v>
          </cell>
          <cell r="FM164">
            <v>2</v>
          </cell>
          <cell r="FN164">
            <v>35334</v>
          </cell>
          <cell r="FP164">
            <v>0.56999999999999995</v>
          </cell>
          <cell r="FQ164">
            <v>29864.912280701756</v>
          </cell>
          <cell r="FS164">
            <v>0</v>
          </cell>
          <cell r="FT164" t="str">
            <v/>
          </cell>
          <cell r="FV164">
            <v>6.9</v>
          </cell>
          <cell r="FW164">
            <v>24323.1884057971</v>
          </cell>
          <cell r="FY164">
            <v>0</v>
          </cell>
          <cell r="FZ164" t="str">
            <v/>
          </cell>
          <cell r="GB164">
            <v>0</v>
          </cell>
          <cell r="GC164" t="str">
            <v/>
          </cell>
          <cell r="GE164">
            <v>0</v>
          </cell>
          <cell r="GF164" t="str">
            <v/>
          </cell>
          <cell r="GH164">
            <v>0</v>
          </cell>
          <cell r="GI164" t="str">
            <v/>
          </cell>
          <cell r="GK164">
            <v>0</v>
          </cell>
          <cell r="GL164" t="str">
            <v/>
          </cell>
          <cell r="GN164">
            <v>0</v>
          </cell>
          <cell r="GO164" t="str">
            <v/>
          </cell>
          <cell r="GQ164">
            <v>0</v>
          </cell>
          <cell r="GR164" t="str">
            <v/>
          </cell>
          <cell r="GT164">
            <v>0</v>
          </cell>
          <cell r="GU164" t="str">
            <v/>
          </cell>
          <cell r="GW164">
            <v>0</v>
          </cell>
          <cell r="GX164" t="str">
            <v/>
          </cell>
          <cell r="GZ164">
            <v>0</v>
          </cell>
          <cell r="HA164" t="str">
            <v/>
          </cell>
          <cell r="HC164">
            <v>0</v>
          </cell>
          <cell r="HD164" t="str">
            <v/>
          </cell>
          <cell r="HF164">
            <v>0</v>
          </cell>
          <cell r="HG164" t="str">
            <v/>
          </cell>
          <cell r="HI164">
            <v>0</v>
          </cell>
          <cell r="HJ164" t="str">
            <v/>
          </cell>
          <cell r="HL164">
            <v>0</v>
          </cell>
          <cell r="HM164" t="str">
            <v/>
          </cell>
          <cell r="HO164">
            <v>0</v>
          </cell>
          <cell r="HP164" t="str">
            <v/>
          </cell>
          <cell r="HR164">
            <v>0.48</v>
          </cell>
          <cell r="HS164">
            <v>31397.916666666668</v>
          </cell>
          <cell r="HU164">
            <v>0</v>
          </cell>
          <cell r="HV164" t="str">
            <v/>
          </cell>
        </row>
        <row r="165">
          <cell r="DQ165">
            <v>0</v>
          </cell>
          <cell r="DR165" t="str">
            <v/>
          </cell>
          <cell r="DT165">
            <v>0</v>
          </cell>
          <cell r="DU165" t="str">
            <v/>
          </cell>
          <cell r="DW165">
            <v>0</v>
          </cell>
          <cell r="DX165" t="str">
            <v/>
          </cell>
          <cell r="DZ165">
            <v>0</v>
          </cell>
          <cell r="EA165" t="str">
            <v/>
          </cell>
          <cell r="EC165">
            <v>0</v>
          </cell>
          <cell r="ED165" t="str">
            <v/>
          </cell>
          <cell r="EF165">
            <v>0</v>
          </cell>
          <cell r="EG165" t="str">
            <v/>
          </cell>
          <cell r="EI165">
            <v>0</v>
          </cell>
          <cell r="EJ165" t="str">
            <v/>
          </cell>
          <cell r="EL165">
            <v>0</v>
          </cell>
          <cell r="EM165" t="str">
            <v/>
          </cell>
          <cell r="EO165">
            <v>0</v>
          </cell>
          <cell r="EP165" t="str">
            <v/>
          </cell>
          <cell r="ER165">
            <v>0</v>
          </cell>
          <cell r="ES165" t="str">
            <v/>
          </cell>
          <cell r="EU165">
            <v>0</v>
          </cell>
          <cell r="EV165" t="str">
            <v/>
          </cell>
          <cell r="EX165">
            <v>0</v>
          </cell>
          <cell r="EY165" t="str">
            <v/>
          </cell>
          <cell r="FA165">
            <v>0</v>
          </cell>
          <cell r="FB165" t="str">
            <v/>
          </cell>
          <cell r="FD165">
            <v>0</v>
          </cell>
          <cell r="FE165" t="str">
            <v/>
          </cell>
          <cell r="FG165">
            <v>0</v>
          </cell>
          <cell r="FH165" t="str">
            <v/>
          </cell>
          <cell r="FJ165">
            <v>0</v>
          </cell>
          <cell r="FK165" t="str">
            <v/>
          </cell>
          <cell r="FM165">
            <v>0</v>
          </cell>
          <cell r="FN165" t="str">
            <v/>
          </cell>
          <cell r="FP165">
            <v>0</v>
          </cell>
          <cell r="FQ165" t="str">
            <v/>
          </cell>
          <cell r="FS165">
            <v>0</v>
          </cell>
          <cell r="FT165" t="str">
            <v/>
          </cell>
          <cell r="FV165">
            <v>0</v>
          </cell>
          <cell r="FW165" t="str">
            <v/>
          </cell>
          <cell r="FY165">
            <v>0</v>
          </cell>
          <cell r="FZ165" t="str">
            <v/>
          </cell>
          <cell r="GB165">
            <v>0</v>
          </cell>
          <cell r="GC165" t="str">
            <v/>
          </cell>
          <cell r="GE165">
            <v>0</v>
          </cell>
          <cell r="GF165" t="str">
            <v/>
          </cell>
          <cell r="GH165">
            <v>0</v>
          </cell>
          <cell r="GI165" t="str">
            <v/>
          </cell>
          <cell r="GK165">
            <v>0</v>
          </cell>
          <cell r="GL165" t="str">
            <v/>
          </cell>
          <cell r="GN165">
            <v>0</v>
          </cell>
          <cell r="GO165" t="str">
            <v/>
          </cell>
          <cell r="GQ165">
            <v>0</v>
          </cell>
          <cell r="GR165" t="str">
            <v/>
          </cell>
          <cell r="GT165">
            <v>0</v>
          </cell>
          <cell r="GU165" t="str">
            <v/>
          </cell>
          <cell r="GW165">
            <v>0</v>
          </cell>
          <cell r="GX165" t="str">
            <v/>
          </cell>
          <cell r="GZ165">
            <v>0</v>
          </cell>
          <cell r="HA165" t="str">
            <v/>
          </cell>
          <cell r="HC165">
            <v>0</v>
          </cell>
          <cell r="HD165" t="str">
            <v/>
          </cell>
          <cell r="HF165">
            <v>0</v>
          </cell>
          <cell r="HG165" t="str">
            <v/>
          </cell>
          <cell r="HI165">
            <v>0</v>
          </cell>
          <cell r="HJ165" t="str">
            <v/>
          </cell>
          <cell r="HL165">
            <v>7.96</v>
          </cell>
          <cell r="HM165">
            <v>27036.934673366835</v>
          </cell>
          <cell r="HO165">
            <v>0</v>
          </cell>
          <cell r="HP165" t="str">
            <v/>
          </cell>
          <cell r="HR165">
            <v>0</v>
          </cell>
          <cell r="HS165" t="str">
            <v/>
          </cell>
          <cell r="HU165">
            <v>0</v>
          </cell>
          <cell r="HV165" t="str">
            <v/>
          </cell>
        </row>
        <row r="166">
          <cell r="DQ166">
            <v>0</v>
          </cell>
          <cell r="DR166" t="str">
            <v/>
          </cell>
          <cell r="DT166">
            <v>0</v>
          </cell>
          <cell r="DU166" t="str">
            <v/>
          </cell>
          <cell r="DW166">
            <v>0</v>
          </cell>
          <cell r="DX166" t="str">
            <v/>
          </cell>
          <cell r="DZ166">
            <v>0</v>
          </cell>
          <cell r="EA166" t="str">
            <v/>
          </cell>
          <cell r="EC166">
            <v>0</v>
          </cell>
          <cell r="ED166" t="str">
            <v/>
          </cell>
          <cell r="EF166">
            <v>0</v>
          </cell>
          <cell r="EG166" t="str">
            <v/>
          </cell>
          <cell r="EI166">
            <v>0</v>
          </cell>
          <cell r="EJ166" t="str">
            <v/>
          </cell>
          <cell r="EL166">
            <v>0</v>
          </cell>
          <cell r="EM166" t="str">
            <v/>
          </cell>
          <cell r="EO166">
            <v>0</v>
          </cell>
          <cell r="EP166" t="str">
            <v/>
          </cell>
          <cell r="ER166">
            <v>0</v>
          </cell>
          <cell r="ES166" t="str">
            <v/>
          </cell>
          <cell r="EU166">
            <v>0</v>
          </cell>
          <cell r="EV166" t="str">
            <v/>
          </cell>
          <cell r="EX166">
            <v>0</v>
          </cell>
          <cell r="EY166" t="str">
            <v/>
          </cell>
          <cell r="FA166">
            <v>0</v>
          </cell>
          <cell r="FB166" t="str">
            <v/>
          </cell>
          <cell r="FD166">
            <v>0</v>
          </cell>
          <cell r="FE166" t="str">
            <v/>
          </cell>
          <cell r="FG166">
            <v>0</v>
          </cell>
          <cell r="FH166" t="str">
            <v/>
          </cell>
          <cell r="FJ166">
            <v>0</v>
          </cell>
          <cell r="FK166" t="str">
            <v/>
          </cell>
          <cell r="FM166">
            <v>0</v>
          </cell>
          <cell r="FN166" t="str">
            <v/>
          </cell>
          <cell r="FP166">
            <v>0</v>
          </cell>
          <cell r="FQ166" t="str">
            <v/>
          </cell>
          <cell r="FS166">
            <v>0</v>
          </cell>
          <cell r="FT166" t="str">
            <v/>
          </cell>
          <cell r="FV166">
            <v>0</v>
          </cell>
          <cell r="FW166" t="str">
            <v/>
          </cell>
          <cell r="FY166">
            <v>0</v>
          </cell>
          <cell r="FZ166" t="str">
            <v/>
          </cell>
          <cell r="GB166">
            <v>0</v>
          </cell>
          <cell r="GC166" t="str">
            <v/>
          </cell>
          <cell r="GE166">
            <v>0</v>
          </cell>
          <cell r="GF166" t="str">
            <v/>
          </cell>
          <cell r="GH166">
            <v>0</v>
          </cell>
          <cell r="GI166" t="str">
            <v/>
          </cell>
          <cell r="GK166">
            <v>0</v>
          </cell>
          <cell r="GL166" t="str">
            <v/>
          </cell>
          <cell r="GN166">
            <v>0</v>
          </cell>
          <cell r="GO166" t="str">
            <v/>
          </cell>
          <cell r="GQ166">
            <v>0</v>
          </cell>
          <cell r="GR166" t="str">
            <v/>
          </cell>
          <cell r="GT166">
            <v>0</v>
          </cell>
          <cell r="GU166" t="str">
            <v/>
          </cell>
          <cell r="GW166">
            <v>0</v>
          </cell>
          <cell r="GX166" t="str">
            <v/>
          </cell>
          <cell r="GZ166">
            <v>1</v>
          </cell>
          <cell r="HA166">
            <v>74404</v>
          </cell>
          <cell r="HC166">
            <v>0</v>
          </cell>
          <cell r="HD166" t="str">
            <v/>
          </cell>
          <cell r="HF166">
            <v>0</v>
          </cell>
          <cell r="HG166" t="str">
            <v/>
          </cell>
          <cell r="HI166">
            <v>0</v>
          </cell>
          <cell r="HJ166" t="str">
            <v/>
          </cell>
          <cell r="HL166">
            <v>5.48</v>
          </cell>
          <cell r="HM166">
            <v>27102.554744525547</v>
          </cell>
          <cell r="HO166">
            <v>0</v>
          </cell>
          <cell r="HP166" t="str">
            <v/>
          </cell>
          <cell r="HR166">
            <v>0</v>
          </cell>
          <cell r="HS166" t="str">
            <v/>
          </cell>
          <cell r="HU166">
            <v>0</v>
          </cell>
          <cell r="HV166" t="str">
            <v/>
          </cell>
        </row>
        <row r="167">
          <cell r="DQ167">
            <v>0.25</v>
          </cell>
          <cell r="DR167">
            <v>101020</v>
          </cell>
          <cell r="DT167">
            <v>0</v>
          </cell>
          <cell r="DU167" t="str">
            <v/>
          </cell>
          <cell r="DW167">
            <v>0</v>
          </cell>
          <cell r="DX167" t="str">
            <v/>
          </cell>
          <cell r="DZ167">
            <v>0</v>
          </cell>
          <cell r="EA167" t="str">
            <v/>
          </cell>
          <cell r="EC167">
            <v>0</v>
          </cell>
          <cell r="ED167" t="str">
            <v/>
          </cell>
          <cell r="EF167">
            <v>0</v>
          </cell>
          <cell r="EG167" t="str">
            <v/>
          </cell>
          <cell r="EI167">
            <v>0</v>
          </cell>
          <cell r="EJ167" t="str">
            <v/>
          </cell>
          <cell r="EL167">
            <v>0</v>
          </cell>
          <cell r="EM167" t="str">
            <v/>
          </cell>
          <cell r="EO167">
            <v>0</v>
          </cell>
          <cell r="EP167" t="str">
            <v/>
          </cell>
          <cell r="ER167">
            <v>0</v>
          </cell>
          <cell r="ES167" t="str">
            <v/>
          </cell>
          <cell r="EU167">
            <v>0</v>
          </cell>
          <cell r="EV167" t="str">
            <v/>
          </cell>
          <cell r="EX167">
            <v>0</v>
          </cell>
          <cell r="EY167" t="str">
            <v/>
          </cell>
          <cell r="FA167">
            <v>0</v>
          </cell>
          <cell r="FB167" t="str">
            <v/>
          </cell>
          <cell r="FD167">
            <v>0</v>
          </cell>
          <cell r="FE167" t="str">
            <v/>
          </cell>
          <cell r="FG167">
            <v>0</v>
          </cell>
          <cell r="FH167" t="str">
            <v/>
          </cell>
          <cell r="FJ167">
            <v>0</v>
          </cell>
          <cell r="FK167" t="str">
            <v/>
          </cell>
          <cell r="FM167">
            <v>0</v>
          </cell>
          <cell r="FN167" t="str">
            <v/>
          </cell>
          <cell r="FP167">
            <v>0</v>
          </cell>
          <cell r="FQ167" t="str">
            <v/>
          </cell>
          <cell r="FS167">
            <v>0</v>
          </cell>
          <cell r="FT167" t="str">
            <v/>
          </cell>
          <cell r="FV167">
            <v>0</v>
          </cell>
          <cell r="FW167" t="str">
            <v/>
          </cell>
          <cell r="FY167">
            <v>0</v>
          </cell>
          <cell r="FZ167" t="str">
            <v/>
          </cell>
          <cell r="GB167">
            <v>0</v>
          </cell>
          <cell r="GC167" t="str">
            <v/>
          </cell>
          <cell r="GE167">
            <v>0</v>
          </cell>
          <cell r="GF167" t="str">
            <v/>
          </cell>
          <cell r="GH167">
            <v>0</v>
          </cell>
          <cell r="GI167" t="str">
            <v/>
          </cell>
          <cell r="GK167">
            <v>0</v>
          </cell>
          <cell r="GL167" t="str">
            <v/>
          </cell>
          <cell r="GN167">
            <v>0</v>
          </cell>
          <cell r="GO167" t="str">
            <v/>
          </cell>
          <cell r="GQ167">
            <v>0</v>
          </cell>
          <cell r="GR167" t="str">
            <v/>
          </cell>
          <cell r="GT167">
            <v>0</v>
          </cell>
          <cell r="GU167" t="str">
            <v/>
          </cell>
          <cell r="GW167">
            <v>0</v>
          </cell>
          <cell r="GX167" t="str">
            <v/>
          </cell>
          <cell r="GZ167">
            <v>0</v>
          </cell>
          <cell r="HA167" t="str">
            <v/>
          </cell>
          <cell r="HC167">
            <v>2.5</v>
          </cell>
          <cell r="HD167">
            <v>51375.6</v>
          </cell>
          <cell r="HF167">
            <v>0</v>
          </cell>
          <cell r="HG167" t="str">
            <v/>
          </cell>
          <cell r="HI167">
            <v>0</v>
          </cell>
          <cell r="HJ167" t="str">
            <v/>
          </cell>
          <cell r="HL167">
            <v>0</v>
          </cell>
          <cell r="HM167" t="str">
            <v/>
          </cell>
          <cell r="HO167">
            <v>0</v>
          </cell>
          <cell r="HP167" t="str">
            <v/>
          </cell>
          <cell r="HR167">
            <v>0</v>
          </cell>
          <cell r="HS167" t="str">
            <v/>
          </cell>
          <cell r="HU167">
            <v>0</v>
          </cell>
          <cell r="HV167" t="str">
            <v/>
          </cell>
        </row>
        <row r="168">
          <cell r="DQ168">
            <v>0</v>
          </cell>
          <cell r="DR168" t="str">
            <v/>
          </cell>
          <cell r="DT168">
            <v>0</v>
          </cell>
          <cell r="DU168" t="str">
            <v/>
          </cell>
          <cell r="DW168">
            <v>0</v>
          </cell>
          <cell r="DX168" t="str">
            <v/>
          </cell>
          <cell r="DZ168">
            <v>0</v>
          </cell>
          <cell r="EA168" t="str">
            <v/>
          </cell>
          <cell r="EC168">
            <v>0</v>
          </cell>
          <cell r="ED168" t="str">
            <v/>
          </cell>
          <cell r="EF168">
            <v>0</v>
          </cell>
          <cell r="EG168" t="str">
            <v/>
          </cell>
          <cell r="EI168">
            <v>0</v>
          </cell>
          <cell r="EJ168" t="str">
            <v/>
          </cell>
          <cell r="EL168">
            <v>0</v>
          </cell>
          <cell r="EM168" t="str">
            <v/>
          </cell>
          <cell r="EO168">
            <v>0</v>
          </cell>
          <cell r="EP168" t="str">
            <v/>
          </cell>
          <cell r="ER168">
            <v>0</v>
          </cell>
          <cell r="ES168" t="str">
            <v/>
          </cell>
          <cell r="EU168">
            <v>0</v>
          </cell>
          <cell r="EV168" t="str">
            <v/>
          </cell>
          <cell r="EX168">
            <v>0</v>
          </cell>
          <cell r="EY168" t="str">
            <v/>
          </cell>
          <cell r="FA168">
            <v>0</v>
          </cell>
          <cell r="FB168" t="str">
            <v/>
          </cell>
          <cell r="FD168">
            <v>0</v>
          </cell>
          <cell r="FE168" t="str">
            <v/>
          </cell>
          <cell r="FG168">
            <v>0</v>
          </cell>
          <cell r="FH168" t="str">
            <v/>
          </cell>
          <cell r="FJ168">
            <v>0</v>
          </cell>
          <cell r="FK168" t="str">
            <v/>
          </cell>
          <cell r="FM168">
            <v>0</v>
          </cell>
          <cell r="FN168" t="str">
            <v/>
          </cell>
          <cell r="FP168">
            <v>0</v>
          </cell>
          <cell r="FQ168" t="str">
            <v/>
          </cell>
          <cell r="FS168">
            <v>0</v>
          </cell>
          <cell r="FT168" t="str">
            <v/>
          </cell>
          <cell r="FV168">
            <v>0</v>
          </cell>
          <cell r="FW168" t="str">
            <v/>
          </cell>
          <cell r="FY168">
            <v>0</v>
          </cell>
          <cell r="FZ168" t="str">
            <v/>
          </cell>
          <cell r="GB168">
            <v>0</v>
          </cell>
          <cell r="GC168" t="str">
            <v/>
          </cell>
          <cell r="GE168">
            <v>0</v>
          </cell>
          <cell r="GF168" t="str">
            <v/>
          </cell>
          <cell r="GH168">
            <v>0</v>
          </cell>
          <cell r="GI168" t="str">
            <v/>
          </cell>
          <cell r="GK168">
            <v>0</v>
          </cell>
          <cell r="GL168" t="str">
            <v/>
          </cell>
          <cell r="GN168">
            <v>0</v>
          </cell>
          <cell r="GO168" t="str">
            <v/>
          </cell>
          <cell r="GQ168">
            <v>0</v>
          </cell>
          <cell r="GR168" t="str">
            <v/>
          </cell>
          <cell r="GT168">
            <v>0</v>
          </cell>
          <cell r="GU168" t="str">
            <v/>
          </cell>
          <cell r="GW168">
            <v>0</v>
          </cell>
          <cell r="GX168" t="str">
            <v/>
          </cell>
          <cell r="GZ168">
            <v>0</v>
          </cell>
          <cell r="HA168" t="str">
            <v/>
          </cell>
          <cell r="HC168">
            <v>0</v>
          </cell>
          <cell r="HD168" t="str">
            <v/>
          </cell>
          <cell r="HF168">
            <v>0</v>
          </cell>
          <cell r="HG168" t="str">
            <v/>
          </cell>
          <cell r="HI168">
            <v>0</v>
          </cell>
          <cell r="HJ168" t="str">
            <v/>
          </cell>
          <cell r="HL168">
            <v>0</v>
          </cell>
          <cell r="HM168" t="str">
            <v/>
          </cell>
          <cell r="HO168">
            <v>0</v>
          </cell>
          <cell r="HP168" t="str">
            <v/>
          </cell>
          <cell r="HR168">
            <v>0</v>
          </cell>
          <cell r="HS168" t="str">
            <v/>
          </cell>
          <cell r="HU168">
            <v>0</v>
          </cell>
          <cell r="HV168" t="str">
            <v/>
          </cell>
        </row>
        <row r="169">
          <cell r="DQ169">
            <v>0</v>
          </cell>
          <cell r="DR169" t="str">
            <v/>
          </cell>
          <cell r="DT169">
            <v>0</v>
          </cell>
          <cell r="DU169" t="str">
            <v/>
          </cell>
          <cell r="DW169">
            <v>0</v>
          </cell>
          <cell r="DX169" t="str">
            <v/>
          </cell>
          <cell r="DZ169">
            <v>0</v>
          </cell>
          <cell r="EA169" t="str">
            <v/>
          </cell>
          <cell r="EC169">
            <v>0</v>
          </cell>
          <cell r="ED169" t="str">
            <v/>
          </cell>
          <cell r="EF169">
            <v>0</v>
          </cell>
          <cell r="EG169" t="str">
            <v/>
          </cell>
          <cell r="EI169">
            <v>0</v>
          </cell>
          <cell r="EJ169" t="str">
            <v/>
          </cell>
          <cell r="EL169">
            <v>0</v>
          </cell>
          <cell r="EM169" t="str">
            <v/>
          </cell>
          <cell r="EO169">
            <v>0</v>
          </cell>
          <cell r="EP169" t="str">
            <v/>
          </cell>
          <cell r="ER169">
            <v>0</v>
          </cell>
          <cell r="ES169" t="str">
            <v/>
          </cell>
          <cell r="EU169">
            <v>0</v>
          </cell>
          <cell r="EV169" t="str">
            <v/>
          </cell>
          <cell r="EX169">
            <v>0</v>
          </cell>
          <cell r="EY169" t="str">
            <v/>
          </cell>
          <cell r="FA169">
            <v>0</v>
          </cell>
          <cell r="FB169" t="str">
            <v/>
          </cell>
          <cell r="FD169">
            <v>0</v>
          </cell>
          <cell r="FE169" t="str">
            <v/>
          </cell>
          <cell r="FG169">
            <v>0</v>
          </cell>
          <cell r="FH169" t="str">
            <v/>
          </cell>
          <cell r="FJ169">
            <v>0</v>
          </cell>
          <cell r="FK169" t="str">
            <v/>
          </cell>
          <cell r="FM169">
            <v>0</v>
          </cell>
          <cell r="FN169" t="str">
            <v/>
          </cell>
          <cell r="FP169">
            <v>0</v>
          </cell>
          <cell r="FQ169" t="str">
            <v/>
          </cell>
          <cell r="FS169">
            <v>0</v>
          </cell>
          <cell r="FT169" t="str">
            <v/>
          </cell>
          <cell r="FV169">
            <v>0</v>
          </cell>
          <cell r="FW169" t="str">
            <v/>
          </cell>
          <cell r="FY169">
            <v>0</v>
          </cell>
          <cell r="FZ169" t="str">
            <v/>
          </cell>
          <cell r="GB169">
            <v>0</v>
          </cell>
          <cell r="GC169" t="str">
            <v/>
          </cell>
          <cell r="GE169">
            <v>0</v>
          </cell>
          <cell r="GF169" t="str">
            <v/>
          </cell>
          <cell r="GH169">
            <v>0</v>
          </cell>
          <cell r="GI169" t="str">
            <v/>
          </cell>
          <cell r="GK169">
            <v>0</v>
          </cell>
          <cell r="GL169" t="str">
            <v/>
          </cell>
          <cell r="GN169">
            <v>0</v>
          </cell>
          <cell r="GO169" t="str">
            <v/>
          </cell>
          <cell r="GQ169">
            <v>0</v>
          </cell>
          <cell r="GR169" t="str">
            <v/>
          </cell>
          <cell r="GT169">
            <v>0</v>
          </cell>
          <cell r="GU169" t="str">
            <v/>
          </cell>
          <cell r="GW169">
            <v>0</v>
          </cell>
          <cell r="GX169" t="str">
            <v/>
          </cell>
          <cell r="GZ169">
            <v>0</v>
          </cell>
          <cell r="HA169" t="str">
            <v/>
          </cell>
          <cell r="HC169">
            <v>0.03</v>
          </cell>
          <cell r="HD169">
            <v>50000</v>
          </cell>
          <cell r="HF169">
            <v>0</v>
          </cell>
          <cell r="HG169" t="str">
            <v/>
          </cell>
          <cell r="HI169">
            <v>0</v>
          </cell>
          <cell r="HJ169" t="str">
            <v/>
          </cell>
          <cell r="HL169">
            <v>0</v>
          </cell>
          <cell r="HM169" t="str">
            <v/>
          </cell>
          <cell r="HO169">
            <v>0</v>
          </cell>
          <cell r="HP169" t="str">
            <v/>
          </cell>
          <cell r="HR169">
            <v>0</v>
          </cell>
          <cell r="HS169" t="str">
            <v/>
          </cell>
          <cell r="HU169">
            <v>0</v>
          </cell>
          <cell r="HV169" t="str">
            <v/>
          </cell>
        </row>
        <row r="170">
          <cell r="DQ170">
            <v>1</v>
          </cell>
          <cell r="DR170">
            <v>70688</v>
          </cell>
          <cell r="DT170">
            <v>0</v>
          </cell>
          <cell r="DU170" t="str">
            <v/>
          </cell>
          <cell r="DW170">
            <v>0</v>
          </cell>
          <cell r="DX170" t="str">
            <v/>
          </cell>
          <cell r="DZ170">
            <v>0</v>
          </cell>
          <cell r="EA170" t="str">
            <v/>
          </cell>
          <cell r="EC170">
            <v>0</v>
          </cell>
          <cell r="ED170" t="str">
            <v/>
          </cell>
          <cell r="EF170">
            <v>0</v>
          </cell>
          <cell r="EG170" t="str">
            <v/>
          </cell>
          <cell r="EI170">
            <v>0</v>
          </cell>
          <cell r="EJ170" t="str">
            <v/>
          </cell>
          <cell r="EL170">
            <v>0</v>
          </cell>
          <cell r="EM170" t="str">
            <v/>
          </cell>
          <cell r="EO170">
            <v>0</v>
          </cell>
          <cell r="EP170" t="str">
            <v/>
          </cell>
          <cell r="ER170">
            <v>0</v>
          </cell>
          <cell r="ES170" t="str">
            <v/>
          </cell>
          <cell r="EU170">
            <v>0</v>
          </cell>
          <cell r="EV170" t="str">
            <v/>
          </cell>
          <cell r="EX170">
            <v>0</v>
          </cell>
          <cell r="EY170" t="str">
            <v/>
          </cell>
          <cell r="FA170">
            <v>0</v>
          </cell>
          <cell r="FB170" t="str">
            <v/>
          </cell>
          <cell r="FD170">
            <v>0</v>
          </cell>
          <cell r="FE170" t="str">
            <v/>
          </cell>
          <cell r="FG170">
            <v>0</v>
          </cell>
          <cell r="FH170" t="str">
            <v/>
          </cell>
          <cell r="FJ170">
            <v>0</v>
          </cell>
          <cell r="FK170" t="str">
            <v/>
          </cell>
          <cell r="FM170">
            <v>0</v>
          </cell>
          <cell r="FN170" t="str">
            <v/>
          </cell>
          <cell r="FP170">
            <v>0</v>
          </cell>
          <cell r="FQ170" t="str">
            <v/>
          </cell>
          <cell r="FS170">
            <v>0</v>
          </cell>
          <cell r="FT170" t="str">
            <v/>
          </cell>
          <cell r="FV170">
            <v>0</v>
          </cell>
          <cell r="FW170" t="str">
            <v/>
          </cell>
          <cell r="FY170">
            <v>0</v>
          </cell>
          <cell r="FZ170" t="str">
            <v/>
          </cell>
          <cell r="GB170">
            <v>2</v>
          </cell>
          <cell r="GC170">
            <v>32636.5</v>
          </cell>
          <cell r="GE170">
            <v>0</v>
          </cell>
          <cell r="GF170" t="str">
            <v/>
          </cell>
          <cell r="GH170">
            <v>0</v>
          </cell>
          <cell r="GI170" t="str">
            <v/>
          </cell>
          <cell r="GK170">
            <v>0</v>
          </cell>
          <cell r="GL170" t="str">
            <v/>
          </cell>
          <cell r="GN170">
            <v>0</v>
          </cell>
          <cell r="GO170" t="str">
            <v/>
          </cell>
          <cell r="GQ170">
            <v>0</v>
          </cell>
          <cell r="GR170" t="str">
            <v/>
          </cell>
          <cell r="GT170">
            <v>0</v>
          </cell>
          <cell r="GU170" t="str">
            <v/>
          </cell>
          <cell r="GW170">
            <v>0</v>
          </cell>
          <cell r="GX170" t="str">
            <v/>
          </cell>
          <cell r="GZ170">
            <v>0</v>
          </cell>
          <cell r="HA170" t="str">
            <v/>
          </cell>
          <cell r="HC170">
            <v>0</v>
          </cell>
          <cell r="HD170" t="str">
            <v/>
          </cell>
          <cell r="HF170">
            <v>0</v>
          </cell>
          <cell r="HG170" t="str">
            <v/>
          </cell>
          <cell r="HI170">
            <v>0</v>
          </cell>
          <cell r="HJ170" t="str">
            <v/>
          </cell>
          <cell r="HL170">
            <v>3</v>
          </cell>
          <cell r="HM170">
            <v>25937.333333333332</v>
          </cell>
          <cell r="HO170">
            <v>0</v>
          </cell>
          <cell r="HP170" t="str">
            <v/>
          </cell>
          <cell r="HR170">
            <v>0</v>
          </cell>
          <cell r="HS170" t="str">
            <v/>
          </cell>
          <cell r="HU170">
            <v>0</v>
          </cell>
          <cell r="HV170" t="str">
            <v/>
          </cell>
        </row>
        <row r="171">
          <cell r="DQ171">
            <v>0.32890000000000003</v>
          </cell>
          <cell r="DR171">
            <v>91623.593797506837</v>
          </cell>
          <cell r="DT171">
            <v>0</v>
          </cell>
          <cell r="DU171" t="str">
            <v/>
          </cell>
          <cell r="DW171">
            <v>0</v>
          </cell>
          <cell r="DX171" t="str">
            <v/>
          </cell>
          <cell r="DZ171">
            <v>1.2</v>
          </cell>
          <cell r="EA171">
            <v>68682.5</v>
          </cell>
          <cell r="EC171">
            <v>0</v>
          </cell>
          <cell r="ED171" t="str">
            <v/>
          </cell>
          <cell r="EF171">
            <v>0</v>
          </cell>
          <cell r="EG171" t="str">
            <v/>
          </cell>
          <cell r="EI171">
            <v>0</v>
          </cell>
          <cell r="EJ171" t="str">
            <v/>
          </cell>
          <cell r="EL171">
            <v>0</v>
          </cell>
          <cell r="EM171" t="str">
            <v/>
          </cell>
          <cell r="EO171">
            <v>0</v>
          </cell>
          <cell r="EP171" t="str">
            <v/>
          </cell>
          <cell r="ER171">
            <v>0</v>
          </cell>
          <cell r="ES171" t="str">
            <v/>
          </cell>
          <cell r="EU171">
            <v>0</v>
          </cell>
          <cell r="EV171" t="str">
            <v/>
          </cell>
          <cell r="EX171">
            <v>0</v>
          </cell>
          <cell r="EY171" t="str">
            <v/>
          </cell>
          <cell r="FA171">
            <v>0</v>
          </cell>
          <cell r="FB171" t="str">
            <v/>
          </cell>
          <cell r="FD171">
            <v>0</v>
          </cell>
          <cell r="FE171" t="str">
            <v/>
          </cell>
          <cell r="FG171">
            <v>0</v>
          </cell>
          <cell r="FH171" t="str">
            <v/>
          </cell>
          <cell r="FJ171">
            <v>0</v>
          </cell>
          <cell r="FK171" t="str">
            <v/>
          </cell>
          <cell r="FM171">
            <v>0</v>
          </cell>
          <cell r="FN171" t="str">
            <v/>
          </cell>
          <cell r="FP171">
            <v>0</v>
          </cell>
          <cell r="FQ171" t="str">
            <v/>
          </cell>
          <cell r="FS171">
            <v>0</v>
          </cell>
          <cell r="FT171" t="str">
            <v/>
          </cell>
          <cell r="FV171">
            <v>0</v>
          </cell>
          <cell r="FW171" t="str">
            <v/>
          </cell>
          <cell r="FY171">
            <v>0</v>
          </cell>
          <cell r="FZ171" t="str">
            <v/>
          </cell>
          <cell r="GB171">
            <v>0</v>
          </cell>
          <cell r="GC171" t="str">
            <v/>
          </cell>
          <cell r="GE171">
            <v>0</v>
          </cell>
          <cell r="GF171" t="str">
            <v/>
          </cell>
          <cell r="GH171">
            <v>0</v>
          </cell>
          <cell r="GI171" t="str">
            <v/>
          </cell>
          <cell r="GK171">
            <v>0</v>
          </cell>
          <cell r="GL171" t="str">
            <v/>
          </cell>
          <cell r="GN171">
            <v>0</v>
          </cell>
          <cell r="GO171" t="str">
            <v/>
          </cell>
          <cell r="GQ171">
            <v>0</v>
          </cell>
          <cell r="GR171" t="str">
            <v/>
          </cell>
          <cell r="GT171">
            <v>6.81</v>
          </cell>
          <cell r="GU171">
            <v>46658.002936857563</v>
          </cell>
          <cell r="GW171">
            <v>0</v>
          </cell>
          <cell r="GX171" t="str">
            <v/>
          </cell>
          <cell r="GZ171">
            <v>0</v>
          </cell>
          <cell r="HA171" t="str">
            <v/>
          </cell>
          <cell r="HC171">
            <v>0</v>
          </cell>
          <cell r="HD171" t="str">
            <v/>
          </cell>
          <cell r="HF171">
            <v>0</v>
          </cell>
          <cell r="HG171" t="str">
            <v/>
          </cell>
          <cell r="HI171">
            <v>0</v>
          </cell>
          <cell r="HJ171" t="str">
            <v/>
          </cell>
          <cell r="HL171">
            <v>0</v>
          </cell>
          <cell r="HM171" t="str">
            <v/>
          </cell>
          <cell r="HO171">
            <v>0.41</v>
          </cell>
          <cell r="HP171">
            <v>34924.390243902439</v>
          </cell>
          <cell r="HR171">
            <v>0</v>
          </cell>
          <cell r="HS171" t="str">
            <v/>
          </cell>
          <cell r="HU171">
            <v>0</v>
          </cell>
          <cell r="HV171" t="str">
            <v/>
          </cell>
        </row>
        <row r="172">
          <cell r="DQ172">
            <v>0</v>
          </cell>
          <cell r="DR172" t="str">
            <v/>
          </cell>
          <cell r="DT172">
            <v>0.93</v>
          </cell>
          <cell r="DU172">
            <v>65535.483870967735</v>
          </cell>
          <cell r="DW172">
            <v>0</v>
          </cell>
          <cell r="DX172" t="str">
            <v/>
          </cell>
          <cell r="DZ172">
            <v>0</v>
          </cell>
          <cell r="EA172" t="str">
            <v/>
          </cell>
          <cell r="EC172">
            <v>0</v>
          </cell>
          <cell r="ED172" t="str">
            <v/>
          </cell>
          <cell r="EF172">
            <v>0</v>
          </cell>
          <cell r="EG172" t="str">
            <v/>
          </cell>
          <cell r="EI172">
            <v>0</v>
          </cell>
          <cell r="EJ172" t="str">
            <v/>
          </cell>
          <cell r="EL172">
            <v>0</v>
          </cell>
          <cell r="EM172" t="str">
            <v/>
          </cell>
          <cell r="EO172">
            <v>0</v>
          </cell>
          <cell r="EP172" t="str">
            <v/>
          </cell>
          <cell r="ER172">
            <v>0</v>
          </cell>
          <cell r="ES172" t="str">
            <v/>
          </cell>
          <cell r="EU172">
            <v>0</v>
          </cell>
          <cell r="EV172" t="str">
            <v/>
          </cell>
          <cell r="EX172">
            <v>0</v>
          </cell>
          <cell r="EY172" t="str">
            <v/>
          </cell>
          <cell r="FA172">
            <v>0</v>
          </cell>
          <cell r="FB172" t="str">
            <v/>
          </cell>
          <cell r="FD172">
            <v>0</v>
          </cell>
          <cell r="FE172" t="str">
            <v/>
          </cell>
          <cell r="FG172">
            <v>0</v>
          </cell>
          <cell r="FH172" t="str">
            <v/>
          </cell>
          <cell r="FJ172">
            <v>0</v>
          </cell>
          <cell r="FK172" t="str">
            <v/>
          </cell>
          <cell r="FM172">
            <v>0</v>
          </cell>
          <cell r="FN172" t="str">
            <v/>
          </cell>
          <cell r="FP172">
            <v>0</v>
          </cell>
          <cell r="FQ172" t="str">
            <v/>
          </cell>
          <cell r="FS172">
            <v>0</v>
          </cell>
          <cell r="FT172" t="str">
            <v/>
          </cell>
          <cell r="FV172">
            <v>0</v>
          </cell>
          <cell r="FW172" t="str">
            <v/>
          </cell>
          <cell r="FY172">
            <v>0</v>
          </cell>
          <cell r="FZ172" t="str">
            <v/>
          </cell>
          <cell r="GB172">
            <v>0</v>
          </cell>
          <cell r="GC172" t="str">
            <v/>
          </cell>
          <cell r="GE172">
            <v>0</v>
          </cell>
          <cell r="GF172" t="str">
            <v/>
          </cell>
          <cell r="GH172">
            <v>0</v>
          </cell>
          <cell r="GI172" t="str">
            <v/>
          </cell>
          <cell r="GK172">
            <v>0</v>
          </cell>
          <cell r="GL172" t="str">
            <v/>
          </cell>
          <cell r="GN172">
            <v>0</v>
          </cell>
          <cell r="GO172" t="str">
            <v/>
          </cell>
          <cell r="GQ172">
            <v>0</v>
          </cell>
          <cell r="GR172" t="str">
            <v/>
          </cell>
          <cell r="GT172">
            <v>0</v>
          </cell>
          <cell r="GU172" t="str">
            <v/>
          </cell>
          <cell r="GW172">
            <v>0</v>
          </cell>
          <cell r="GX172" t="str">
            <v/>
          </cell>
          <cell r="GZ172">
            <v>0</v>
          </cell>
          <cell r="HA172" t="str">
            <v/>
          </cell>
          <cell r="HC172">
            <v>0</v>
          </cell>
          <cell r="HD172" t="str">
            <v/>
          </cell>
          <cell r="HF172">
            <v>0</v>
          </cell>
          <cell r="HG172" t="str">
            <v/>
          </cell>
          <cell r="HI172">
            <v>0</v>
          </cell>
          <cell r="HJ172" t="str">
            <v/>
          </cell>
          <cell r="HL172">
            <v>1</v>
          </cell>
          <cell r="HM172">
            <v>42744</v>
          </cell>
          <cell r="HO172">
            <v>0</v>
          </cell>
          <cell r="HP172" t="str">
            <v/>
          </cell>
          <cell r="HR172">
            <v>0</v>
          </cell>
          <cell r="HS172" t="str">
            <v/>
          </cell>
          <cell r="HU172">
            <v>0</v>
          </cell>
          <cell r="HV172" t="str">
            <v/>
          </cell>
        </row>
        <row r="173">
          <cell r="DQ173">
            <v>0</v>
          </cell>
          <cell r="DR173" t="str">
            <v/>
          </cell>
          <cell r="DT173">
            <v>0</v>
          </cell>
          <cell r="DU173" t="str">
            <v/>
          </cell>
          <cell r="DW173">
            <v>0</v>
          </cell>
          <cell r="DX173" t="str">
            <v/>
          </cell>
          <cell r="DZ173">
            <v>0</v>
          </cell>
          <cell r="EA173" t="str">
            <v/>
          </cell>
          <cell r="EC173">
            <v>0</v>
          </cell>
          <cell r="ED173" t="str">
            <v/>
          </cell>
          <cell r="EF173">
            <v>0</v>
          </cell>
          <cell r="EG173" t="str">
            <v/>
          </cell>
          <cell r="EI173">
            <v>0</v>
          </cell>
          <cell r="EJ173" t="str">
            <v/>
          </cell>
          <cell r="EL173">
            <v>0</v>
          </cell>
          <cell r="EM173" t="str">
            <v/>
          </cell>
          <cell r="EO173">
            <v>0</v>
          </cell>
          <cell r="EP173" t="str">
            <v/>
          </cell>
          <cell r="ER173">
            <v>0</v>
          </cell>
          <cell r="ES173" t="str">
            <v/>
          </cell>
          <cell r="EU173">
            <v>0</v>
          </cell>
          <cell r="EV173" t="str">
            <v/>
          </cell>
          <cell r="EX173">
            <v>0</v>
          </cell>
          <cell r="EY173" t="str">
            <v/>
          </cell>
          <cell r="FA173">
            <v>0</v>
          </cell>
          <cell r="FB173" t="str">
            <v/>
          </cell>
          <cell r="FD173">
            <v>0</v>
          </cell>
          <cell r="FE173" t="str">
            <v/>
          </cell>
          <cell r="FG173">
            <v>0</v>
          </cell>
          <cell r="FH173" t="str">
            <v/>
          </cell>
          <cell r="FJ173">
            <v>0</v>
          </cell>
          <cell r="FK173" t="str">
            <v/>
          </cell>
          <cell r="FM173">
            <v>0</v>
          </cell>
          <cell r="FN173" t="str">
            <v/>
          </cell>
          <cell r="FP173">
            <v>0</v>
          </cell>
          <cell r="FQ173" t="str">
            <v/>
          </cell>
          <cell r="FS173">
            <v>0</v>
          </cell>
          <cell r="FT173" t="str">
            <v/>
          </cell>
          <cell r="FV173">
            <v>0</v>
          </cell>
          <cell r="FW173" t="str">
            <v/>
          </cell>
          <cell r="FY173">
            <v>0</v>
          </cell>
          <cell r="FZ173" t="str">
            <v/>
          </cell>
          <cell r="GB173">
            <v>0</v>
          </cell>
          <cell r="GC173" t="str">
            <v/>
          </cell>
          <cell r="GE173">
            <v>0</v>
          </cell>
          <cell r="GF173" t="str">
            <v/>
          </cell>
          <cell r="GH173">
            <v>0</v>
          </cell>
          <cell r="GI173" t="str">
            <v/>
          </cell>
          <cell r="GK173">
            <v>0</v>
          </cell>
          <cell r="GL173" t="str">
            <v/>
          </cell>
          <cell r="GN173">
            <v>0</v>
          </cell>
          <cell r="GO173" t="str">
            <v/>
          </cell>
          <cell r="GQ173">
            <v>0</v>
          </cell>
          <cell r="GR173" t="str">
            <v/>
          </cell>
          <cell r="GT173">
            <v>0</v>
          </cell>
          <cell r="GU173" t="str">
            <v/>
          </cell>
          <cell r="GW173">
            <v>0</v>
          </cell>
          <cell r="GX173" t="str">
            <v/>
          </cell>
          <cell r="GZ173">
            <v>0</v>
          </cell>
          <cell r="HA173" t="str">
            <v/>
          </cell>
          <cell r="HC173">
            <v>0</v>
          </cell>
          <cell r="HD173" t="str">
            <v/>
          </cell>
          <cell r="HF173">
            <v>0</v>
          </cell>
          <cell r="HG173" t="str">
            <v/>
          </cell>
          <cell r="HI173">
            <v>0</v>
          </cell>
          <cell r="HJ173" t="str">
            <v/>
          </cell>
          <cell r="HL173">
            <v>0</v>
          </cell>
          <cell r="HM173" t="str">
            <v/>
          </cell>
          <cell r="HO173">
            <v>0</v>
          </cell>
          <cell r="HP173" t="str">
            <v/>
          </cell>
          <cell r="HR173">
            <v>0</v>
          </cell>
          <cell r="HS173" t="str">
            <v/>
          </cell>
          <cell r="HU173">
            <v>0</v>
          </cell>
          <cell r="HV173" t="str">
            <v/>
          </cell>
        </row>
        <row r="174">
          <cell r="DQ174">
            <v>0</v>
          </cell>
          <cell r="DR174" t="str">
            <v/>
          </cell>
          <cell r="DT174">
            <v>0.06</v>
          </cell>
          <cell r="DU174">
            <v>55750</v>
          </cell>
          <cell r="DW174">
            <v>0</v>
          </cell>
          <cell r="DX174" t="str">
            <v/>
          </cell>
          <cell r="DZ174">
            <v>0</v>
          </cell>
          <cell r="EA174" t="str">
            <v/>
          </cell>
          <cell r="EC174">
            <v>0</v>
          </cell>
          <cell r="ED174" t="str">
            <v/>
          </cell>
          <cell r="EF174">
            <v>0</v>
          </cell>
          <cell r="EG174" t="str">
            <v/>
          </cell>
          <cell r="EI174">
            <v>0</v>
          </cell>
          <cell r="EJ174" t="str">
            <v/>
          </cell>
          <cell r="EL174">
            <v>0</v>
          </cell>
          <cell r="EM174" t="str">
            <v/>
          </cell>
          <cell r="EO174">
            <v>0</v>
          </cell>
          <cell r="EP174" t="str">
            <v/>
          </cell>
          <cell r="ER174">
            <v>0</v>
          </cell>
          <cell r="ES174" t="str">
            <v/>
          </cell>
          <cell r="EU174">
            <v>0</v>
          </cell>
          <cell r="EV174" t="str">
            <v/>
          </cell>
          <cell r="EX174">
            <v>0</v>
          </cell>
          <cell r="EY174" t="str">
            <v/>
          </cell>
          <cell r="FA174">
            <v>0</v>
          </cell>
          <cell r="FB174" t="str">
            <v/>
          </cell>
          <cell r="FD174">
            <v>0</v>
          </cell>
          <cell r="FE174" t="str">
            <v/>
          </cell>
          <cell r="FG174">
            <v>0</v>
          </cell>
          <cell r="FH174" t="str">
            <v/>
          </cell>
          <cell r="FJ174">
            <v>0</v>
          </cell>
          <cell r="FK174" t="str">
            <v/>
          </cell>
          <cell r="FM174">
            <v>0</v>
          </cell>
          <cell r="FN174" t="str">
            <v/>
          </cell>
          <cell r="FP174">
            <v>0</v>
          </cell>
          <cell r="FQ174" t="str">
            <v/>
          </cell>
          <cell r="FS174">
            <v>0</v>
          </cell>
          <cell r="FT174" t="str">
            <v/>
          </cell>
          <cell r="FV174">
            <v>0</v>
          </cell>
          <cell r="FW174" t="str">
            <v/>
          </cell>
          <cell r="FY174">
            <v>0</v>
          </cell>
          <cell r="FZ174" t="str">
            <v/>
          </cell>
          <cell r="GB174">
            <v>0</v>
          </cell>
          <cell r="GC174" t="str">
            <v/>
          </cell>
          <cell r="GE174">
            <v>0</v>
          </cell>
          <cell r="GF174" t="str">
            <v/>
          </cell>
          <cell r="GH174">
            <v>0</v>
          </cell>
          <cell r="GI174" t="str">
            <v/>
          </cell>
          <cell r="GK174">
            <v>0</v>
          </cell>
          <cell r="GL174" t="str">
            <v/>
          </cell>
          <cell r="GN174">
            <v>0</v>
          </cell>
          <cell r="GO174" t="str">
            <v/>
          </cell>
          <cell r="GQ174">
            <v>0</v>
          </cell>
          <cell r="GR174" t="str">
            <v/>
          </cell>
          <cell r="GT174">
            <v>0</v>
          </cell>
          <cell r="GU174" t="str">
            <v/>
          </cell>
          <cell r="GW174">
            <v>0</v>
          </cell>
          <cell r="GX174" t="str">
            <v/>
          </cell>
          <cell r="GZ174">
            <v>0</v>
          </cell>
          <cell r="HA174" t="str">
            <v/>
          </cell>
          <cell r="HC174">
            <v>0</v>
          </cell>
          <cell r="HD174" t="str">
            <v/>
          </cell>
          <cell r="HF174">
            <v>0</v>
          </cell>
          <cell r="HG174" t="str">
            <v/>
          </cell>
          <cell r="HI174">
            <v>0</v>
          </cell>
          <cell r="HJ174" t="str">
            <v/>
          </cell>
          <cell r="HL174">
            <v>0.62</v>
          </cell>
          <cell r="HM174">
            <v>41700</v>
          </cell>
          <cell r="HO174">
            <v>0</v>
          </cell>
          <cell r="HP174" t="str">
            <v/>
          </cell>
          <cell r="HR174">
            <v>0</v>
          </cell>
          <cell r="HS174" t="str">
            <v/>
          </cell>
          <cell r="HU174">
            <v>0</v>
          </cell>
          <cell r="HV174" t="str">
            <v/>
          </cell>
        </row>
        <row r="175">
          <cell r="DQ175">
            <v>0.08</v>
          </cell>
          <cell r="DR175">
            <v>79600</v>
          </cell>
          <cell r="DT175">
            <v>1.88</v>
          </cell>
          <cell r="DU175">
            <v>56087.234042553195</v>
          </cell>
          <cell r="DW175">
            <v>0</v>
          </cell>
          <cell r="DX175" t="str">
            <v/>
          </cell>
          <cell r="DZ175">
            <v>0</v>
          </cell>
          <cell r="EA175" t="str">
            <v/>
          </cell>
          <cell r="EC175">
            <v>0</v>
          </cell>
          <cell r="ED175" t="str">
            <v/>
          </cell>
          <cell r="EF175">
            <v>0</v>
          </cell>
          <cell r="EG175" t="str">
            <v/>
          </cell>
          <cell r="EI175">
            <v>0</v>
          </cell>
          <cell r="EJ175" t="str">
            <v/>
          </cell>
          <cell r="EL175">
            <v>0</v>
          </cell>
          <cell r="EM175" t="str">
            <v/>
          </cell>
          <cell r="EO175">
            <v>0</v>
          </cell>
          <cell r="EP175" t="str">
            <v/>
          </cell>
          <cell r="ER175">
            <v>0</v>
          </cell>
          <cell r="ES175" t="str">
            <v/>
          </cell>
          <cell r="EU175">
            <v>0</v>
          </cell>
          <cell r="EV175" t="str">
            <v/>
          </cell>
          <cell r="EX175">
            <v>0</v>
          </cell>
          <cell r="EY175" t="str">
            <v/>
          </cell>
          <cell r="FA175">
            <v>0</v>
          </cell>
          <cell r="FB175" t="str">
            <v/>
          </cell>
          <cell r="FD175">
            <v>0</v>
          </cell>
          <cell r="FE175" t="str">
            <v/>
          </cell>
          <cell r="FG175">
            <v>0</v>
          </cell>
          <cell r="FH175" t="str">
            <v/>
          </cell>
          <cell r="FJ175">
            <v>0</v>
          </cell>
          <cell r="FK175" t="str">
            <v/>
          </cell>
          <cell r="FM175">
            <v>0</v>
          </cell>
          <cell r="FN175" t="str">
            <v/>
          </cell>
          <cell r="FP175">
            <v>0</v>
          </cell>
          <cell r="FQ175" t="str">
            <v/>
          </cell>
          <cell r="FS175">
            <v>0</v>
          </cell>
          <cell r="FT175" t="str">
            <v/>
          </cell>
          <cell r="FV175">
            <v>0</v>
          </cell>
          <cell r="FW175" t="str">
            <v/>
          </cell>
          <cell r="FY175">
            <v>0</v>
          </cell>
          <cell r="FZ175" t="str">
            <v/>
          </cell>
          <cell r="GB175">
            <v>0</v>
          </cell>
          <cell r="GC175" t="str">
            <v/>
          </cell>
          <cell r="GE175">
            <v>0</v>
          </cell>
          <cell r="GF175" t="str">
            <v/>
          </cell>
          <cell r="GH175">
            <v>0</v>
          </cell>
          <cell r="GI175" t="str">
            <v/>
          </cell>
          <cell r="GK175">
            <v>0</v>
          </cell>
          <cell r="GL175" t="str">
            <v/>
          </cell>
          <cell r="GN175">
            <v>0</v>
          </cell>
          <cell r="GO175" t="str">
            <v/>
          </cell>
          <cell r="GQ175">
            <v>0</v>
          </cell>
          <cell r="GR175" t="str">
            <v/>
          </cell>
          <cell r="GT175">
            <v>0</v>
          </cell>
          <cell r="GU175" t="str">
            <v/>
          </cell>
          <cell r="GW175">
            <v>0</v>
          </cell>
          <cell r="GX175" t="str">
            <v/>
          </cell>
          <cell r="GZ175">
            <v>0</v>
          </cell>
          <cell r="HA175" t="str">
            <v/>
          </cell>
          <cell r="HC175">
            <v>0</v>
          </cell>
          <cell r="HD175" t="str">
            <v/>
          </cell>
          <cell r="HF175">
            <v>0</v>
          </cell>
          <cell r="HG175" t="str">
            <v/>
          </cell>
          <cell r="HI175">
            <v>0</v>
          </cell>
          <cell r="HJ175" t="str">
            <v/>
          </cell>
          <cell r="HL175">
            <v>0.68</v>
          </cell>
          <cell r="HM175">
            <v>49970.588235294112</v>
          </cell>
          <cell r="HO175">
            <v>0.04</v>
          </cell>
          <cell r="HP175">
            <v>37400</v>
          </cell>
          <cell r="HR175">
            <v>0</v>
          </cell>
          <cell r="HS175" t="str">
            <v/>
          </cell>
          <cell r="HU175">
            <v>0</v>
          </cell>
          <cell r="HV175" t="str">
            <v/>
          </cell>
        </row>
        <row r="176">
          <cell r="DQ176">
            <v>0.51</v>
          </cell>
          <cell r="DR176">
            <v>105435.29411764706</v>
          </cell>
          <cell r="DT176">
            <v>3.4799999999999995</v>
          </cell>
          <cell r="DU176">
            <v>50500.000000000007</v>
          </cell>
          <cell r="DW176">
            <v>0</v>
          </cell>
          <cell r="DX176" t="str">
            <v/>
          </cell>
          <cell r="DZ176">
            <v>0</v>
          </cell>
          <cell r="EA176" t="str">
            <v/>
          </cell>
          <cell r="EC176">
            <v>0</v>
          </cell>
          <cell r="ED176" t="str">
            <v/>
          </cell>
          <cell r="EF176">
            <v>0</v>
          </cell>
          <cell r="EG176" t="str">
            <v/>
          </cell>
          <cell r="EI176">
            <v>0</v>
          </cell>
          <cell r="EJ176" t="str">
            <v/>
          </cell>
          <cell r="EL176">
            <v>0.21000000000000002</v>
          </cell>
          <cell r="EM176">
            <v>73757.142857142855</v>
          </cell>
          <cell r="EO176">
            <v>0.03</v>
          </cell>
          <cell r="EP176">
            <v>22880</v>
          </cell>
          <cell r="ER176">
            <v>0</v>
          </cell>
          <cell r="ES176" t="str">
            <v/>
          </cell>
          <cell r="EU176">
            <v>0</v>
          </cell>
          <cell r="EV176" t="str">
            <v/>
          </cell>
          <cell r="EX176">
            <v>0</v>
          </cell>
          <cell r="EY176" t="str">
            <v/>
          </cell>
          <cell r="FA176">
            <v>0</v>
          </cell>
          <cell r="FB176" t="str">
            <v/>
          </cell>
          <cell r="FD176">
            <v>0</v>
          </cell>
          <cell r="FE176" t="str">
            <v/>
          </cell>
          <cell r="FG176">
            <v>0</v>
          </cell>
          <cell r="FH176" t="str">
            <v/>
          </cell>
          <cell r="FJ176">
            <v>0</v>
          </cell>
          <cell r="FK176" t="str">
            <v/>
          </cell>
          <cell r="FM176">
            <v>0</v>
          </cell>
          <cell r="FN176" t="str">
            <v/>
          </cell>
          <cell r="FP176">
            <v>0</v>
          </cell>
          <cell r="FQ176" t="str">
            <v/>
          </cell>
          <cell r="FS176">
            <v>0</v>
          </cell>
          <cell r="FT176" t="str">
            <v/>
          </cell>
          <cell r="FV176">
            <v>0</v>
          </cell>
          <cell r="FW176" t="str">
            <v/>
          </cell>
          <cell r="FY176">
            <v>0</v>
          </cell>
          <cell r="FZ176" t="str">
            <v/>
          </cell>
          <cell r="GB176">
            <v>0.44999999999999996</v>
          </cell>
          <cell r="GC176">
            <v>65686.666666666672</v>
          </cell>
          <cell r="GE176">
            <v>0</v>
          </cell>
          <cell r="GF176" t="str">
            <v/>
          </cell>
          <cell r="GH176">
            <v>0</v>
          </cell>
          <cell r="GI176" t="str">
            <v/>
          </cell>
          <cell r="GK176">
            <v>0</v>
          </cell>
          <cell r="GL176" t="str">
            <v/>
          </cell>
          <cell r="GN176">
            <v>0</v>
          </cell>
          <cell r="GO176" t="str">
            <v/>
          </cell>
          <cell r="GQ176">
            <v>0</v>
          </cell>
          <cell r="GR176" t="str">
            <v/>
          </cell>
          <cell r="GT176">
            <v>0</v>
          </cell>
          <cell r="GU176" t="str">
            <v/>
          </cell>
          <cell r="GW176">
            <v>0</v>
          </cell>
          <cell r="GX176" t="str">
            <v/>
          </cell>
          <cell r="GZ176">
            <v>0</v>
          </cell>
          <cell r="HA176" t="str">
            <v/>
          </cell>
          <cell r="HC176">
            <v>21.39</v>
          </cell>
          <cell r="HD176">
            <v>35022.580645161288</v>
          </cell>
          <cell r="HF176">
            <v>0</v>
          </cell>
          <cell r="HG176" t="str">
            <v/>
          </cell>
          <cell r="HI176">
            <v>0</v>
          </cell>
          <cell r="HJ176" t="str">
            <v/>
          </cell>
          <cell r="HL176">
            <v>0.51</v>
          </cell>
          <cell r="HM176">
            <v>45358.823529411762</v>
          </cell>
          <cell r="HO176">
            <v>0.99</v>
          </cell>
          <cell r="HP176">
            <v>40978.78787878788</v>
          </cell>
          <cell r="HR176">
            <v>0.24</v>
          </cell>
          <cell r="HS176">
            <v>46562.5</v>
          </cell>
          <cell r="HU176">
            <v>0</v>
          </cell>
          <cell r="HV176" t="str">
            <v/>
          </cell>
        </row>
        <row r="177">
          <cell r="DQ177">
            <v>0</v>
          </cell>
          <cell r="DR177" t="str">
            <v/>
          </cell>
          <cell r="DT177">
            <v>0.82</v>
          </cell>
          <cell r="DU177">
            <v>86035.365853658543</v>
          </cell>
          <cell r="DW177">
            <v>0</v>
          </cell>
          <cell r="DX177" t="str">
            <v/>
          </cell>
          <cell r="DZ177">
            <v>0</v>
          </cell>
          <cell r="EA177" t="str">
            <v/>
          </cell>
          <cell r="EC177">
            <v>0</v>
          </cell>
          <cell r="ED177" t="str">
            <v/>
          </cell>
          <cell r="EF177">
            <v>0</v>
          </cell>
          <cell r="EG177" t="str">
            <v/>
          </cell>
          <cell r="EI177">
            <v>0</v>
          </cell>
          <cell r="EJ177" t="str">
            <v/>
          </cell>
          <cell r="EL177">
            <v>0</v>
          </cell>
          <cell r="EM177" t="str">
            <v/>
          </cell>
          <cell r="EO177">
            <v>0</v>
          </cell>
          <cell r="EP177" t="str">
            <v/>
          </cell>
          <cell r="ER177">
            <v>0</v>
          </cell>
          <cell r="ES177" t="str">
            <v/>
          </cell>
          <cell r="EU177">
            <v>0</v>
          </cell>
          <cell r="EV177" t="str">
            <v/>
          </cell>
          <cell r="EX177">
            <v>0</v>
          </cell>
          <cell r="EY177" t="str">
            <v/>
          </cell>
          <cell r="FA177">
            <v>0</v>
          </cell>
          <cell r="FB177" t="str">
            <v/>
          </cell>
          <cell r="FD177">
            <v>0</v>
          </cell>
          <cell r="FE177" t="str">
            <v/>
          </cell>
          <cell r="FG177">
            <v>0</v>
          </cell>
          <cell r="FH177" t="str">
            <v/>
          </cell>
          <cell r="FJ177">
            <v>0</v>
          </cell>
          <cell r="FK177" t="str">
            <v/>
          </cell>
          <cell r="FM177">
            <v>0</v>
          </cell>
          <cell r="FN177" t="str">
            <v/>
          </cell>
          <cell r="FP177">
            <v>0</v>
          </cell>
          <cell r="FQ177" t="str">
            <v/>
          </cell>
          <cell r="FS177">
            <v>0</v>
          </cell>
          <cell r="FT177" t="str">
            <v/>
          </cell>
          <cell r="FV177">
            <v>0</v>
          </cell>
          <cell r="FW177" t="str">
            <v/>
          </cell>
          <cell r="FY177">
            <v>0</v>
          </cell>
          <cell r="FZ177" t="str">
            <v/>
          </cell>
          <cell r="GB177">
            <v>0</v>
          </cell>
          <cell r="GC177" t="str">
            <v/>
          </cell>
          <cell r="GE177">
            <v>0</v>
          </cell>
          <cell r="GF177" t="str">
            <v/>
          </cell>
          <cell r="GH177">
            <v>0</v>
          </cell>
          <cell r="GI177" t="str">
            <v/>
          </cell>
          <cell r="GK177">
            <v>0</v>
          </cell>
          <cell r="GL177" t="str">
            <v/>
          </cell>
          <cell r="GN177">
            <v>0</v>
          </cell>
          <cell r="GO177" t="str">
            <v/>
          </cell>
          <cell r="GQ177">
            <v>0</v>
          </cell>
          <cell r="GR177" t="str">
            <v/>
          </cell>
          <cell r="GT177">
            <v>0</v>
          </cell>
          <cell r="GU177" t="str">
            <v/>
          </cell>
          <cell r="GW177">
            <v>0</v>
          </cell>
          <cell r="GX177" t="str">
            <v/>
          </cell>
          <cell r="GZ177">
            <v>0</v>
          </cell>
          <cell r="HA177" t="str">
            <v/>
          </cell>
          <cell r="HC177">
            <v>0.99</v>
          </cell>
          <cell r="HD177">
            <v>46129.292929292933</v>
          </cell>
          <cell r="HF177">
            <v>0</v>
          </cell>
          <cell r="HG177" t="str">
            <v/>
          </cell>
          <cell r="HI177">
            <v>0</v>
          </cell>
          <cell r="HJ177" t="str">
            <v/>
          </cell>
          <cell r="HL177">
            <v>2.88</v>
          </cell>
          <cell r="HM177">
            <v>41938.194444444445</v>
          </cell>
          <cell r="HO177">
            <v>0.86</v>
          </cell>
          <cell r="HP177">
            <v>36215.116279069771</v>
          </cell>
          <cell r="HR177">
            <v>0</v>
          </cell>
          <cell r="HS177" t="str">
            <v/>
          </cell>
          <cell r="HU177">
            <v>0</v>
          </cell>
          <cell r="HV177" t="str">
            <v/>
          </cell>
        </row>
        <row r="178">
          <cell r="DQ178">
            <v>0</v>
          </cell>
          <cell r="DR178" t="str">
            <v/>
          </cell>
          <cell r="DT178">
            <v>1.0900000000000001</v>
          </cell>
          <cell r="DU178">
            <v>64239.449541284397</v>
          </cell>
          <cell r="DW178">
            <v>0</v>
          </cell>
          <cell r="DX178" t="str">
            <v/>
          </cell>
          <cell r="DZ178">
            <v>0</v>
          </cell>
          <cell r="EA178" t="str">
            <v/>
          </cell>
          <cell r="EC178">
            <v>0</v>
          </cell>
          <cell r="ED178" t="str">
            <v/>
          </cell>
          <cell r="EF178">
            <v>0</v>
          </cell>
          <cell r="EG178" t="str">
            <v/>
          </cell>
          <cell r="EI178">
            <v>0</v>
          </cell>
          <cell r="EJ178" t="str">
            <v/>
          </cell>
          <cell r="EL178">
            <v>0</v>
          </cell>
          <cell r="EM178" t="str">
            <v/>
          </cell>
          <cell r="EO178">
            <v>0</v>
          </cell>
          <cell r="EP178" t="str">
            <v/>
          </cell>
          <cell r="ER178">
            <v>0</v>
          </cell>
          <cell r="ES178" t="str">
            <v/>
          </cell>
          <cell r="EU178">
            <v>0</v>
          </cell>
          <cell r="EV178" t="str">
            <v/>
          </cell>
          <cell r="EX178">
            <v>0</v>
          </cell>
          <cell r="EY178" t="str">
            <v/>
          </cell>
          <cell r="FA178">
            <v>0</v>
          </cell>
          <cell r="FB178" t="str">
            <v/>
          </cell>
          <cell r="FD178">
            <v>0</v>
          </cell>
          <cell r="FE178" t="str">
            <v/>
          </cell>
          <cell r="FG178">
            <v>0</v>
          </cell>
          <cell r="FH178" t="str">
            <v/>
          </cell>
          <cell r="FJ178">
            <v>0</v>
          </cell>
          <cell r="FK178" t="str">
            <v/>
          </cell>
          <cell r="FM178">
            <v>0</v>
          </cell>
          <cell r="FN178" t="str">
            <v/>
          </cell>
          <cell r="FP178">
            <v>0</v>
          </cell>
          <cell r="FQ178" t="str">
            <v/>
          </cell>
          <cell r="FS178">
            <v>0</v>
          </cell>
          <cell r="FT178" t="str">
            <v/>
          </cell>
          <cell r="FV178">
            <v>0</v>
          </cell>
          <cell r="FW178" t="str">
            <v/>
          </cell>
          <cell r="FY178">
            <v>0</v>
          </cell>
          <cell r="FZ178" t="str">
            <v/>
          </cell>
          <cell r="GB178">
            <v>0</v>
          </cell>
          <cell r="GC178" t="str">
            <v/>
          </cell>
          <cell r="GE178">
            <v>0</v>
          </cell>
          <cell r="GF178" t="str">
            <v/>
          </cell>
          <cell r="GH178">
            <v>0</v>
          </cell>
          <cell r="GI178" t="str">
            <v/>
          </cell>
          <cell r="GK178">
            <v>0</v>
          </cell>
          <cell r="GL178" t="str">
            <v/>
          </cell>
          <cell r="GN178">
            <v>0</v>
          </cell>
          <cell r="GO178" t="str">
            <v/>
          </cell>
          <cell r="GQ178">
            <v>0</v>
          </cell>
          <cell r="GR178" t="str">
            <v/>
          </cell>
          <cell r="GT178">
            <v>0</v>
          </cell>
          <cell r="GU178" t="str">
            <v/>
          </cell>
          <cell r="GW178">
            <v>0</v>
          </cell>
          <cell r="GX178" t="str">
            <v/>
          </cell>
          <cell r="GZ178">
            <v>0</v>
          </cell>
          <cell r="HA178" t="str">
            <v/>
          </cell>
          <cell r="HC178">
            <v>0</v>
          </cell>
          <cell r="HD178" t="str">
            <v/>
          </cell>
          <cell r="HF178">
            <v>0</v>
          </cell>
          <cell r="HG178" t="str">
            <v/>
          </cell>
          <cell r="HI178">
            <v>0</v>
          </cell>
          <cell r="HJ178" t="str">
            <v/>
          </cell>
          <cell r="HL178">
            <v>2.66</v>
          </cell>
          <cell r="HM178">
            <v>41604.887218045107</v>
          </cell>
          <cell r="HO178">
            <v>0</v>
          </cell>
          <cell r="HP178" t="str">
            <v/>
          </cell>
          <cell r="HR178">
            <v>0</v>
          </cell>
          <cell r="HS178" t="str">
            <v/>
          </cell>
          <cell r="HU178">
            <v>0</v>
          </cell>
          <cell r="HV178" t="str">
            <v/>
          </cell>
        </row>
        <row r="179">
          <cell r="DQ179">
            <v>0</v>
          </cell>
          <cell r="DR179" t="str">
            <v/>
          </cell>
          <cell r="DT179">
            <v>0</v>
          </cell>
          <cell r="DU179" t="str">
            <v/>
          </cell>
          <cell r="DW179">
            <v>0</v>
          </cell>
          <cell r="DX179" t="str">
            <v/>
          </cell>
          <cell r="DZ179">
            <v>0</v>
          </cell>
          <cell r="EA179" t="str">
            <v/>
          </cell>
          <cell r="EC179">
            <v>0</v>
          </cell>
          <cell r="ED179" t="str">
            <v/>
          </cell>
          <cell r="EF179">
            <v>0</v>
          </cell>
          <cell r="EG179" t="str">
            <v/>
          </cell>
          <cell r="EI179">
            <v>0</v>
          </cell>
          <cell r="EJ179" t="str">
            <v/>
          </cell>
          <cell r="EL179">
            <v>0</v>
          </cell>
          <cell r="EM179" t="str">
            <v/>
          </cell>
          <cell r="EO179">
            <v>0</v>
          </cell>
          <cell r="EP179" t="str">
            <v/>
          </cell>
          <cell r="ER179">
            <v>0</v>
          </cell>
          <cell r="ES179" t="str">
            <v/>
          </cell>
          <cell r="EU179">
            <v>0</v>
          </cell>
          <cell r="EV179" t="str">
            <v/>
          </cell>
          <cell r="EX179">
            <v>0</v>
          </cell>
          <cell r="EY179" t="str">
            <v/>
          </cell>
          <cell r="FA179">
            <v>0</v>
          </cell>
          <cell r="FB179" t="str">
            <v/>
          </cell>
          <cell r="FD179">
            <v>0</v>
          </cell>
          <cell r="FE179" t="str">
            <v/>
          </cell>
          <cell r="FG179">
            <v>0</v>
          </cell>
          <cell r="FH179" t="str">
            <v/>
          </cell>
          <cell r="FJ179">
            <v>0</v>
          </cell>
          <cell r="FK179" t="str">
            <v/>
          </cell>
          <cell r="FM179">
            <v>0</v>
          </cell>
          <cell r="FN179" t="str">
            <v/>
          </cell>
          <cell r="FP179">
            <v>0</v>
          </cell>
          <cell r="FQ179" t="str">
            <v/>
          </cell>
          <cell r="FS179">
            <v>0</v>
          </cell>
          <cell r="FT179" t="str">
            <v/>
          </cell>
          <cell r="FV179">
            <v>0</v>
          </cell>
          <cell r="FW179" t="str">
            <v/>
          </cell>
          <cell r="FY179">
            <v>0</v>
          </cell>
          <cell r="FZ179" t="str">
            <v/>
          </cell>
          <cell r="GB179">
            <v>0</v>
          </cell>
          <cell r="GC179" t="str">
            <v/>
          </cell>
          <cell r="GE179">
            <v>0</v>
          </cell>
          <cell r="GF179" t="str">
            <v/>
          </cell>
          <cell r="GH179">
            <v>0</v>
          </cell>
          <cell r="GI179" t="str">
            <v/>
          </cell>
          <cell r="GK179">
            <v>0</v>
          </cell>
          <cell r="GL179" t="str">
            <v/>
          </cell>
          <cell r="GN179">
            <v>0</v>
          </cell>
          <cell r="GO179" t="str">
            <v/>
          </cell>
          <cell r="GQ179">
            <v>0</v>
          </cell>
          <cell r="GR179" t="str">
            <v/>
          </cell>
          <cell r="GT179">
            <v>0</v>
          </cell>
          <cell r="GU179" t="str">
            <v/>
          </cell>
          <cell r="GW179">
            <v>0</v>
          </cell>
          <cell r="GX179" t="str">
            <v/>
          </cell>
          <cell r="GZ179">
            <v>0</v>
          </cell>
          <cell r="HA179" t="str">
            <v/>
          </cell>
          <cell r="HC179">
            <v>0</v>
          </cell>
          <cell r="HD179" t="str">
            <v/>
          </cell>
          <cell r="HF179">
            <v>0</v>
          </cell>
          <cell r="HG179" t="str">
            <v/>
          </cell>
          <cell r="HI179">
            <v>0</v>
          </cell>
          <cell r="HJ179" t="str">
            <v/>
          </cell>
          <cell r="HL179">
            <v>0</v>
          </cell>
          <cell r="HM179" t="str">
            <v/>
          </cell>
          <cell r="HO179">
            <v>0</v>
          </cell>
          <cell r="HP179" t="str">
            <v/>
          </cell>
          <cell r="HR179">
            <v>0</v>
          </cell>
          <cell r="HS179" t="str">
            <v/>
          </cell>
          <cell r="HU179">
            <v>0</v>
          </cell>
          <cell r="HV179" t="str">
            <v/>
          </cell>
        </row>
        <row r="180">
          <cell r="DQ180">
            <v>0</v>
          </cell>
          <cell r="DR180" t="str">
            <v/>
          </cell>
          <cell r="DT180">
            <v>0</v>
          </cell>
          <cell r="DU180" t="str">
            <v/>
          </cell>
          <cell r="DW180">
            <v>0</v>
          </cell>
          <cell r="DX180" t="str">
            <v/>
          </cell>
          <cell r="DZ180">
            <v>0.35</v>
          </cell>
          <cell r="EA180">
            <v>33914.285714285717</v>
          </cell>
          <cell r="EC180">
            <v>0</v>
          </cell>
          <cell r="ED180" t="str">
            <v/>
          </cell>
          <cell r="EF180">
            <v>0</v>
          </cell>
          <cell r="EG180" t="str">
            <v/>
          </cell>
          <cell r="EI180">
            <v>0</v>
          </cell>
          <cell r="EJ180" t="str">
            <v/>
          </cell>
          <cell r="EL180">
            <v>0</v>
          </cell>
          <cell r="EM180" t="str">
            <v/>
          </cell>
          <cell r="EO180">
            <v>0</v>
          </cell>
          <cell r="EP180" t="str">
            <v/>
          </cell>
          <cell r="ER180">
            <v>0</v>
          </cell>
          <cell r="ES180" t="str">
            <v/>
          </cell>
          <cell r="EU180">
            <v>0</v>
          </cell>
          <cell r="EV180" t="str">
            <v/>
          </cell>
          <cell r="EX180">
            <v>0</v>
          </cell>
          <cell r="EY180" t="str">
            <v/>
          </cell>
          <cell r="FA180">
            <v>0</v>
          </cell>
          <cell r="FB180" t="str">
            <v/>
          </cell>
          <cell r="FD180">
            <v>0</v>
          </cell>
          <cell r="FE180" t="str">
            <v/>
          </cell>
          <cell r="FG180">
            <v>0</v>
          </cell>
          <cell r="FH180" t="str">
            <v/>
          </cell>
          <cell r="FJ180">
            <v>0</v>
          </cell>
          <cell r="FK180" t="str">
            <v/>
          </cell>
          <cell r="FM180">
            <v>0</v>
          </cell>
          <cell r="FN180" t="str">
            <v/>
          </cell>
          <cell r="FP180">
            <v>0</v>
          </cell>
          <cell r="FQ180" t="str">
            <v/>
          </cell>
          <cell r="FS180">
            <v>0</v>
          </cell>
          <cell r="FT180" t="str">
            <v/>
          </cell>
          <cell r="FV180">
            <v>0</v>
          </cell>
          <cell r="FW180" t="str">
            <v/>
          </cell>
          <cell r="FY180">
            <v>0</v>
          </cell>
          <cell r="FZ180" t="str">
            <v/>
          </cell>
          <cell r="GB180">
            <v>0</v>
          </cell>
          <cell r="GC180" t="str">
            <v/>
          </cell>
          <cell r="GE180">
            <v>0.01</v>
          </cell>
          <cell r="GF180">
            <v>27200</v>
          </cell>
          <cell r="GH180">
            <v>0.75</v>
          </cell>
          <cell r="GI180">
            <v>51373.333333333336</v>
          </cell>
          <cell r="GK180">
            <v>0</v>
          </cell>
          <cell r="GL180" t="str">
            <v/>
          </cell>
          <cell r="GN180">
            <v>0</v>
          </cell>
          <cell r="GO180" t="str">
            <v/>
          </cell>
          <cell r="GQ180">
            <v>0</v>
          </cell>
          <cell r="GR180" t="str">
            <v/>
          </cell>
          <cell r="GT180">
            <v>0</v>
          </cell>
          <cell r="GU180" t="str">
            <v/>
          </cell>
          <cell r="GW180">
            <v>4.6900000000000004</v>
          </cell>
          <cell r="GX180">
            <v>48596.162046908314</v>
          </cell>
          <cell r="GZ180">
            <v>0</v>
          </cell>
          <cell r="HA180" t="str">
            <v/>
          </cell>
          <cell r="HC180">
            <v>1.1000000000000001</v>
          </cell>
          <cell r="HD180">
            <v>61551.818181818177</v>
          </cell>
          <cell r="HF180">
            <v>0.17</v>
          </cell>
          <cell r="HG180">
            <v>78764.705882352937</v>
          </cell>
          <cell r="HI180">
            <v>0.05</v>
          </cell>
          <cell r="HJ180">
            <v>50220</v>
          </cell>
          <cell r="HL180">
            <v>0</v>
          </cell>
          <cell r="HM180" t="str">
            <v/>
          </cell>
          <cell r="HO180">
            <v>0.14000000000000001</v>
          </cell>
          <cell r="HP180">
            <v>41099.999999999993</v>
          </cell>
          <cell r="HR180">
            <v>0</v>
          </cell>
          <cell r="HS180" t="str">
            <v/>
          </cell>
          <cell r="HU180">
            <v>0</v>
          </cell>
          <cell r="HV180" t="str">
            <v/>
          </cell>
        </row>
        <row r="181">
          <cell r="DQ181">
            <v>1</v>
          </cell>
          <cell r="DR181">
            <v>80259.539999999994</v>
          </cell>
          <cell r="DT181">
            <v>0.24</v>
          </cell>
          <cell r="DU181">
            <v>102500.08333333334</v>
          </cell>
          <cell r="DW181">
            <v>1.94</v>
          </cell>
          <cell r="DX181">
            <v>63431.463917525769</v>
          </cell>
          <cell r="DZ181">
            <v>0</v>
          </cell>
          <cell r="EA181" t="str">
            <v/>
          </cell>
          <cell r="EC181">
            <v>0.05</v>
          </cell>
          <cell r="ED181">
            <v>239000</v>
          </cell>
          <cell r="EF181">
            <v>0</v>
          </cell>
          <cell r="EG181" t="str">
            <v/>
          </cell>
          <cell r="EI181">
            <v>0</v>
          </cell>
          <cell r="EJ181" t="str">
            <v/>
          </cell>
          <cell r="EL181">
            <v>0</v>
          </cell>
          <cell r="EM181" t="str">
            <v/>
          </cell>
          <cell r="EO181">
            <v>0</v>
          </cell>
          <cell r="EP181" t="str">
            <v/>
          </cell>
          <cell r="ER181">
            <v>0</v>
          </cell>
          <cell r="ES181" t="str">
            <v/>
          </cell>
          <cell r="EU181">
            <v>0</v>
          </cell>
          <cell r="EV181" t="str">
            <v/>
          </cell>
          <cell r="EX181">
            <v>0</v>
          </cell>
          <cell r="EY181" t="str">
            <v/>
          </cell>
          <cell r="FA181">
            <v>0</v>
          </cell>
          <cell r="FB181" t="str">
            <v/>
          </cell>
          <cell r="FD181">
            <v>0</v>
          </cell>
          <cell r="FE181" t="str">
            <v/>
          </cell>
          <cell r="FG181">
            <v>0</v>
          </cell>
          <cell r="FH181" t="str">
            <v/>
          </cell>
          <cell r="FJ181">
            <v>0</v>
          </cell>
          <cell r="FK181" t="str">
            <v/>
          </cell>
          <cell r="FM181">
            <v>0</v>
          </cell>
          <cell r="FN181" t="str">
            <v/>
          </cell>
          <cell r="FP181">
            <v>0</v>
          </cell>
          <cell r="FQ181" t="str">
            <v/>
          </cell>
          <cell r="FS181">
            <v>0</v>
          </cell>
          <cell r="FT181" t="str">
            <v/>
          </cell>
          <cell r="FV181">
            <v>0</v>
          </cell>
          <cell r="FW181" t="str">
            <v/>
          </cell>
          <cell r="FY181">
            <v>0</v>
          </cell>
          <cell r="FZ181" t="str">
            <v/>
          </cell>
          <cell r="GB181">
            <v>0</v>
          </cell>
          <cell r="GC181" t="str">
            <v/>
          </cell>
          <cell r="GE181">
            <v>0</v>
          </cell>
          <cell r="GF181" t="str">
            <v/>
          </cell>
          <cell r="GH181">
            <v>0</v>
          </cell>
          <cell r="GI181" t="str">
            <v/>
          </cell>
          <cell r="GK181">
            <v>0</v>
          </cell>
          <cell r="GL181" t="str">
            <v/>
          </cell>
          <cell r="GN181">
            <v>0</v>
          </cell>
          <cell r="GO181" t="str">
            <v/>
          </cell>
          <cell r="GQ181">
            <v>0</v>
          </cell>
          <cell r="GR181" t="str">
            <v/>
          </cell>
          <cell r="GT181">
            <v>7.05</v>
          </cell>
          <cell r="GU181">
            <v>39984.879432624119</v>
          </cell>
          <cell r="GW181">
            <v>7.33</v>
          </cell>
          <cell r="GX181">
            <v>50639.414733969985</v>
          </cell>
          <cell r="GZ181">
            <v>1.8</v>
          </cell>
          <cell r="HA181">
            <v>42997.927777777782</v>
          </cell>
          <cell r="HC181">
            <v>0</v>
          </cell>
          <cell r="HD181" t="str">
            <v/>
          </cell>
          <cell r="HF181">
            <v>0</v>
          </cell>
          <cell r="HG181" t="str">
            <v/>
          </cell>
          <cell r="HI181">
            <v>0</v>
          </cell>
          <cell r="HJ181" t="str">
            <v/>
          </cell>
          <cell r="HL181">
            <v>0</v>
          </cell>
          <cell r="HM181" t="str">
            <v/>
          </cell>
          <cell r="HO181">
            <v>1.02</v>
          </cell>
          <cell r="HP181">
            <v>44670.941176470587</v>
          </cell>
          <cell r="HR181">
            <v>0</v>
          </cell>
          <cell r="HS181" t="str">
            <v/>
          </cell>
          <cell r="HU181">
            <v>0</v>
          </cell>
          <cell r="HV181" t="str">
            <v/>
          </cell>
        </row>
        <row r="182">
          <cell r="DQ182">
            <v>0.2</v>
          </cell>
          <cell r="DR182">
            <v>87307.999999999985</v>
          </cell>
          <cell r="DT182">
            <v>0.12</v>
          </cell>
          <cell r="DU182">
            <v>102500.5</v>
          </cell>
          <cell r="DW182">
            <v>0</v>
          </cell>
          <cell r="DX182" t="str">
            <v/>
          </cell>
          <cell r="DZ182">
            <v>0</v>
          </cell>
          <cell r="EA182" t="str">
            <v/>
          </cell>
          <cell r="EC182">
            <v>0.09</v>
          </cell>
          <cell r="ED182">
            <v>211666.66666666669</v>
          </cell>
          <cell r="EF182">
            <v>0</v>
          </cell>
          <cell r="EG182" t="str">
            <v/>
          </cell>
          <cell r="EI182">
            <v>0.6</v>
          </cell>
          <cell r="EJ182">
            <v>129453.66666666667</v>
          </cell>
          <cell r="EL182">
            <v>0</v>
          </cell>
          <cell r="EM182" t="str">
            <v/>
          </cell>
          <cell r="EO182">
            <v>0</v>
          </cell>
          <cell r="EP182" t="str">
            <v/>
          </cell>
          <cell r="ER182">
            <v>0</v>
          </cell>
          <cell r="ES182" t="str">
            <v/>
          </cell>
          <cell r="EU182">
            <v>0</v>
          </cell>
          <cell r="EV182" t="str">
            <v/>
          </cell>
          <cell r="EX182">
            <v>0</v>
          </cell>
          <cell r="EY182" t="str">
            <v/>
          </cell>
          <cell r="FA182">
            <v>0</v>
          </cell>
          <cell r="FB182" t="str">
            <v/>
          </cell>
          <cell r="FD182">
            <v>0</v>
          </cell>
          <cell r="FE182" t="str">
            <v/>
          </cell>
          <cell r="FG182">
            <v>0</v>
          </cell>
          <cell r="FH182" t="str">
            <v/>
          </cell>
          <cell r="FJ182">
            <v>0</v>
          </cell>
          <cell r="FK182" t="str">
            <v/>
          </cell>
          <cell r="FM182">
            <v>0</v>
          </cell>
          <cell r="FN182" t="str">
            <v/>
          </cell>
          <cell r="FP182">
            <v>0</v>
          </cell>
          <cell r="FQ182" t="str">
            <v/>
          </cell>
          <cell r="FS182">
            <v>0</v>
          </cell>
          <cell r="FT182" t="str">
            <v/>
          </cell>
          <cell r="FV182">
            <v>0</v>
          </cell>
          <cell r="FW182" t="str">
            <v/>
          </cell>
          <cell r="FY182">
            <v>1</v>
          </cell>
          <cell r="FZ182">
            <v>69999.86</v>
          </cell>
          <cell r="GB182">
            <v>3.3</v>
          </cell>
          <cell r="GC182">
            <v>49690.678787878787</v>
          </cell>
          <cell r="GE182">
            <v>3.83</v>
          </cell>
          <cell r="GF182">
            <v>49988.835509138378</v>
          </cell>
          <cell r="GH182">
            <v>2.23</v>
          </cell>
          <cell r="GI182">
            <v>41976.040358744402</v>
          </cell>
          <cell r="GK182">
            <v>0.78</v>
          </cell>
          <cell r="GL182">
            <v>51350.256410256407</v>
          </cell>
          <cell r="GN182">
            <v>0</v>
          </cell>
          <cell r="GO182" t="str">
            <v/>
          </cell>
          <cell r="GQ182">
            <v>0</v>
          </cell>
          <cell r="GR182" t="str">
            <v/>
          </cell>
          <cell r="GT182">
            <v>0</v>
          </cell>
          <cell r="GU182" t="str">
            <v/>
          </cell>
          <cell r="GW182">
            <v>0</v>
          </cell>
          <cell r="GX182" t="str">
            <v/>
          </cell>
          <cell r="GZ182">
            <v>0</v>
          </cell>
          <cell r="HA182" t="str">
            <v/>
          </cell>
          <cell r="HC182">
            <v>0</v>
          </cell>
          <cell r="HD182" t="str">
            <v/>
          </cell>
          <cell r="HF182">
            <v>0</v>
          </cell>
          <cell r="HG182" t="str">
            <v/>
          </cell>
          <cell r="HI182">
            <v>0</v>
          </cell>
          <cell r="HJ182" t="str">
            <v/>
          </cell>
          <cell r="HL182">
            <v>0</v>
          </cell>
          <cell r="HM182" t="str">
            <v/>
          </cell>
          <cell r="HO182">
            <v>1.97</v>
          </cell>
          <cell r="HP182">
            <v>38065.781725888322</v>
          </cell>
          <cell r="HR182">
            <v>0</v>
          </cell>
          <cell r="HS182" t="str">
            <v/>
          </cell>
          <cell r="HU182">
            <v>0</v>
          </cell>
          <cell r="HV182" t="str">
            <v/>
          </cell>
        </row>
        <row r="183">
          <cell r="DQ183">
            <v>0</v>
          </cell>
          <cell r="DR183" t="str">
            <v/>
          </cell>
          <cell r="DT183">
            <v>0</v>
          </cell>
          <cell r="DU183" t="str">
            <v/>
          </cell>
          <cell r="DW183">
            <v>0</v>
          </cell>
          <cell r="DX183" t="str">
            <v/>
          </cell>
          <cell r="DZ183">
            <v>0</v>
          </cell>
          <cell r="EA183" t="str">
            <v/>
          </cell>
          <cell r="EC183">
            <v>0</v>
          </cell>
          <cell r="ED183" t="str">
            <v/>
          </cell>
          <cell r="EF183">
            <v>0</v>
          </cell>
          <cell r="EG183" t="str">
            <v/>
          </cell>
          <cell r="EI183">
            <v>0</v>
          </cell>
          <cell r="EJ183" t="str">
            <v/>
          </cell>
          <cell r="EL183">
            <v>0</v>
          </cell>
          <cell r="EM183" t="str">
            <v/>
          </cell>
          <cell r="EO183">
            <v>0</v>
          </cell>
          <cell r="EP183" t="str">
            <v/>
          </cell>
          <cell r="ER183">
            <v>0</v>
          </cell>
          <cell r="ES183" t="str">
            <v/>
          </cell>
          <cell r="EU183">
            <v>0</v>
          </cell>
          <cell r="EV183" t="str">
            <v/>
          </cell>
          <cell r="EX183">
            <v>0</v>
          </cell>
          <cell r="EY183" t="str">
            <v/>
          </cell>
          <cell r="FA183">
            <v>0</v>
          </cell>
          <cell r="FB183" t="str">
            <v/>
          </cell>
          <cell r="FD183">
            <v>0</v>
          </cell>
          <cell r="FE183" t="str">
            <v/>
          </cell>
          <cell r="FG183">
            <v>0</v>
          </cell>
          <cell r="FH183" t="str">
            <v/>
          </cell>
          <cell r="FJ183">
            <v>0</v>
          </cell>
          <cell r="FK183" t="str">
            <v/>
          </cell>
          <cell r="FM183">
            <v>0</v>
          </cell>
          <cell r="FN183" t="str">
            <v/>
          </cell>
          <cell r="FP183">
            <v>0</v>
          </cell>
          <cell r="FQ183" t="str">
            <v/>
          </cell>
          <cell r="FS183">
            <v>0</v>
          </cell>
          <cell r="FT183" t="str">
            <v/>
          </cell>
          <cell r="FV183">
            <v>0</v>
          </cell>
          <cell r="FW183" t="str">
            <v/>
          </cell>
          <cell r="FY183">
            <v>0</v>
          </cell>
          <cell r="FZ183" t="str">
            <v/>
          </cell>
          <cell r="GB183">
            <v>0</v>
          </cell>
          <cell r="GC183" t="str">
            <v/>
          </cell>
          <cell r="GE183">
            <v>0</v>
          </cell>
          <cell r="GF183" t="str">
            <v/>
          </cell>
          <cell r="GH183">
            <v>0</v>
          </cell>
          <cell r="GI183" t="str">
            <v/>
          </cell>
          <cell r="GK183">
            <v>0</v>
          </cell>
          <cell r="GL183" t="str">
            <v/>
          </cell>
          <cell r="GN183">
            <v>0</v>
          </cell>
          <cell r="GO183" t="str">
            <v/>
          </cell>
          <cell r="GQ183">
            <v>0</v>
          </cell>
          <cell r="GR183" t="str">
            <v/>
          </cell>
          <cell r="GT183">
            <v>0</v>
          </cell>
          <cell r="GU183" t="str">
            <v/>
          </cell>
          <cell r="GW183">
            <v>0</v>
          </cell>
          <cell r="GX183" t="str">
            <v/>
          </cell>
          <cell r="GZ183">
            <v>0</v>
          </cell>
          <cell r="HA183" t="str">
            <v/>
          </cell>
          <cell r="HC183">
            <v>0</v>
          </cell>
          <cell r="HD183" t="str">
            <v/>
          </cell>
          <cell r="HF183">
            <v>0</v>
          </cell>
          <cell r="HG183" t="str">
            <v/>
          </cell>
          <cell r="HI183">
            <v>0</v>
          </cell>
          <cell r="HJ183" t="str">
            <v/>
          </cell>
          <cell r="HL183">
            <v>0</v>
          </cell>
          <cell r="HM183" t="str">
            <v/>
          </cell>
          <cell r="HO183">
            <v>0</v>
          </cell>
          <cell r="HP183" t="str">
            <v/>
          </cell>
          <cell r="HR183">
            <v>0</v>
          </cell>
          <cell r="HS183" t="str">
            <v/>
          </cell>
          <cell r="HU183">
            <v>0</v>
          </cell>
          <cell r="HV183" t="str">
            <v/>
          </cell>
        </row>
        <row r="184">
          <cell r="DQ184">
            <v>1.64</v>
          </cell>
          <cell r="DR184">
            <v>69419.512195121963</v>
          </cell>
          <cell r="DT184">
            <v>0.84</v>
          </cell>
          <cell r="DU184">
            <v>107261.90476190476</v>
          </cell>
          <cell r="DW184">
            <v>0.8</v>
          </cell>
          <cell r="DX184">
            <v>56025</v>
          </cell>
          <cell r="DZ184">
            <v>0.12</v>
          </cell>
          <cell r="EA184">
            <v>85933.333333333343</v>
          </cell>
          <cell r="EC184">
            <v>0.08</v>
          </cell>
          <cell r="ED184">
            <v>85050</v>
          </cell>
          <cell r="EF184">
            <v>0</v>
          </cell>
          <cell r="EG184" t="str">
            <v/>
          </cell>
          <cell r="EI184">
            <v>0</v>
          </cell>
          <cell r="EJ184" t="str">
            <v/>
          </cell>
          <cell r="EL184">
            <v>0</v>
          </cell>
          <cell r="EM184" t="str">
            <v/>
          </cell>
          <cell r="EO184">
            <v>0</v>
          </cell>
          <cell r="EP184" t="str">
            <v/>
          </cell>
          <cell r="ER184">
            <v>0</v>
          </cell>
          <cell r="ES184" t="str">
            <v/>
          </cell>
          <cell r="EU184">
            <v>0</v>
          </cell>
          <cell r="EV184" t="str">
            <v/>
          </cell>
          <cell r="EX184">
            <v>0</v>
          </cell>
          <cell r="EY184" t="str">
            <v/>
          </cell>
          <cell r="FA184">
            <v>0</v>
          </cell>
          <cell r="FB184" t="str">
            <v/>
          </cell>
          <cell r="FD184">
            <v>0</v>
          </cell>
          <cell r="FE184" t="str">
            <v/>
          </cell>
          <cell r="FG184">
            <v>0</v>
          </cell>
          <cell r="FH184" t="str">
            <v/>
          </cell>
          <cell r="FJ184">
            <v>0</v>
          </cell>
          <cell r="FK184" t="str">
            <v/>
          </cell>
          <cell r="FM184">
            <v>0</v>
          </cell>
          <cell r="FN184" t="str">
            <v/>
          </cell>
          <cell r="FP184">
            <v>0</v>
          </cell>
          <cell r="FQ184" t="str">
            <v/>
          </cell>
          <cell r="FS184">
            <v>0</v>
          </cell>
          <cell r="FT184" t="str">
            <v/>
          </cell>
          <cell r="FV184">
            <v>0</v>
          </cell>
          <cell r="FW184" t="str">
            <v/>
          </cell>
          <cell r="FY184">
            <v>0</v>
          </cell>
          <cell r="FZ184" t="str">
            <v/>
          </cell>
          <cell r="GB184">
            <v>10.4</v>
          </cell>
          <cell r="GC184">
            <v>42820</v>
          </cell>
          <cell r="GE184">
            <v>0.44</v>
          </cell>
          <cell r="GF184">
            <v>60545.454545454544</v>
          </cell>
          <cell r="GH184">
            <v>0.44</v>
          </cell>
          <cell r="GI184">
            <v>45618.181818181816</v>
          </cell>
          <cell r="GK184">
            <v>0</v>
          </cell>
          <cell r="GL184" t="str">
            <v/>
          </cell>
          <cell r="GN184">
            <v>0</v>
          </cell>
          <cell r="GO184" t="str">
            <v/>
          </cell>
          <cell r="GQ184">
            <v>0</v>
          </cell>
          <cell r="GR184" t="str">
            <v/>
          </cell>
          <cell r="GT184">
            <v>2.64</v>
          </cell>
          <cell r="GU184">
            <v>32459.090909090908</v>
          </cell>
          <cell r="GW184">
            <v>1.08</v>
          </cell>
          <cell r="GX184">
            <v>39325.92592592592</v>
          </cell>
          <cell r="GZ184">
            <v>0.76</v>
          </cell>
          <cell r="HA184">
            <v>36768.42105263158</v>
          </cell>
          <cell r="HC184">
            <v>0.36</v>
          </cell>
          <cell r="HD184">
            <v>49633.333333333336</v>
          </cell>
          <cell r="HF184">
            <v>0</v>
          </cell>
          <cell r="HG184" t="str">
            <v/>
          </cell>
          <cell r="HI184">
            <v>15.4</v>
          </cell>
          <cell r="HJ184">
            <v>33780</v>
          </cell>
          <cell r="HL184">
            <v>5.76</v>
          </cell>
          <cell r="HM184">
            <v>34379.166666666672</v>
          </cell>
          <cell r="HO184">
            <v>1.64</v>
          </cell>
          <cell r="HP184">
            <v>36643.902439024394</v>
          </cell>
          <cell r="HR184">
            <v>0.04</v>
          </cell>
          <cell r="HS184">
            <v>75200</v>
          </cell>
          <cell r="HU184">
            <v>0</v>
          </cell>
          <cell r="HV184" t="str">
            <v/>
          </cell>
        </row>
        <row r="185">
          <cell r="DQ185">
            <v>0.01</v>
          </cell>
          <cell r="DR185">
            <v>22880</v>
          </cell>
          <cell r="DT185">
            <v>0</v>
          </cell>
          <cell r="DU185" t="str">
            <v/>
          </cell>
          <cell r="DW185">
            <v>0</v>
          </cell>
          <cell r="DX185" t="str">
            <v/>
          </cell>
          <cell r="DZ185">
            <v>0</v>
          </cell>
          <cell r="EA185" t="str">
            <v/>
          </cell>
          <cell r="EC185">
            <v>0</v>
          </cell>
          <cell r="ED185" t="str">
            <v/>
          </cell>
          <cell r="EF185">
            <v>0</v>
          </cell>
          <cell r="EG185" t="str">
            <v/>
          </cell>
          <cell r="EI185">
            <v>0</v>
          </cell>
          <cell r="EJ185" t="str">
            <v/>
          </cell>
          <cell r="EL185">
            <v>0</v>
          </cell>
          <cell r="EM185" t="str">
            <v/>
          </cell>
          <cell r="EO185">
            <v>0</v>
          </cell>
          <cell r="EP185" t="str">
            <v/>
          </cell>
          <cell r="ER185">
            <v>0</v>
          </cell>
          <cell r="ES185" t="str">
            <v/>
          </cell>
          <cell r="EU185">
            <v>0</v>
          </cell>
          <cell r="EV185" t="str">
            <v/>
          </cell>
          <cell r="EX185">
            <v>0</v>
          </cell>
          <cell r="EY185" t="str">
            <v/>
          </cell>
          <cell r="FA185">
            <v>0</v>
          </cell>
          <cell r="FB185" t="str">
            <v/>
          </cell>
          <cell r="FD185">
            <v>0</v>
          </cell>
          <cell r="FE185" t="str">
            <v/>
          </cell>
          <cell r="FG185">
            <v>0</v>
          </cell>
          <cell r="FH185" t="str">
            <v/>
          </cell>
          <cell r="FJ185">
            <v>0</v>
          </cell>
          <cell r="FK185" t="str">
            <v/>
          </cell>
          <cell r="FM185">
            <v>0</v>
          </cell>
          <cell r="FN185" t="str">
            <v/>
          </cell>
          <cell r="FP185">
            <v>0</v>
          </cell>
          <cell r="FQ185" t="str">
            <v/>
          </cell>
          <cell r="FS185">
            <v>0</v>
          </cell>
          <cell r="FT185" t="str">
            <v/>
          </cell>
          <cell r="FV185">
            <v>0</v>
          </cell>
          <cell r="FW185" t="str">
            <v/>
          </cell>
          <cell r="FY185">
            <v>0</v>
          </cell>
          <cell r="FZ185" t="str">
            <v/>
          </cell>
          <cell r="GB185">
            <v>0</v>
          </cell>
          <cell r="GC185" t="str">
            <v/>
          </cell>
          <cell r="GE185">
            <v>0</v>
          </cell>
          <cell r="GF185" t="str">
            <v/>
          </cell>
          <cell r="GH185">
            <v>0</v>
          </cell>
          <cell r="GI185" t="str">
            <v/>
          </cell>
          <cell r="GK185">
            <v>0</v>
          </cell>
          <cell r="GL185" t="str">
            <v/>
          </cell>
          <cell r="GN185">
            <v>0</v>
          </cell>
          <cell r="GO185" t="str">
            <v/>
          </cell>
          <cell r="GQ185">
            <v>0</v>
          </cell>
          <cell r="GR185" t="str">
            <v/>
          </cell>
          <cell r="GT185">
            <v>0</v>
          </cell>
          <cell r="GU185" t="str">
            <v/>
          </cell>
          <cell r="GW185">
            <v>0</v>
          </cell>
          <cell r="GX185" t="str">
            <v/>
          </cell>
          <cell r="GZ185">
            <v>0</v>
          </cell>
          <cell r="HA185" t="str">
            <v/>
          </cell>
          <cell r="HC185">
            <v>0</v>
          </cell>
          <cell r="HD185" t="str">
            <v/>
          </cell>
          <cell r="HF185">
            <v>0</v>
          </cell>
          <cell r="HG185" t="str">
            <v/>
          </cell>
          <cell r="HI185">
            <v>0</v>
          </cell>
          <cell r="HJ185" t="str">
            <v/>
          </cell>
          <cell r="HL185">
            <v>0</v>
          </cell>
          <cell r="HM185" t="str">
            <v/>
          </cell>
          <cell r="HO185">
            <v>0</v>
          </cell>
          <cell r="HP185" t="str">
            <v/>
          </cell>
          <cell r="HR185">
            <v>0</v>
          </cell>
          <cell r="HS185" t="str">
            <v/>
          </cell>
          <cell r="HU185">
            <v>0</v>
          </cell>
          <cell r="HV185" t="str">
            <v/>
          </cell>
        </row>
        <row r="186">
          <cell r="DQ186">
            <v>0.01</v>
          </cell>
          <cell r="DR186">
            <v>22880</v>
          </cell>
          <cell r="DT186">
            <v>0</v>
          </cell>
          <cell r="DU186" t="str">
            <v/>
          </cell>
          <cell r="DW186">
            <v>0</v>
          </cell>
          <cell r="DX186" t="str">
            <v/>
          </cell>
          <cell r="DZ186">
            <v>0</v>
          </cell>
          <cell r="EA186" t="str">
            <v/>
          </cell>
          <cell r="EC186">
            <v>0</v>
          </cell>
          <cell r="ED186" t="str">
            <v/>
          </cell>
          <cell r="EF186">
            <v>0</v>
          </cell>
          <cell r="EG186" t="str">
            <v/>
          </cell>
          <cell r="EI186">
            <v>0</v>
          </cell>
          <cell r="EJ186" t="str">
            <v/>
          </cell>
          <cell r="EL186">
            <v>0</v>
          </cell>
          <cell r="EM186" t="str">
            <v/>
          </cell>
          <cell r="EO186">
            <v>0</v>
          </cell>
          <cell r="EP186" t="str">
            <v/>
          </cell>
          <cell r="ER186">
            <v>0</v>
          </cell>
          <cell r="ES186" t="str">
            <v/>
          </cell>
          <cell r="EU186">
            <v>0</v>
          </cell>
          <cell r="EV186" t="str">
            <v/>
          </cell>
          <cell r="EX186">
            <v>0</v>
          </cell>
          <cell r="EY186" t="str">
            <v/>
          </cell>
          <cell r="FA186">
            <v>0</v>
          </cell>
          <cell r="FB186" t="str">
            <v/>
          </cell>
          <cell r="FD186">
            <v>0</v>
          </cell>
          <cell r="FE186" t="str">
            <v/>
          </cell>
          <cell r="FG186">
            <v>0</v>
          </cell>
          <cell r="FH186" t="str">
            <v/>
          </cell>
          <cell r="FJ186">
            <v>0</v>
          </cell>
          <cell r="FK186" t="str">
            <v/>
          </cell>
          <cell r="FM186">
            <v>0</v>
          </cell>
          <cell r="FN186" t="str">
            <v/>
          </cell>
          <cell r="FP186">
            <v>0</v>
          </cell>
          <cell r="FQ186" t="str">
            <v/>
          </cell>
          <cell r="FS186">
            <v>0</v>
          </cell>
          <cell r="FT186" t="str">
            <v/>
          </cell>
          <cell r="FV186">
            <v>0</v>
          </cell>
          <cell r="FW186" t="str">
            <v/>
          </cell>
          <cell r="FY186">
            <v>0</v>
          </cell>
          <cell r="FZ186" t="str">
            <v/>
          </cell>
          <cell r="GB186">
            <v>0</v>
          </cell>
          <cell r="GC186" t="str">
            <v/>
          </cell>
          <cell r="GE186">
            <v>0</v>
          </cell>
          <cell r="GF186" t="str">
            <v/>
          </cell>
          <cell r="GH186">
            <v>0</v>
          </cell>
          <cell r="GI186" t="str">
            <v/>
          </cell>
          <cell r="GK186">
            <v>0</v>
          </cell>
          <cell r="GL186" t="str">
            <v/>
          </cell>
          <cell r="GN186">
            <v>0</v>
          </cell>
          <cell r="GO186" t="str">
            <v/>
          </cell>
          <cell r="GQ186">
            <v>0</v>
          </cell>
          <cell r="GR186" t="str">
            <v/>
          </cell>
          <cell r="GT186">
            <v>0</v>
          </cell>
          <cell r="GU186" t="str">
            <v/>
          </cell>
          <cell r="GW186">
            <v>0</v>
          </cell>
          <cell r="GX186" t="str">
            <v/>
          </cell>
          <cell r="GZ186">
            <v>0</v>
          </cell>
          <cell r="HA186" t="str">
            <v/>
          </cell>
          <cell r="HC186">
            <v>0</v>
          </cell>
          <cell r="HD186" t="str">
            <v/>
          </cell>
          <cell r="HF186">
            <v>0</v>
          </cell>
          <cell r="HG186" t="str">
            <v/>
          </cell>
          <cell r="HI186">
            <v>0.01</v>
          </cell>
          <cell r="HJ186">
            <v>31100</v>
          </cell>
          <cell r="HL186">
            <v>0</v>
          </cell>
          <cell r="HM186" t="str">
            <v/>
          </cell>
          <cell r="HO186">
            <v>0</v>
          </cell>
          <cell r="HP186" t="str">
            <v/>
          </cell>
          <cell r="HR186">
            <v>0</v>
          </cell>
          <cell r="HS186" t="str">
            <v/>
          </cell>
          <cell r="HU186">
            <v>0</v>
          </cell>
          <cell r="HV186" t="str">
            <v/>
          </cell>
        </row>
        <row r="187">
          <cell r="DQ187">
            <v>0.03</v>
          </cell>
          <cell r="DR187">
            <v>53133.333333333336</v>
          </cell>
          <cell r="DT187">
            <v>0</v>
          </cell>
          <cell r="DU187" t="str">
            <v/>
          </cell>
          <cell r="DW187">
            <v>0</v>
          </cell>
          <cell r="DX187" t="str">
            <v/>
          </cell>
          <cell r="DZ187">
            <v>0</v>
          </cell>
          <cell r="EA187" t="str">
            <v/>
          </cell>
          <cell r="EC187">
            <v>0</v>
          </cell>
          <cell r="ED187" t="str">
            <v/>
          </cell>
          <cell r="EF187">
            <v>0</v>
          </cell>
          <cell r="EG187" t="str">
            <v/>
          </cell>
          <cell r="EI187">
            <v>0</v>
          </cell>
          <cell r="EJ187" t="str">
            <v/>
          </cell>
          <cell r="EL187">
            <v>0</v>
          </cell>
          <cell r="EM187" t="str">
            <v/>
          </cell>
          <cell r="EO187">
            <v>0</v>
          </cell>
          <cell r="EP187" t="str">
            <v/>
          </cell>
          <cell r="ER187">
            <v>0</v>
          </cell>
          <cell r="ES187" t="str">
            <v/>
          </cell>
          <cell r="EU187">
            <v>0</v>
          </cell>
          <cell r="EV187" t="str">
            <v/>
          </cell>
          <cell r="EX187">
            <v>0</v>
          </cell>
          <cell r="EY187" t="str">
            <v/>
          </cell>
          <cell r="FA187">
            <v>0</v>
          </cell>
          <cell r="FB187" t="str">
            <v/>
          </cell>
          <cell r="FD187">
            <v>0</v>
          </cell>
          <cell r="FE187" t="str">
            <v/>
          </cell>
          <cell r="FG187">
            <v>0</v>
          </cell>
          <cell r="FH187" t="str">
            <v/>
          </cell>
          <cell r="FJ187">
            <v>0</v>
          </cell>
          <cell r="FK187" t="str">
            <v/>
          </cell>
          <cell r="FM187">
            <v>0</v>
          </cell>
          <cell r="FN187" t="str">
            <v/>
          </cell>
          <cell r="FP187">
            <v>0</v>
          </cell>
          <cell r="FQ187" t="str">
            <v/>
          </cell>
          <cell r="FS187">
            <v>0</v>
          </cell>
          <cell r="FT187" t="str">
            <v/>
          </cell>
          <cell r="FV187">
            <v>0</v>
          </cell>
          <cell r="FW187" t="str">
            <v/>
          </cell>
          <cell r="FY187">
            <v>0</v>
          </cell>
          <cell r="FZ187" t="str">
            <v/>
          </cell>
          <cell r="GB187">
            <v>0</v>
          </cell>
          <cell r="GC187" t="str">
            <v/>
          </cell>
          <cell r="GE187">
            <v>0</v>
          </cell>
          <cell r="GF187" t="str">
            <v/>
          </cell>
          <cell r="GH187">
            <v>0</v>
          </cell>
          <cell r="GI187" t="str">
            <v/>
          </cell>
          <cell r="GK187">
            <v>0</v>
          </cell>
          <cell r="GL187" t="str">
            <v/>
          </cell>
          <cell r="GN187">
            <v>0</v>
          </cell>
          <cell r="GO187" t="str">
            <v/>
          </cell>
          <cell r="GQ187">
            <v>0</v>
          </cell>
          <cell r="GR187" t="str">
            <v/>
          </cell>
          <cell r="GT187">
            <v>0</v>
          </cell>
          <cell r="GU187" t="str">
            <v/>
          </cell>
          <cell r="GW187">
            <v>0</v>
          </cell>
          <cell r="GX187" t="str">
            <v/>
          </cell>
          <cell r="GZ187">
            <v>0.1</v>
          </cell>
          <cell r="HA187">
            <v>51010</v>
          </cell>
          <cell r="HC187">
            <v>0</v>
          </cell>
          <cell r="HD187" t="str">
            <v/>
          </cell>
          <cell r="HF187">
            <v>0</v>
          </cell>
          <cell r="HG187" t="str">
            <v/>
          </cell>
          <cell r="HI187">
            <v>0</v>
          </cell>
          <cell r="HJ187" t="str">
            <v/>
          </cell>
          <cell r="HL187">
            <v>0</v>
          </cell>
          <cell r="HM187" t="str">
            <v/>
          </cell>
          <cell r="HO187">
            <v>0</v>
          </cell>
          <cell r="HP187" t="str">
            <v/>
          </cell>
          <cell r="HR187">
            <v>0</v>
          </cell>
          <cell r="HS187" t="str">
            <v/>
          </cell>
          <cell r="HU187">
            <v>0</v>
          </cell>
          <cell r="HV187" t="str">
            <v/>
          </cell>
        </row>
        <row r="188">
          <cell r="DQ188">
            <v>0.01</v>
          </cell>
          <cell r="DR188">
            <v>22880</v>
          </cell>
          <cell r="DT188">
            <v>0</v>
          </cell>
          <cell r="DU188" t="str">
            <v/>
          </cell>
          <cell r="DW188">
            <v>0</v>
          </cell>
          <cell r="DX188" t="str">
            <v/>
          </cell>
          <cell r="DZ188">
            <v>0</v>
          </cell>
          <cell r="EA188" t="str">
            <v/>
          </cell>
          <cell r="EC188">
            <v>0</v>
          </cell>
          <cell r="ED188" t="str">
            <v/>
          </cell>
          <cell r="EF188">
            <v>0</v>
          </cell>
          <cell r="EG188" t="str">
            <v/>
          </cell>
          <cell r="EI188">
            <v>0</v>
          </cell>
          <cell r="EJ188" t="str">
            <v/>
          </cell>
          <cell r="EL188">
            <v>0</v>
          </cell>
          <cell r="EM188" t="str">
            <v/>
          </cell>
          <cell r="EO188">
            <v>0</v>
          </cell>
          <cell r="EP188" t="str">
            <v/>
          </cell>
          <cell r="ER188">
            <v>0</v>
          </cell>
          <cell r="ES188" t="str">
            <v/>
          </cell>
          <cell r="EU188">
            <v>0</v>
          </cell>
          <cell r="EV188" t="str">
            <v/>
          </cell>
          <cell r="EX188">
            <v>0</v>
          </cell>
          <cell r="EY188" t="str">
            <v/>
          </cell>
          <cell r="FA188">
            <v>0</v>
          </cell>
          <cell r="FB188" t="str">
            <v/>
          </cell>
          <cell r="FD188">
            <v>0</v>
          </cell>
          <cell r="FE188" t="str">
            <v/>
          </cell>
          <cell r="FG188">
            <v>0</v>
          </cell>
          <cell r="FH188" t="str">
            <v/>
          </cell>
          <cell r="FJ188">
            <v>0</v>
          </cell>
          <cell r="FK188" t="str">
            <v/>
          </cell>
          <cell r="FM188">
            <v>0</v>
          </cell>
          <cell r="FN188" t="str">
            <v/>
          </cell>
          <cell r="FP188">
            <v>0</v>
          </cell>
          <cell r="FQ188" t="str">
            <v/>
          </cell>
          <cell r="FS188">
            <v>0</v>
          </cell>
          <cell r="FT188" t="str">
            <v/>
          </cell>
          <cell r="FV188">
            <v>0</v>
          </cell>
          <cell r="FW188" t="str">
            <v/>
          </cell>
          <cell r="FY188">
            <v>0</v>
          </cell>
          <cell r="FZ188" t="str">
            <v/>
          </cell>
          <cell r="GB188">
            <v>0</v>
          </cell>
          <cell r="GC188" t="str">
            <v/>
          </cell>
          <cell r="GE188">
            <v>0</v>
          </cell>
          <cell r="GF188" t="str">
            <v/>
          </cell>
          <cell r="GH188">
            <v>0</v>
          </cell>
          <cell r="GI188" t="str">
            <v/>
          </cell>
          <cell r="GK188">
            <v>0</v>
          </cell>
          <cell r="GL188" t="str">
            <v/>
          </cell>
          <cell r="GN188">
            <v>0</v>
          </cell>
          <cell r="GO188" t="str">
            <v/>
          </cell>
          <cell r="GQ188">
            <v>0</v>
          </cell>
          <cell r="GR188" t="str">
            <v/>
          </cell>
          <cell r="GT188">
            <v>0</v>
          </cell>
          <cell r="GU188" t="str">
            <v/>
          </cell>
          <cell r="GW188">
            <v>0</v>
          </cell>
          <cell r="GX188" t="str">
            <v/>
          </cell>
          <cell r="GZ188">
            <v>0</v>
          </cell>
          <cell r="HA188" t="str">
            <v/>
          </cell>
          <cell r="HC188">
            <v>0</v>
          </cell>
          <cell r="HD188" t="str">
            <v/>
          </cell>
          <cell r="HF188">
            <v>0</v>
          </cell>
          <cell r="HG188" t="str">
            <v/>
          </cell>
          <cell r="HI188">
            <v>0</v>
          </cell>
          <cell r="HJ188" t="str">
            <v/>
          </cell>
          <cell r="HL188">
            <v>0</v>
          </cell>
          <cell r="HM188" t="str">
            <v/>
          </cell>
          <cell r="HO188">
            <v>0</v>
          </cell>
          <cell r="HP188" t="str">
            <v/>
          </cell>
          <cell r="HR188">
            <v>0</v>
          </cell>
          <cell r="HS188" t="str">
            <v/>
          </cell>
          <cell r="HU188">
            <v>0</v>
          </cell>
          <cell r="HV188" t="str">
            <v/>
          </cell>
        </row>
        <row r="189">
          <cell r="DQ189">
            <v>0.01</v>
          </cell>
          <cell r="DR189">
            <v>22880</v>
          </cell>
          <cell r="DT189">
            <v>0</v>
          </cell>
          <cell r="DU189" t="str">
            <v/>
          </cell>
          <cell r="DW189">
            <v>0</v>
          </cell>
          <cell r="DX189" t="str">
            <v/>
          </cell>
          <cell r="DZ189">
            <v>0</v>
          </cell>
          <cell r="EA189" t="str">
            <v/>
          </cell>
          <cell r="EC189">
            <v>0</v>
          </cell>
          <cell r="ED189" t="str">
            <v/>
          </cell>
          <cell r="EF189">
            <v>0</v>
          </cell>
          <cell r="EG189" t="str">
            <v/>
          </cell>
          <cell r="EI189">
            <v>0</v>
          </cell>
          <cell r="EJ189" t="str">
            <v/>
          </cell>
          <cell r="EL189">
            <v>0</v>
          </cell>
          <cell r="EM189" t="str">
            <v/>
          </cell>
          <cell r="EO189">
            <v>0</v>
          </cell>
          <cell r="EP189" t="str">
            <v/>
          </cell>
          <cell r="ER189">
            <v>0</v>
          </cell>
          <cell r="ES189" t="str">
            <v/>
          </cell>
          <cell r="EU189">
            <v>0</v>
          </cell>
          <cell r="EV189" t="str">
            <v/>
          </cell>
          <cell r="EX189">
            <v>0</v>
          </cell>
          <cell r="EY189" t="str">
            <v/>
          </cell>
          <cell r="FA189">
            <v>0</v>
          </cell>
          <cell r="FB189" t="str">
            <v/>
          </cell>
          <cell r="FD189">
            <v>0</v>
          </cell>
          <cell r="FE189" t="str">
            <v/>
          </cell>
          <cell r="FG189">
            <v>0</v>
          </cell>
          <cell r="FH189" t="str">
            <v/>
          </cell>
          <cell r="FJ189">
            <v>0</v>
          </cell>
          <cell r="FK189" t="str">
            <v/>
          </cell>
          <cell r="FM189">
            <v>0</v>
          </cell>
          <cell r="FN189" t="str">
            <v/>
          </cell>
          <cell r="FP189">
            <v>0</v>
          </cell>
          <cell r="FQ189" t="str">
            <v/>
          </cell>
          <cell r="FS189">
            <v>0</v>
          </cell>
          <cell r="FT189" t="str">
            <v/>
          </cell>
          <cell r="FV189">
            <v>0</v>
          </cell>
          <cell r="FW189" t="str">
            <v/>
          </cell>
          <cell r="FY189">
            <v>0</v>
          </cell>
          <cell r="FZ189" t="str">
            <v/>
          </cell>
          <cell r="GB189">
            <v>0</v>
          </cell>
          <cell r="GC189" t="str">
            <v/>
          </cell>
          <cell r="GE189">
            <v>0</v>
          </cell>
          <cell r="GF189" t="str">
            <v/>
          </cell>
          <cell r="GH189">
            <v>0</v>
          </cell>
          <cell r="GI189" t="str">
            <v/>
          </cell>
          <cell r="GK189">
            <v>0</v>
          </cell>
          <cell r="GL189" t="str">
            <v/>
          </cell>
          <cell r="GN189">
            <v>0</v>
          </cell>
          <cell r="GO189" t="str">
            <v/>
          </cell>
          <cell r="GQ189">
            <v>0</v>
          </cell>
          <cell r="GR189" t="str">
            <v/>
          </cell>
          <cell r="GT189">
            <v>0</v>
          </cell>
          <cell r="GU189" t="str">
            <v/>
          </cell>
          <cell r="GW189">
            <v>0</v>
          </cell>
          <cell r="GX189" t="str">
            <v/>
          </cell>
          <cell r="GZ189">
            <v>0</v>
          </cell>
          <cell r="HA189" t="str">
            <v/>
          </cell>
          <cell r="HC189">
            <v>0.01</v>
          </cell>
          <cell r="HD189">
            <v>29300</v>
          </cell>
          <cell r="HF189">
            <v>0</v>
          </cell>
          <cell r="HG189" t="str">
            <v/>
          </cell>
          <cell r="HI189">
            <v>0</v>
          </cell>
          <cell r="HJ189" t="str">
            <v/>
          </cell>
          <cell r="HL189">
            <v>0</v>
          </cell>
          <cell r="HM189" t="str">
            <v/>
          </cell>
          <cell r="HO189">
            <v>0</v>
          </cell>
          <cell r="HP189" t="str">
            <v/>
          </cell>
          <cell r="HR189">
            <v>0</v>
          </cell>
          <cell r="HS189" t="str">
            <v/>
          </cell>
          <cell r="HU189">
            <v>0</v>
          </cell>
          <cell r="HV189" t="str">
            <v/>
          </cell>
        </row>
        <row r="190">
          <cell r="DQ190">
            <v>0.01</v>
          </cell>
          <cell r="DR190">
            <v>22880</v>
          </cell>
          <cell r="DT190">
            <v>0</v>
          </cell>
          <cell r="DU190" t="str">
            <v/>
          </cell>
          <cell r="DW190">
            <v>0</v>
          </cell>
          <cell r="DX190" t="str">
            <v/>
          </cell>
          <cell r="DZ190">
            <v>0</v>
          </cell>
          <cell r="EA190" t="str">
            <v/>
          </cell>
          <cell r="EC190">
            <v>0</v>
          </cell>
          <cell r="ED190" t="str">
            <v/>
          </cell>
          <cell r="EF190">
            <v>0</v>
          </cell>
          <cell r="EG190" t="str">
            <v/>
          </cell>
          <cell r="EI190">
            <v>0</v>
          </cell>
          <cell r="EJ190" t="str">
            <v/>
          </cell>
          <cell r="EL190">
            <v>0</v>
          </cell>
          <cell r="EM190" t="str">
            <v/>
          </cell>
          <cell r="EO190">
            <v>0</v>
          </cell>
          <cell r="EP190" t="str">
            <v/>
          </cell>
          <cell r="ER190">
            <v>0</v>
          </cell>
          <cell r="ES190" t="str">
            <v/>
          </cell>
          <cell r="EU190">
            <v>0</v>
          </cell>
          <cell r="EV190" t="str">
            <v/>
          </cell>
          <cell r="EX190">
            <v>0</v>
          </cell>
          <cell r="EY190" t="str">
            <v/>
          </cell>
          <cell r="FA190">
            <v>0</v>
          </cell>
          <cell r="FB190" t="str">
            <v/>
          </cell>
          <cell r="FD190">
            <v>0</v>
          </cell>
          <cell r="FE190" t="str">
            <v/>
          </cell>
          <cell r="FG190">
            <v>0</v>
          </cell>
          <cell r="FH190" t="str">
            <v/>
          </cell>
          <cell r="FJ190">
            <v>0</v>
          </cell>
          <cell r="FK190" t="str">
            <v/>
          </cell>
          <cell r="FM190">
            <v>0</v>
          </cell>
          <cell r="FN190" t="str">
            <v/>
          </cell>
          <cell r="FP190">
            <v>0</v>
          </cell>
          <cell r="FQ190" t="str">
            <v/>
          </cell>
          <cell r="FS190">
            <v>0</v>
          </cell>
          <cell r="FT190" t="str">
            <v/>
          </cell>
          <cell r="FV190">
            <v>0</v>
          </cell>
          <cell r="FW190" t="str">
            <v/>
          </cell>
          <cell r="FY190">
            <v>0</v>
          </cell>
          <cell r="FZ190" t="str">
            <v/>
          </cell>
          <cell r="GB190">
            <v>0</v>
          </cell>
          <cell r="GC190" t="str">
            <v/>
          </cell>
          <cell r="GE190">
            <v>0</v>
          </cell>
          <cell r="GF190" t="str">
            <v/>
          </cell>
          <cell r="GH190">
            <v>0</v>
          </cell>
          <cell r="GI190" t="str">
            <v/>
          </cell>
          <cell r="GK190">
            <v>0</v>
          </cell>
          <cell r="GL190" t="str">
            <v/>
          </cell>
          <cell r="GN190">
            <v>0</v>
          </cell>
          <cell r="GO190" t="str">
            <v/>
          </cell>
          <cell r="GQ190">
            <v>0</v>
          </cell>
          <cell r="GR190" t="str">
            <v/>
          </cell>
          <cell r="GT190">
            <v>0</v>
          </cell>
          <cell r="GU190" t="str">
            <v/>
          </cell>
          <cell r="GW190">
            <v>0</v>
          </cell>
          <cell r="GX190" t="str">
            <v/>
          </cell>
          <cell r="GZ190">
            <v>0</v>
          </cell>
          <cell r="HA190" t="str">
            <v/>
          </cell>
          <cell r="HC190">
            <v>0</v>
          </cell>
          <cell r="HD190" t="str">
            <v/>
          </cell>
          <cell r="HF190">
            <v>0</v>
          </cell>
          <cell r="HG190" t="str">
            <v/>
          </cell>
          <cell r="HI190">
            <v>0</v>
          </cell>
          <cell r="HJ190" t="str">
            <v/>
          </cell>
          <cell r="HL190">
            <v>0</v>
          </cell>
          <cell r="HM190" t="str">
            <v/>
          </cell>
          <cell r="HO190">
            <v>0</v>
          </cell>
          <cell r="HP190" t="str">
            <v/>
          </cell>
          <cell r="HR190">
            <v>0</v>
          </cell>
          <cell r="HS190" t="str">
            <v/>
          </cell>
          <cell r="HU190">
            <v>0</v>
          </cell>
          <cell r="HV190" t="str">
            <v/>
          </cell>
        </row>
        <row r="191">
          <cell r="DQ191">
            <v>0.03</v>
          </cell>
          <cell r="DR191">
            <v>71200</v>
          </cell>
          <cell r="DT191">
            <v>0</v>
          </cell>
          <cell r="DU191" t="str">
            <v/>
          </cell>
          <cell r="DW191">
            <v>0.05</v>
          </cell>
          <cell r="DX191">
            <v>44860</v>
          </cell>
          <cell r="DZ191">
            <v>0</v>
          </cell>
          <cell r="EA191" t="str">
            <v/>
          </cell>
          <cell r="EC191">
            <v>0</v>
          </cell>
          <cell r="ED191" t="str">
            <v/>
          </cell>
          <cell r="EF191">
            <v>0</v>
          </cell>
          <cell r="EG191" t="str">
            <v/>
          </cell>
          <cell r="EI191">
            <v>0</v>
          </cell>
          <cell r="EJ191" t="str">
            <v/>
          </cell>
          <cell r="EL191">
            <v>0</v>
          </cell>
          <cell r="EM191" t="str">
            <v/>
          </cell>
          <cell r="EO191">
            <v>0</v>
          </cell>
          <cell r="EP191" t="str">
            <v/>
          </cell>
          <cell r="ER191">
            <v>0</v>
          </cell>
          <cell r="ES191" t="str">
            <v/>
          </cell>
          <cell r="EU191">
            <v>0</v>
          </cell>
          <cell r="EV191" t="str">
            <v/>
          </cell>
          <cell r="EX191">
            <v>0</v>
          </cell>
          <cell r="EY191" t="str">
            <v/>
          </cell>
          <cell r="FA191">
            <v>0</v>
          </cell>
          <cell r="FB191" t="str">
            <v/>
          </cell>
          <cell r="FD191">
            <v>0</v>
          </cell>
          <cell r="FE191" t="str">
            <v/>
          </cell>
          <cell r="FG191">
            <v>0</v>
          </cell>
          <cell r="FH191" t="str">
            <v/>
          </cell>
          <cell r="FJ191">
            <v>0</v>
          </cell>
          <cell r="FK191" t="str">
            <v/>
          </cell>
          <cell r="FM191">
            <v>0</v>
          </cell>
          <cell r="FN191" t="str">
            <v/>
          </cell>
          <cell r="FP191">
            <v>0</v>
          </cell>
          <cell r="FQ191" t="str">
            <v/>
          </cell>
          <cell r="FS191">
            <v>0</v>
          </cell>
          <cell r="FT191" t="str">
            <v/>
          </cell>
          <cell r="FV191">
            <v>0</v>
          </cell>
          <cell r="FW191" t="str">
            <v/>
          </cell>
          <cell r="FY191">
            <v>0</v>
          </cell>
          <cell r="FZ191" t="str">
            <v/>
          </cell>
          <cell r="GB191">
            <v>0</v>
          </cell>
          <cell r="GC191" t="str">
            <v/>
          </cell>
          <cell r="GE191">
            <v>0</v>
          </cell>
          <cell r="GF191" t="str">
            <v/>
          </cell>
          <cell r="GH191">
            <v>0</v>
          </cell>
          <cell r="GI191" t="str">
            <v/>
          </cell>
          <cell r="GK191">
            <v>0</v>
          </cell>
          <cell r="GL191" t="str">
            <v/>
          </cell>
          <cell r="GN191">
            <v>0</v>
          </cell>
          <cell r="GO191" t="str">
            <v/>
          </cell>
          <cell r="GQ191">
            <v>0</v>
          </cell>
          <cell r="GR191" t="str">
            <v/>
          </cell>
          <cell r="GT191">
            <v>0</v>
          </cell>
          <cell r="GU191" t="str">
            <v/>
          </cell>
          <cell r="GW191">
            <v>0</v>
          </cell>
          <cell r="GX191" t="str">
            <v/>
          </cell>
          <cell r="GZ191">
            <v>0.18</v>
          </cell>
          <cell r="HA191">
            <v>46800</v>
          </cell>
          <cell r="HC191">
            <v>0.22</v>
          </cell>
          <cell r="HD191">
            <v>35090.909090909088</v>
          </cell>
          <cell r="HF191">
            <v>0</v>
          </cell>
          <cell r="HG191" t="str">
            <v/>
          </cell>
          <cell r="HI191">
            <v>0</v>
          </cell>
          <cell r="HJ191" t="str">
            <v/>
          </cell>
          <cell r="HL191">
            <v>0</v>
          </cell>
          <cell r="HM191" t="str">
            <v/>
          </cell>
          <cell r="HO191">
            <v>0.15</v>
          </cell>
          <cell r="HP191">
            <v>27840</v>
          </cell>
          <cell r="HR191">
            <v>0</v>
          </cell>
          <cell r="HS191" t="str">
            <v/>
          </cell>
          <cell r="HU191">
            <v>0</v>
          </cell>
          <cell r="HV191" t="str">
            <v/>
          </cell>
        </row>
        <row r="192">
          <cell r="DQ192">
            <v>0.03</v>
          </cell>
          <cell r="DR192">
            <v>60366.666666666672</v>
          </cell>
          <cell r="DT192">
            <v>0</v>
          </cell>
          <cell r="DU192" t="str">
            <v/>
          </cell>
          <cell r="DW192">
            <v>0</v>
          </cell>
          <cell r="DX192" t="str">
            <v/>
          </cell>
          <cell r="DZ192">
            <v>0</v>
          </cell>
          <cell r="EA192" t="str">
            <v/>
          </cell>
          <cell r="EC192">
            <v>0</v>
          </cell>
          <cell r="ED192" t="str">
            <v/>
          </cell>
          <cell r="EF192">
            <v>0</v>
          </cell>
          <cell r="EG192" t="str">
            <v/>
          </cell>
          <cell r="EI192">
            <v>0</v>
          </cell>
          <cell r="EJ192" t="str">
            <v/>
          </cell>
          <cell r="EL192">
            <v>0</v>
          </cell>
          <cell r="EM192" t="str">
            <v/>
          </cell>
          <cell r="EO192">
            <v>0</v>
          </cell>
          <cell r="EP192" t="str">
            <v/>
          </cell>
          <cell r="ER192">
            <v>0</v>
          </cell>
          <cell r="ES192" t="str">
            <v/>
          </cell>
          <cell r="EU192">
            <v>0</v>
          </cell>
          <cell r="EV192" t="str">
            <v/>
          </cell>
          <cell r="EX192">
            <v>0</v>
          </cell>
          <cell r="EY192" t="str">
            <v/>
          </cell>
          <cell r="FA192">
            <v>0</v>
          </cell>
          <cell r="FB192" t="str">
            <v/>
          </cell>
          <cell r="FD192">
            <v>0</v>
          </cell>
          <cell r="FE192" t="str">
            <v/>
          </cell>
          <cell r="FG192">
            <v>0</v>
          </cell>
          <cell r="FH192" t="str">
            <v/>
          </cell>
          <cell r="FJ192">
            <v>0</v>
          </cell>
          <cell r="FK192" t="str">
            <v/>
          </cell>
          <cell r="FM192">
            <v>0</v>
          </cell>
          <cell r="FN192" t="str">
            <v/>
          </cell>
          <cell r="FP192">
            <v>0</v>
          </cell>
          <cell r="FQ192" t="str">
            <v/>
          </cell>
          <cell r="FS192">
            <v>0</v>
          </cell>
          <cell r="FT192" t="str">
            <v/>
          </cell>
          <cell r="FV192">
            <v>0</v>
          </cell>
          <cell r="FW192" t="str">
            <v/>
          </cell>
          <cell r="FY192">
            <v>0</v>
          </cell>
          <cell r="FZ192" t="str">
            <v/>
          </cell>
          <cell r="GB192">
            <v>0</v>
          </cell>
          <cell r="GC192" t="str">
            <v/>
          </cell>
          <cell r="GE192">
            <v>0</v>
          </cell>
          <cell r="GF192" t="str">
            <v/>
          </cell>
          <cell r="GH192">
            <v>0</v>
          </cell>
          <cell r="GI192" t="str">
            <v/>
          </cell>
          <cell r="GK192">
            <v>0</v>
          </cell>
          <cell r="GL192" t="str">
            <v/>
          </cell>
          <cell r="GN192">
            <v>0</v>
          </cell>
          <cell r="GO192" t="str">
            <v/>
          </cell>
          <cell r="GQ192">
            <v>0</v>
          </cell>
          <cell r="GR192" t="str">
            <v/>
          </cell>
          <cell r="GT192">
            <v>0</v>
          </cell>
          <cell r="GU192" t="str">
            <v/>
          </cell>
          <cell r="GW192">
            <v>0</v>
          </cell>
          <cell r="GX192" t="str">
            <v/>
          </cell>
          <cell r="GZ192">
            <v>0</v>
          </cell>
          <cell r="HA192" t="str">
            <v/>
          </cell>
          <cell r="HC192">
            <v>0.05</v>
          </cell>
          <cell r="HD192">
            <v>39600</v>
          </cell>
          <cell r="HF192">
            <v>0</v>
          </cell>
          <cell r="HG192" t="str">
            <v/>
          </cell>
          <cell r="HI192">
            <v>0</v>
          </cell>
          <cell r="HJ192" t="str">
            <v/>
          </cell>
          <cell r="HL192">
            <v>0</v>
          </cell>
          <cell r="HM192" t="str">
            <v/>
          </cell>
          <cell r="HO192">
            <v>0</v>
          </cell>
          <cell r="HP192" t="str">
            <v/>
          </cell>
          <cell r="HR192">
            <v>0</v>
          </cell>
          <cell r="HS192" t="str">
            <v/>
          </cell>
          <cell r="HU192">
            <v>0</v>
          </cell>
          <cell r="HV192" t="str">
            <v/>
          </cell>
        </row>
        <row r="193">
          <cell r="DQ193">
            <v>0.03</v>
          </cell>
          <cell r="DR193">
            <v>99066.666666666672</v>
          </cell>
          <cell r="DT193">
            <v>0</v>
          </cell>
          <cell r="DU193" t="str">
            <v/>
          </cell>
          <cell r="DW193">
            <v>0</v>
          </cell>
          <cell r="DX193" t="str">
            <v/>
          </cell>
          <cell r="DZ193">
            <v>0</v>
          </cell>
          <cell r="EA193" t="str">
            <v/>
          </cell>
          <cell r="EC193">
            <v>0</v>
          </cell>
          <cell r="ED193" t="str">
            <v/>
          </cell>
          <cell r="EF193">
            <v>0</v>
          </cell>
          <cell r="EG193" t="str">
            <v/>
          </cell>
          <cell r="EI193">
            <v>0</v>
          </cell>
          <cell r="EJ193" t="str">
            <v/>
          </cell>
          <cell r="EL193">
            <v>0.6</v>
          </cell>
          <cell r="EM193">
            <v>49990</v>
          </cell>
          <cell r="EO193">
            <v>0</v>
          </cell>
          <cell r="EP193" t="str">
            <v/>
          </cell>
          <cell r="ER193">
            <v>0</v>
          </cell>
          <cell r="ES193" t="str">
            <v/>
          </cell>
          <cell r="EU193">
            <v>0</v>
          </cell>
          <cell r="EV193" t="str">
            <v/>
          </cell>
          <cell r="EX193">
            <v>0</v>
          </cell>
          <cell r="EY193" t="str">
            <v/>
          </cell>
          <cell r="FA193">
            <v>0</v>
          </cell>
          <cell r="FB193" t="str">
            <v/>
          </cell>
          <cell r="FD193">
            <v>0</v>
          </cell>
          <cell r="FE193" t="str">
            <v/>
          </cell>
          <cell r="FG193">
            <v>0</v>
          </cell>
          <cell r="FH193" t="str">
            <v/>
          </cell>
          <cell r="FJ193">
            <v>0</v>
          </cell>
          <cell r="FK193" t="str">
            <v/>
          </cell>
          <cell r="FM193">
            <v>0</v>
          </cell>
          <cell r="FN193" t="str">
            <v/>
          </cell>
          <cell r="FP193">
            <v>0</v>
          </cell>
          <cell r="FQ193" t="str">
            <v/>
          </cell>
          <cell r="FS193">
            <v>0</v>
          </cell>
          <cell r="FT193" t="str">
            <v/>
          </cell>
          <cell r="FV193">
            <v>0</v>
          </cell>
          <cell r="FW193" t="str">
            <v/>
          </cell>
          <cell r="FY193">
            <v>0</v>
          </cell>
          <cell r="FZ193" t="str">
            <v/>
          </cell>
          <cell r="GB193">
            <v>0</v>
          </cell>
          <cell r="GC193" t="str">
            <v/>
          </cell>
          <cell r="GE193">
            <v>0</v>
          </cell>
          <cell r="GF193" t="str">
            <v/>
          </cell>
          <cell r="GH193">
            <v>0</v>
          </cell>
          <cell r="GI193" t="str">
            <v/>
          </cell>
          <cell r="GK193">
            <v>0</v>
          </cell>
          <cell r="GL193" t="str">
            <v/>
          </cell>
          <cell r="GN193">
            <v>0</v>
          </cell>
          <cell r="GO193" t="str">
            <v/>
          </cell>
          <cell r="GQ193">
            <v>0</v>
          </cell>
          <cell r="GR193" t="str">
            <v/>
          </cell>
          <cell r="GT193">
            <v>0</v>
          </cell>
          <cell r="GU193" t="str">
            <v/>
          </cell>
          <cell r="GW193">
            <v>0</v>
          </cell>
          <cell r="GX193" t="str">
            <v/>
          </cell>
          <cell r="GZ193">
            <v>0</v>
          </cell>
          <cell r="HA193" t="str">
            <v/>
          </cell>
          <cell r="HC193">
            <v>0.26</v>
          </cell>
          <cell r="HD193">
            <v>32034.615384615383</v>
          </cell>
          <cell r="HF193">
            <v>0</v>
          </cell>
          <cell r="HG193" t="str">
            <v/>
          </cell>
          <cell r="HI193">
            <v>0</v>
          </cell>
          <cell r="HJ193" t="str">
            <v/>
          </cell>
          <cell r="HL193">
            <v>0.83</v>
          </cell>
          <cell r="HM193">
            <v>34939.759036144576</v>
          </cell>
          <cell r="HO193">
            <v>0</v>
          </cell>
          <cell r="HP193" t="str">
            <v/>
          </cell>
          <cell r="HR193">
            <v>0</v>
          </cell>
          <cell r="HS193" t="str">
            <v/>
          </cell>
          <cell r="HU193">
            <v>0</v>
          </cell>
          <cell r="HV193" t="str">
            <v/>
          </cell>
        </row>
        <row r="194">
          <cell r="DQ194">
            <v>0.01</v>
          </cell>
          <cell r="DR194">
            <v>41400</v>
          </cell>
          <cell r="DT194">
            <v>0</v>
          </cell>
          <cell r="DU194" t="str">
            <v/>
          </cell>
          <cell r="DW194">
            <v>0</v>
          </cell>
          <cell r="DX194" t="str">
            <v/>
          </cell>
          <cell r="DZ194">
            <v>0</v>
          </cell>
          <cell r="EA194" t="str">
            <v/>
          </cell>
          <cell r="EC194">
            <v>0</v>
          </cell>
          <cell r="ED194" t="str">
            <v/>
          </cell>
          <cell r="EF194">
            <v>0</v>
          </cell>
          <cell r="EG194" t="str">
            <v/>
          </cell>
          <cell r="EI194">
            <v>0</v>
          </cell>
          <cell r="EJ194" t="str">
            <v/>
          </cell>
          <cell r="EL194">
            <v>0</v>
          </cell>
          <cell r="EM194" t="str">
            <v/>
          </cell>
          <cell r="EO194">
            <v>0</v>
          </cell>
          <cell r="EP194" t="str">
            <v/>
          </cell>
          <cell r="ER194">
            <v>0</v>
          </cell>
          <cell r="ES194" t="str">
            <v/>
          </cell>
          <cell r="EU194">
            <v>0</v>
          </cell>
          <cell r="EV194" t="str">
            <v/>
          </cell>
          <cell r="EX194">
            <v>0</v>
          </cell>
          <cell r="EY194" t="str">
            <v/>
          </cell>
          <cell r="FA194">
            <v>0</v>
          </cell>
          <cell r="FB194" t="str">
            <v/>
          </cell>
          <cell r="FD194">
            <v>0</v>
          </cell>
          <cell r="FE194" t="str">
            <v/>
          </cell>
          <cell r="FG194">
            <v>0</v>
          </cell>
          <cell r="FH194" t="str">
            <v/>
          </cell>
          <cell r="FJ194">
            <v>0</v>
          </cell>
          <cell r="FK194" t="str">
            <v/>
          </cell>
          <cell r="FM194">
            <v>0</v>
          </cell>
          <cell r="FN194" t="str">
            <v/>
          </cell>
          <cell r="FP194">
            <v>0</v>
          </cell>
          <cell r="FQ194" t="str">
            <v/>
          </cell>
          <cell r="FS194">
            <v>0</v>
          </cell>
          <cell r="FT194" t="str">
            <v/>
          </cell>
          <cell r="FV194">
            <v>0</v>
          </cell>
          <cell r="FW194" t="str">
            <v/>
          </cell>
          <cell r="FY194">
            <v>0</v>
          </cell>
          <cell r="FZ194" t="str">
            <v/>
          </cell>
          <cell r="GB194">
            <v>0</v>
          </cell>
          <cell r="GC194" t="str">
            <v/>
          </cell>
          <cell r="GE194">
            <v>0</v>
          </cell>
          <cell r="GF194" t="str">
            <v/>
          </cell>
          <cell r="GH194">
            <v>0</v>
          </cell>
          <cell r="GI194" t="str">
            <v/>
          </cell>
          <cell r="GK194">
            <v>0</v>
          </cell>
          <cell r="GL194" t="str">
            <v/>
          </cell>
          <cell r="GN194">
            <v>0</v>
          </cell>
          <cell r="GO194" t="str">
            <v/>
          </cell>
          <cell r="GQ194">
            <v>0</v>
          </cell>
          <cell r="GR194" t="str">
            <v/>
          </cell>
          <cell r="GT194">
            <v>0</v>
          </cell>
          <cell r="GU194" t="str">
            <v/>
          </cell>
          <cell r="GW194">
            <v>0</v>
          </cell>
          <cell r="GX194" t="str">
            <v/>
          </cell>
          <cell r="GZ194">
            <v>0</v>
          </cell>
          <cell r="HA194" t="str">
            <v/>
          </cell>
          <cell r="HC194">
            <v>0</v>
          </cell>
          <cell r="HD194" t="str">
            <v/>
          </cell>
          <cell r="HF194">
            <v>0</v>
          </cell>
          <cell r="HG194" t="str">
            <v/>
          </cell>
          <cell r="HI194">
            <v>0</v>
          </cell>
          <cell r="HJ194" t="str">
            <v/>
          </cell>
          <cell r="HL194">
            <v>0</v>
          </cell>
          <cell r="HM194" t="str">
            <v/>
          </cell>
          <cell r="HO194">
            <v>0</v>
          </cell>
          <cell r="HP194" t="str">
            <v/>
          </cell>
          <cell r="HR194">
            <v>0</v>
          </cell>
          <cell r="HS194" t="str">
            <v/>
          </cell>
          <cell r="HU194">
            <v>0</v>
          </cell>
          <cell r="HV194" t="str">
            <v/>
          </cell>
        </row>
        <row r="195">
          <cell r="DQ195">
            <v>0.02</v>
          </cell>
          <cell r="DR195">
            <v>79350</v>
          </cell>
          <cell r="DT195">
            <v>0</v>
          </cell>
          <cell r="DU195" t="str">
            <v/>
          </cell>
          <cell r="DW195">
            <v>0</v>
          </cell>
          <cell r="DX195" t="str">
            <v/>
          </cell>
          <cell r="DZ195">
            <v>0</v>
          </cell>
          <cell r="EA195" t="str">
            <v/>
          </cell>
          <cell r="EC195">
            <v>0</v>
          </cell>
          <cell r="ED195" t="str">
            <v/>
          </cell>
          <cell r="EF195">
            <v>0</v>
          </cell>
          <cell r="EG195" t="str">
            <v/>
          </cell>
          <cell r="EI195">
            <v>0</v>
          </cell>
          <cell r="EJ195" t="str">
            <v/>
          </cell>
          <cell r="EL195">
            <v>0</v>
          </cell>
          <cell r="EM195" t="str">
            <v/>
          </cell>
          <cell r="EO195">
            <v>0</v>
          </cell>
          <cell r="EP195" t="str">
            <v/>
          </cell>
          <cell r="ER195">
            <v>0</v>
          </cell>
          <cell r="ES195" t="str">
            <v/>
          </cell>
          <cell r="EU195">
            <v>0</v>
          </cell>
          <cell r="EV195" t="str">
            <v/>
          </cell>
          <cell r="EX195">
            <v>0</v>
          </cell>
          <cell r="EY195" t="str">
            <v/>
          </cell>
          <cell r="FA195">
            <v>0</v>
          </cell>
          <cell r="FB195" t="str">
            <v/>
          </cell>
          <cell r="FD195">
            <v>0</v>
          </cell>
          <cell r="FE195" t="str">
            <v/>
          </cell>
          <cell r="FG195">
            <v>0</v>
          </cell>
          <cell r="FH195" t="str">
            <v/>
          </cell>
          <cell r="FJ195">
            <v>0</v>
          </cell>
          <cell r="FK195" t="str">
            <v/>
          </cell>
          <cell r="FM195">
            <v>0</v>
          </cell>
          <cell r="FN195" t="str">
            <v/>
          </cell>
          <cell r="FP195">
            <v>0</v>
          </cell>
          <cell r="FQ195" t="str">
            <v/>
          </cell>
          <cell r="FS195">
            <v>0</v>
          </cell>
          <cell r="FT195" t="str">
            <v/>
          </cell>
          <cell r="FV195">
            <v>0</v>
          </cell>
          <cell r="FW195" t="str">
            <v/>
          </cell>
          <cell r="FY195">
            <v>0</v>
          </cell>
          <cell r="FZ195" t="str">
            <v/>
          </cell>
          <cell r="GB195">
            <v>0</v>
          </cell>
          <cell r="GC195" t="str">
            <v/>
          </cell>
          <cell r="GE195">
            <v>0</v>
          </cell>
          <cell r="GF195" t="str">
            <v/>
          </cell>
          <cell r="GH195">
            <v>0</v>
          </cell>
          <cell r="GI195" t="str">
            <v/>
          </cell>
          <cell r="GK195">
            <v>0</v>
          </cell>
          <cell r="GL195" t="str">
            <v/>
          </cell>
          <cell r="GN195">
            <v>0</v>
          </cell>
          <cell r="GO195" t="str">
            <v/>
          </cell>
          <cell r="GQ195">
            <v>0</v>
          </cell>
          <cell r="GR195" t="str">
            <v/>
          </cell>
          <cell r="GT195">
            <v>0</v>
          </cell>
          <cell r="GU195" t="str">
            <v/>
          </cell>
          <cell r="GW195">
            <v>0</v>
          </cell>
          <cell r="GX195" t="str">
            <v/>
          </cell>
          <cell r="GZ195">
            <v>0</v>
          </cell>
          <cell r="HA195" t="str">
            <v/>
          </cell>
          <cell r="HC195">
            <v>0</v>
          </cell>
          <cell r="HD195" t="str">
            <v/>
          </cell>
          <cell r="HF195">
            <v>0</v>
          </cell>
          <cell r="HG195" t="str">
            <v/>
          </cell>
          <cell r="HI195">
            <v>0</v>
          </cell>
          <cell r="HJ195" t="str">
            <v/>
          </cell>
          <cell r="HL195">
            <v>0</v>
          </cell>
          <cell r="HM195" t="str">
            <v/>
          </cell>
          <cell r="HO195">
            <v>0</v>
          </cell>
          <cell r="HP195" t="str">
            <v/>
          </cell>
          <cell r="HR195">
            <v>0</v>
          </cell>
          <cell r="HS195" t="str">
            <v/>
          </cell>
          <cell r="HU195">
            <v>0</v>
          </cell>
          <cell r="HV195" t="str">
            <v/>
          </cell>
        </row>
        <row r="196">
          <cell r="DQ196">
            <v>0</v>
          </cell>
          <cell r="DR196" t="str">
            <v/>
          </cell>
          <cell r="DT196">
            <v>0</v>
          </cell>
          <cell r="DU196" t="str">
            <v/>
          </cell>
          <cell r="DW196">
            <v>0</v>
          </cell>
          <cell r="DX196" t="str">
            <v/>
          </cell>
          <cell r="DZ196">
            <v>0</v>
          </cell>
          <cell r="EA196" t="str">
            <v/>
          </cell>
          <cell r="EC196">
            <v>0</v>
          </cell>
          <cell r="ED196" t="str">
            <v/>
          </cell>
          <cell r="EF196">
            <v>0</v>
          </cell>
          <cell r="EG196" t="str">
            <v/>
          </cell>
          <cell r="EI196">
            <v>0</v>
          </cell>
          <cell r="EJ196" t="str">
            <v/>
          </cell>
          <cell r="EL196">
            <v>0</v>
          </cell>
          <cell r="EM196" t="str">
            <v/>
          </cell>
          <cell r="EO196">
            <v>0</v>
          </cell>
          <cell r="EP196" t="str">
            <v/>
          </cell>
          <cell r="ER196">
            <v>0</v>
          </cell>
          <cell r="ES196" t="str">
            <v/>
          </cell>
          <cell r="EU196">
            <v>0</v>
          </cell>
          <cell r="EV196" t="str">
            <v/>
          </cell>
          <cell r="EX196">
            <v>0</v>
          </cell>
          <cell r="EY196" t="str">
            <v/>
          </cell>
          <cell r="FA196">
            <v>0</v>
          </cell>
          <cell r="FB196" t="str">
            <v/>
          </cell>
          <cell r="FD196">
            <v>0</v>
          </cell>
          <cell r="FE196" t="str">
            <v/>
          </cell>
          <cell r="FG196">
            <v>0</v>
          </cell>
          <cell r="FH196" t="str">
            <v/>
          </cell>
          <cell r="FJ196">
            <v>0</v>
          </cell>
          <cell r="FK196" t="str">
            <v/>
          </cell>
          <cell r="FM196">
            <v>0</v>
          </cell>
          <cell r="FN196" t="str">
            <v/>
          </cell>
          <cell r="FP196">
            <v>0</v>
          </cell>
          <cell r="FQ196" t="str">
            <v/>
          </cell>
          <cell r="FS196">
            <v>0</v>
          </cell>
          <cell r="FT196" t="str">
            <v/>
          </cell>
          <cell r="FV196">
            <v>0</v>
          </cell>
          <cell r="FW196" t="str">
            <v/>
          </cell>
          <cell r="FY196">
            <v>0</v>
          </cell>
          <cell r="FZ196" t="str">
            <v/>
          </cell>
          <cell r="GB196">
            <v>0</v>
          </cell>
          <cell r="GC196" t="str">
            <v/>
          </cell>
          <cell r="GE196">
            <v>0</v>
          </cell>
          <cell r="GF196" t="str">
            <v/>
          </cell>
          <cell r="GH196">
            <v>0</v>
          </cell>
          <cell r="GI196" t="str">
            <v/>
          </cell>
          <cell r="GK196">
            <v>0</v>
          </cell>
          <cell r="GL196" t="str">
            <v/>
          </cell>
          <cell r="GN196">
            <v>0</v>
          </cell>
          <cell r="GO196" t="str">
            <v/>
          </cell>
          <cell r="GQ196">
            <v>0</v>
          </cell>
          <cell r="GR196" t="str">
            <v/>
          </cell>
          <cell r="GT196">
            <v>0</v>
          </cell>
          <cell r="GU196" t="str">
            <v/>
          </cell>
          <cell r="GW196">
            <v>0</v>
          </cell>
          <cell r="GX196" t="str">
            <v/>
          </cell>
          <cell r="GZ196">
            <v>0.01</v>
          </cell>
          <cell r="HA196">
            <v>95200</v>
          </cell>
          <cell r="HC196">
            <v>0</v>
          </cell>
          <cell r="HD196" t="str">
            <v/>
          </cell>
          <cell r="HF196">
            <v>0</v>
          </cell>
          <cell r="HG196" t="str">
            <v/>
          </cell>
          <cell r="HI196">
            <v>0</v>
          </cell>
          <cell r="HJ196" t="str">
            <v/>
          </cell>
          <cell r="HL196">
            <v>0</v>
          </cell>
          <cell r="HM196" t="str">
            <v/>
          </cell>
          <cell r="HO196">
            <v>0</v>
          </cell>
          <cell r="HP196" t="str">
            <v/>
          </cell>
          <cell r="HR196">
            <v>0</v>
          </cell>
          <cell r="HS196" t="str">
            <v/>
          </cell>
          <cell r="HU196">
            <v>0</v>
          </cell>
          <cell r="HV196" t="str">
            <v/>
          </cell>
        </row>
        <row r="197">
          <cell r="DQ197">
            <v>0.1</v>
          </cell>
          <cell r="DR197">
            <v>65790</v>
          </cell>
          <cell r="DT197">
            <v>0</v>
          </cell>
          <cell r="DU197" t="str">
            <v/>
          </cell>
          <cell r="DW197">
            <v>0.02</v>
          </cell>
          <cell r="DX197">
            <v>77050</v>
          </cell>
          <cell r="DZ197">
            <v>0</v>
          </cell>
          <cell r="EA197" t="str">
            <v/>
          </cell>
          <cell r="EC197">
            <v>0</v>
          </cell>
          <cell r="ED197" t="str">
            <v/>
          </cell>
          <cell r="EF197">
            <v>0</v>
          </cell>
          <cell r="EG197" t="str">
            <v/>
          </cell>
          <cell r="EI197">
            <v>0</v>
          </cell>
          <cell r="EJ197" t="str">
            <v/>
          </cell>
          <cell r="EL197">
            <v>0</v>
          </cell>
          <cell r="EM197" t="str">
            <v/>
          </cell>
          <cell r="EO197">
            <v>0</v>
          </cell>
          <cell r="EP197" t="str">
            <v/>
          </cell>
          <cell r="ER197">
            <v>0</v>
          </cell>
          <cell r="ES197" t="str">
            <v/>
          </cell>
          <cell r="EU197">
            <v>0</v>
          </cell>
          <cell r="EV197" t="str">
            <v/>
          </cell>
          <cell r="EX197">
            <v>0</v>
          </cell>
          <cell r="EY197" t="str">
            <v/>
          </cell>
          <cell r="FA197">
            <v>0</v>
          </cell>
          <cell r="FB197" t="str">
            <v/>
          </cell>
          <cell r="FD197">
            <v>0</v>
          </cell>
          <cell r="FE197" t="str">
            <v/>
          </cell>
          <cell r="FG197">
            <v>0</v>
          </cell>
          <cell r="FH197" t="str">
            <v/>
          </cell>
          <cell r="FJ197">
            <v>0</v>
          </cell>
          <cell r="FK197" t="str">
            <v/>
          </cell>
          <cell r="FM197">
            <v>0</v>
          </cell>
          <cell r="FN197" t="str">
            <v/>
          </cell>
          <cell r="FP197">
            <v>0</v>
          </cell>
          <cell r="FQ197" t="str">
            <v/>
          </cell>
          <cell r="FS197">
            <v>0</v>
          </cell>
          <cell r="FT197" t="str">
            <v/>
          </cell>
          <cell r="FV197">
            <v>0</v>
          </cell>
          <cell r="FW197" t="str">
            <v/>
          </cell>
          <cell r="FY197">
            <v>0</v>
          </cell>
          <cell r="FZ197" t="str">
            <v/>
          </cell>
          <cell r="GB197">
            <v>0</v>
          </cell>
          <cell r="GC197" t="str">
            <v/>
          </cell>
          <cell r="GE197">
            <v>0</v>
          </cell>
          <cell r="GF197" t="str">
            <v/>
          </cell>
          <cell r="GH197">
            <v>0</v>
          </cell>
          <cell r="GI197" t="str">
            <v/>
          </cell>
          <cell r="GK197">
            <v>0</v>
          </cell>
          <cell r="GL197" t="str">
            <v/>
          </cell>
          <cell r="GN197">
            <v>0</v>
          </cell>
          <cell r="GO197" t="str">
            <v/>
          </cell>
          <cell r="GQ197">
            <v>0</v>
          </cell>
          <cell r="GR197" t="str">
            <v/>
          </cell>
          <cell r="GT197">
            <v>0</v>
          </cell>
          <cell r="GU197" t="str">
            <v/>
          </cell>
          <cell r="GW197">
            <v>0</v>
          </cell>
          <cell r="GX197" t="str">
            <v/>
          </cell>
          <cell r="GZ197">
            <v>2.25</v>
          </cell>
          <cell r="HA197">
            <v>46522.222222222219</v>
          </cell>
          <cell r="HC197">
            <v>0.65</v>
          </cell>
          <cell r="HD197">
            <v>38000</v>
          </cell>
          <cell r="HF197">
            <v>0</v>
          </cell>
          <cell r="HG197" t="str">
            <v/>
          </cell>
          <cell r="HI197">
            <v>0</v>
          </cell>
          <cell r="HJ197" t="str">
            <v/>
          </cell>
          <cell r="HL197">
            <v>0</v>
          </cell>
          <cell r="HM197" t="str">
            <v/>
          </cell>
          <cell r="HO197">
            <v>0.45</v>
          </cell>
          <cell r="HP197">
            <v>22880</v>
          </cell>
          <cell r="HR197">
            <v>0</v>
          </cell>
          <cell r="HS197" t="str">
            <v/>
          </cell>
          <cell r="HU197">
            <v>0</v>
          </cell>
          <cell r="HV197" t="str">
            <v/>
          </cell>
        </row>
        <row r="198">
          <cell r="DQ198">
            <v>0.27</v>
          </cell>
          <cell r="DR198">
            <v>104370.37037037036</v>
          </cell>
          <cell r="DT198">
            <v>0</v>
          </cell>
          <cell r="DU198" t="str">
            <v/>
          </cell>
          <cell r="DW198">
            <v>0.11</v>
          </cell>
          <cell r="DX198">
            <v>70318.181818181823</v>
          </cell>
          <cell r="DZ198">
            <v>0</v>
          </cell>
          <cell r="EA198" t="str">
            <v/>
          </cell>
          <cell r="EC198">
            <v>0</v>
          </cell>
          <cell r="ED198" t="str">
            <v/>
          </cell>
          <cell r="EF198">
            <v>0</v>
          </cell>
          <cell r="EG198" t="str">
            <v/>
          </cell>
          <cell r="EI198">
            <v>0</v>
          </cell>
          <cell r="EJ198" t="str">
            <v/>
          </cell>
          <cell r="EL198">
            <v>0</v>
          </cell>
          <cell r="EM198" t="str">
            <v/>
          </cell>
          <cell r="EO198">
            <v>0</v>
          </cell>
          <cell r="EP198" t="str">
            <v/>
          </cell>
          <cell r="ER198">
            <v>0</v>
          </cell>
          <cell r="ES198" t="str">
            <v/>
          </cell>
          <cell r="EU198">
            <v>0</v>
          </cell>
          <cell r="EV198" t="str">
            <v/>
          </cell>
          <cell r="EX198">
            <v>0</v>
          </cell>
          <cell r="EY198" t="str">
            <v/>
          </cell>
          <cell r="FA198">
            <v>0</v>
          </cell>
          <cell r="FB198" t="str">
            <v/>
          </cell>
          <cell r="FD198">
            <v>0</v>
          </cell>
          <cell r="FE198" t="str">
            <v/>
          </cell>
          <cell r="FG198">
            <v>0</v>
          </cell>
          <cell r="FH198" t="str">
            <v/>
          </cell>
          <cell r="FJ198">
            <v>0</v>
          </cell>
          <cell r="FK198" t="str">
            <v/>
          </cell>
          <cell r="FM198">
            <v>0</v>
          </cell>
          <cell r="FN198" t="str">
            <v/>
          </cell>
          <cell r="FP198">
            <v>0</v>
          </cell>
          <cell r="FQ198" t="str">
            <v/>
          </cell>
          <cell r="FS198">
            <v>0</v>
          </cell>
          <cell r="FT198" t="str">
            <v/>
          </cell>
          <cell r="FV198">
            <v>0</v>
          </cell>
          <cell r="FW198" t="str">
            <v/>
          </cell>
          <cell r="FY198">
            <v>0</v>
          </cell>
          <cell r="FZ198" t="str">
            <v/>
          </cell>
          <cell r="GB198">
            <v>0</v>
          </cell>
          <cell r="GC198" t="str">
            <v/>
          </cell>
          <cell r="GE198">
            <v>0</v>
          </cell>
          <cell r="GF198" t="str">
            <v/>
          </cell>
          <cell r="GH198">
            <v>0</v>
          </cell>
          <cell r="GI198" t="str">
            <v/>
          </cell>
          <cell r="GK198">
            <v>0</v>
          </cell>
          <cell r="GL198" t="str">
            <v/>
          </cell>
          <cell r="GN198">
            <v>0</v>
          </cell>
          <cell r="GO198" t="str">
            <v/>
          </cell>
          <cell r="GQ198">
            <v>0</v>
          </cell>
          <cell r="GR198" t="str">
            <v/>
          </cell>
          <cell r="GT198">
            <v>0</v>
          </cell>
          <cell r="GU198" t="str">
            <v/>
          </cell>
          <cell r="GW198">
            <v>0</v>
          </cell>
          <cell r="GX198" t="str">
            <v/>
          </cell>
          <cell r="GZ198">
            <v>4.0199999999999996</v>
          </cell>
          <cell r="HA198">
            <v>30183.582089552241</v>
          </cell>
          <cell r="HC198">
            <v>0.65</v>
          </cell>
          <cell r="HD198">
            <v>30778.461538461539</v>
          </cell>
          <cell r="HF198">
            <v>0</v>
          </cell>
          <cell r="HG198" t="str">
            <v/>
          </cell>
          <cell r="HI198">
            <v>0</v>
          </cell>
          <cell r="HJ198" t="str">
            <v/>
          </cell>
          <cell r="HL198">
            <v>0</v>
          </cell>
          <cell r="HM198" t="str">
            <v/>
          </cell>
          <cell r="HO198">
            <v>0.65</v>
          </cell>
          <cell r="HP198">
            <v>44884.615384615383</v>
          </cell>
          <cell r="HR198">
            <v>0</v>
          </cell>
          <cell r="HS198" t="str">
            <v/>
          </cell>
          <cell r="HU198">
            <v>0</v>
          </cell>
          <cell r="HV198" t="str">
            <v/>
          </cell>
        </row>
        <row r="199">
          <cell r="DQ199">
            <v>0.05</v>
          </cell>
          <cell r="DR199">
            <v>76960</v>
          </cell>
          <cell r="DT199">
            <v>0</v>
          </cell>
          <cell r="DU199" t="str">
            <v/>
          </cell>
          <cell r="DW199">
            <v>0.03</v>
          </cell>
          <cell r="DX199">
            <v>64466.666666666672</v>
          </cell>
          <cell r="DZ199">
            <v>0</v>
          </cell>
          <cell r="EA199" t="str">
            <v/>
          </cell>
          <cell r="EC199">
            <v>0</v>
          </cell>
          <cell r="ED199" t="str">
            <v/>
          </cell>
          <cell r="EF199">
            <v>0</v>
          </cell>
          <cell r="EG199" t="str">
            <v/>
          </cell>
          <cell r="EI199">
            <v>0</v>
          </cell>
          <cell r="EJ199" t="str">
            <v/>
          </cell>
          <cell r="EL199">
            <v>0</v>
          </cell>
          <cell r="EM199" t="str">
            <v/>
          </cell>
          <cell r="EO199">
            <v>0</v>
          </cell>
          <cell r="EP199" t="str">
            <v/>
          </cell>
          <cell r="ER199">
            <v>0</v>
          </cell>
          <cell r="ES199" t="str">
            <v/>
          </cell>
          <cell r="EU199">
            <v>0</v>
          </cell>
          <cell r="EV199" t="str">
            <v/>
          </cell>
          <cell r="EX199">
            <v>0</v>
          </cell>
          <cell r="EY199" t="str">
            <v/>
          </cell>
          <cell r="FA199">
            <v>0</v>
          </cell>
          <cell r="FB199" t="str">
            <v/>
          </cell>
          <cell r="FD199">
            <v>0</v>
          </cell>
          <cell r="FE199" t="str">
            <v/>
          </cell>
          <cell r="FG199">
            <v>0</v>
          </cell>
          <cell r="FH199" t="str">
            <v/>
          </cell>
          <cell r="FJ199">
            <v>0</v>
          </cell>
          <cell r="FK199" t="str">
            <v/>
          </cell>
          <cell r="FM199">
            <v>0</v>
          </cell>
          <cell r="FN199" t="str">
            <v/>
          </cell>
          <cell r="FP199">
            <v>0</v>
          </cell>
          <cell r="FQ199" t="str">
            <v/>
          </cell>
          <cell r="FS199">
            <v>0</v>
          </cell>
          <cell r="FT199" t="str">
            <v/>
          </cell>
          <cell r="FV199">
            <v>0</v>
          </cell>
          <cell r="FW199" t="str">
            <v/>
          </cell>
          <cell r="FY199">
            <v>0</v>
          </cell>
          <cell r="FZ199" t="str">
            <v/>
          </cell>
          <cell r="GB199">
            <v>0</v>
          </cell>
          <cell r="GC199" t="str">
            <v/>
          </cell>
          <cell r="GE199">
            <v>0</v>
          </cell>
          <cell r="GF199" t="str">
            <v/>
          </cell>
          <cell r="GH199">
            <v>0</v>
          </cell>
          <cell r="GI199" t="str">
            <v/>
          </cell>
          <cell r="GK199">
            <v>0</v>
          </cell>
          <cell r="GL199" t="str">
            <v/>
          </cell>
          <cell r="GN199">
            <v>0</v>
          </cell>
          <cell r="GO199" t="str">
            <v/>
          </cell>
          <cell r="GQ199">
            <v>0</v>
          </cell>
          <cell r="GR199" t="str">
            <v/>
          </cell>
          <cell r="GT199">
            <v>0</v>
          </cell>
          <cell r="GU199" t="str">
            <v/>
          </cell>
          <cell r="GW199">
            <v>0</v>
          </cell>
          <cell r="GX199" t="str">
            <v/>
          </cell>
          <cell r="GZ199">
            <v>0.3</v>
          </cell>
          <cell r="HA199">
            <v>100593.33333333334</v>
          </cell>
          <cell r="HC199">
            <v>0.5</v>
          </cell>
          <cell r="HD199">
            <v>22880</v>
          </cell>
          <cell r="HF199">
            <v>0</v>
          </cell>
          <cell r="HG199" t="str">
            <v/>
          </cell>
          <cell r="HI199">
            <v>0</v>
          </cell>
          <cell r="HJ199" t="str">
            <v/>
          </cell>
          <cell r="HL199">
            <v>0</v>
          </cell>
          <cell r="HM199" t="str">
            <v/>
          </cell>
          <cell r="HO199">
            <v>0</v>
          </cell>
          <cell r="HP199" t="str">
            <v/>
          </cell>
          <cell r="HR199">
            <v>0</v>
          </cell>
          <cell r="HS199" t="str">
            <v/>
          </cell>
          <cell r="HU199">
            <v>0</v>
          </cell>
          <cell r="HV199" t="str">
            <v/>
          </cell>
        </row>
        <row r="200">
          <cell r="DQ200">
            <v>0.05</v>
          </cell>
          <cell r="DR200">
            <v>73720</v>
          </cell>
          <cell r="DT200">
            <v>0</v>
          </cell>
          <cell r="DU200" t="str">
            <v/>
          </cell>
          <cell r="DW200">
            <v>0</v>
          </cell>
          <cell r="DX200" t="str">
            <v/>
          </cell>
          <cell r="DZ200">
            <v>0</v>
          </cell>
          <cell r="EA200" t="str">
            <v/>
          </cell>
          <cell r="EC200">
            <v>0</v>
          </cell>
          <cell r="ED200" t="str">
            <v/>
          </cell>
          <cell r="EF200">
            <v>0</v>
          </cell>
          <cell r="EG200" t="str">
            <v/>
          </cell>
          <cell r="EI200">
            <v>0</v>
          </cell>
          <cell r="EJ200" t="str">
            <v/>
          </cell>
          <cell r="EL200">
            <v>0</v>
          </cell>
          <cell r="EM200" t="str">
            <v/>
          </cell>
          <cell r="EO200">
            <v>0</v>
          </cell>
          <cell r="EP200" t="str">
            <v/>
          </cell>
          <cell r="ER200">
            <v>0</v>
          </cell>
          <cell r="ES200" t="str">
            <v/>
          </cell>
          <cell r="EU200">
            <v>0</v>
          </cell>
          <cell r="EV200" t="str">
            <v/>
          </cell>
          <cell r="EX200">
            <v>0</v>
          </cell>
          <cell r="EY200" t="str">
            <v/>
          </cell>
          <cell r="FA200">
            <v>0</v>
          </cell>
          <cell r="FB200" t="str">
            <v/>
          </cell>
          <cell r="FD200">
            <v>0</v>
          </cell>
          <cell r="FE200" t="str">
            <v/>
          </cell>
          <cell r="FG200">
            <v>0</v>
          </cell>
          <cell r="FH200" t="str">
            <v/>
          </cell>
          <cell r="FJ200">
            <v>0</v>
          </cell>
          <cell r="FK200" t="str">
            <v/>
          </cell>
          <cell r="FM200">
            <v>0</v>
          </cell>
          <cell r="FN200" t="str">
            <v/>
          </cell>
          <cell r="FP200">
            <v>0</v>
          </cell>
          <cell r="FQ200" t="str">
            <v/>
          </cell>
          <cell r="FS200">
            <v>0</v>
          </cell>
          <cell r="FT200" t="str">
            <v/>
          </cell>
          <cell r="FV200">
            <v>0</v>
          </cell>
          <cell r="FW200" t="str">
            <v/>
          </cell>
          <cell r="FY200">
            <v>0</v>
          </cell>
          <cell r="FZ200" t="str">
            <v/>
          </cell>
          <cell r="GB200">
            <v>0</v>
          </cell>
          <cell r="GC200" t="str">
            <v/>
          </cell>
          <cell r="GE200">
            <v>0</v>
          </cell>
          <cell r="GF200" t="str">
            <v/>
          </cell>
          <cell r="GH200">
            <v>0</v>
          </cell>
          <cell r="GI200" t="str">
            <v/>
          </cell>
          <cell r="GK200">
            <v>0</v>
          </cell>
          <cell r="GL200" t="str">
            <v/>
          </cell>
          <cell r="GN200">
            <v>0</v>
          </cell>
          <cell r="GO200" t="str">
            <v/>
          </cell>
          <cell r="GQ200">
            <v>0</v>
          </cell>
          <cell r="GR200" t="str">
            <v/>
          </cell>
          <cell r="GT200">
            <v>0</v>
          </cell>
          <cell r="GU200" t="str">
            <v/>
          </cell>
          <cell r="GW200">
            <v>0</v>
          </cell>
          <cell r="GX200" t="str">
            <v/>
          </cell>
          <cell r="GZ200">
            <v>0.83</v>
          </cell>
          <cell r="HA200">
            <v>22880</v>
          </cell>
          <cell r="HC200">
            <v>0.11</v>
          </cell>
          <cell r="HD200">
            <v>46481.818181818184</v>
          </cell>
          <cell r="HF200">
            <v>0</v>
          </cell>
          <cell r="HG200" t="str">
            <v/>
          </cell>
          <cell r="HI200">
            <v>0</v>
          </cell>
          <cell r="HJ200" t="str">
            <v/>
          </cell>
          <cell r="HL200">
            <v>0</v>
          </cell>
          <cell r="HM200" t="str">
            <v/>
          </cell>
          <cell r="HO200">
            <v>0</v>
          </cell>
          <cell r="HP200" t="str">
            <v/>
          </cell>
          <cell r="HR200">
            <v>0</v>
          </cell>
          <cell r="HS200" t="str">
            <v/>
          </cell>
          <cell r="HU200">
            <v>0</v>
          </cell>
          <cell r="HV200" t="str">
            <v/>
          </cell>
        </row>
        <row r="201">
          <cell r="DQ201">
            <v>0.05</v>
          </cell>
          <cell r="DR201">
            <v>75440</v>
          </cell>
          <cell r="DT201">
            <v>0</v>
          </cell>
          <cell r="DU201" t="str">
            <v/>
          </cell>
          <cell r="DW201">
            <v>0</v>
          </cell>
          <cell r="DX201" t="str">
            <v/>
          </cell>
          <cell r="DZ201">
            <v>0</v>
          </cell>
          <cell r="EA201" t="str">
            <v/>
          </cell>
          <cell r="EC201">
            <v>0</v>
          </cell>
          <cell r="ED201" t="str">
            <v/>
          </cell>
          <cell r="EF201">
            <v>0</v>
          </cell>
          <cell r="EG201" t="str">
            <v/>
          </cell>
          <cell r="EI201">
            <v>0</v>
          </cell>
          <cell r="EJ201" t="str">
            <v/>
          </cell>
          <cell r="EL201">
            <v>0</v>
          </cell>
          <cell r="EM201" t="str">
            <v/>
          </cell>
          <cell r="EO201">
            <v>0</v>
          </cell>
          <cell r="EP201" t="str">
            <v/>
          </cell>
          <cell r="ER201">
            <v>0</v>
          </cell>
          <cell r="ES201" t="str">
            <v/>
          </cell>
          <cell r="EU201">
            <v>0</v>
          </cell>
          <cell r="EV201" t="str">
            <v/>
          </cell>
          <cell r="EX201">
            <v>0</v>
          </cell>
          <cell r="EY201" t="str">
            <v/>
          </cell>
          <cell r="FA201">
            <v>0</v>
          </cell>
          <cell r="FB201" t="str">
            <v/>
          </cell>
          <cell r="FD201">
            <v>0</v>
          </cell>
          <cell r="FE201" t="str">
            <v/>
          </cell>
          <cell r="FG201">
            <v>0</v>
          </cell>
          <cell r="FH201" t="str">
            <v/>
          </cell>
          <cell r="FJ201">
            <v>0</v>
          </cell>
          <cell r="FK201" t="str">
            <v/>
          </cell>
          <cell r="FM201">
            <v>0</v>
          </cell>
          <cell r="FN201" t="str">
            <v/>
          </cell>
          <cell r="FP201">
            <v>0</v>
          </cell>
          <cell r="FQ201" t="str">
            <v/>
          </cell>
          <cell r="FS201">
            <v>0</v>
          </cell>
          <cell r="FT201" t="str">
            <v/>
          </cell>
          <cell r="FV201">
            <v>0</v>
          </cell>
          <cell r="FW201" t="str">
            <v/>
          </cell>
          <cell r="FY201">
            <v>0</v>
          </cell>
          <cell r="FZ201" t="str">
            <v/>
          </cell>
          <cell r="GB201">
            <v>0</v>
          </cell>
          <cell r="GC201" t="str">
            <v/>
          </cell>
          <cell r="GE201">
            <v>0</v>
          </cell>
          <cell r="GF201" t="str">
            <v/>
          </cell>
          <cell r="GH201">
            <v>0</v>
          </cell>
          <cell r="GI201" t="str">
            <v/>
          </cell>
          <cell r="GK201">
            <v>0</v>
          </cell>
          <cell r="GL201" t="str">
            <v/>
          </cell>
          <cell r="GN201">
            <v>0</v>
          </cell>
          <cell r="GO201" t="str">
            <v/>
          </cell>
          <cell r="GQ201">
            <v>0</v>
          </cell>
          <cell r="GR201" t="str">
            <v/>
          </cell>
          <cell r="GT201">
            <v>0</v>
          </cell>
          <cell r="GU201" t="str">
            <v/>
          </cell>
          <cell r="GW201">
            <v>0</v>
          </cell>
          <cell r="GX201" t="str">
            <v/>
          </cell>
          <cell r="GZ201">
            <v>0.04</v>
          </cell>
          <cell r="HA201">
            <v>46975</v>
          </cell>
          <cell r="HC201">
            <v>1</v>
          </cell>
          <cell r="HD201">
            <v>34081</v>
          </cell>
          <cell r="HF201">
            <v>0</v>
          </cell>
          <cell r="HG201" t="str">
            <v/>
          </cell>
          <cell r="HI201">
            <v>0</v>
          </cell>
          <cell r="HJ201" t="str">
            <v/>
          </cell>
          <cell r="HL201">
            <v>0</v>
          </cell>
          <cell r="HM201" t="str">
            <v/>
          </cell>
          <cell r="HO201">
            <v>0.03</v>
          </cell>
          <cell r="HP201">
            <v>31366.666666666668</v>
          </cell>
          <cell r="HR201">
            <v>0</v>
          </cell>
          <cell r="HS201" t="str">
            <v/>
          </cell>
          <cell r="HU201">
            <v>0</v>
          </cell>
          <cell r="HV201" t="str">
            <v/>
          </cell>
        </row>
        <row r="202">
          <cell r="DQ202">
            <v>0.23</v>
          </cell>
          <cell r="DR202">
            <v>63989.086956521736</v>
          </cell>
          <cell r="DT202">
            <v>0</v>
          </cell>
          <cell r="DU202" t="str">
            <v/>
          </cell>
          <cell r="DW202">
            <v>0.22</v>
          </cell>
          <cell r="DX202">
            <v>64516.545454545449</v>
          </cell>
          <cell r="DZ202">
            <v>0.21</v>
          </cell>
          <cell r="EA202">
            <v>50693.42857142858</v>
          </cell>
          <cell r="EC202">
            <v>0</v>
          </cell>
          <cell r="ED202" t="str">
            <v/>
          </cell>
          <cell r="EF202">
            <v>0</v>
          </cell>
          <cell r="EG202" t="str">
            <v/>
          </cell>
          <cell r="EI202">
            <v>0</v>
          </cell>
          <cell r="EJ202" t="str">
            <v/>
          </cell>
          <cell r="EL202">
            <v>0</v>
          </cell>
          <cell r="EM202" t="str">
            <v/>
          </cell>
          <cell r="EO202">
            <v>0</v>
          </cell>
          <cell r="EP202" t="str">
            <v/>
          </cell>
          <cell r="ER202">
            <v>0</v>
          </cell>
          <cell r="ES202" t="str">
            <v/>
          </cell>
          <cell r="EU202">
            <v>0</v>
          </cell>
          <cell r="EV202" t="str">
            <v/>
          </cell>
          <cell r="EX202">
            <v>0</v>
          </cell>
          <cell r="EY202" t="str">
            <v/>
          </cell>
          <cell r="FA202">
            <v>0</v>
          </cell>
          <cell r="FB202" t="str">
            <v/>
          </cell>
          <cell r="FD202">
            <v>0</v>
          </cell>
          <cell r="FE202" t="str">
            <v/>
          </cell>
          <cell r="FG202">
            <v>0</v>
          </cell>
          <cell r="FH202" t="str">
            <v/>
          </cell>
          <cell r="FJ202">
            <v>0</v>
          </cell>
          <cell r="FK202" t="str">
            <v/>
          </cell>
          <cell r="FM202">
            <v>0</v>
          </cell>
          <cell r="FN202" t="str">
            <v/>
          </cell>
          <cell r="FP202">
            <v>0</v>
          </cell>
          <cell r="FQ202" t="str">
            <v/>
          </cell>
          <cell r="FS202">
            <v>0</v>
          </cell>
          <cell r="FT202" t="str">
            <v/>
          </cell>
          <cell r="FV202">
            <v>0</v>
          </cell>
          <cell r="FW202" t="str">
            <v/>
          </cell>
          <cell r="FY202">
            <v>0</v>
          </cell>
          <cell r="FZ202" t="str">
            <v/>
          </cell>
          <cell r="GB202">
            <v>0</v>
          </cell>
          <cell r="GC202" t="str">
            <v/>
          </cell>
          <cell r="GE202">
            <v>0</v>
          </cell>
          <cell r="GF202" t="str">
            <v/>
          </cell>
          <cell r="GH202">
            <v>0</v>
          </cell>
          <cell r="GI202" t="str">
            <v/>
          </cell>
          <cell r="GK202">
            <v>0.93</v>
          </cell>
          <cell r="GL202">
            <v>44995.419354838705</v>
          </cell>
          <cell r="GN202">
            <v>0</v>
          </cell>
          <cell r="GO202" t="str">
            <v/>
          </cell>
          <cell r="GQ202">
            <v>0</v>
          </cell>
          <cell r="GR202" t="str">
            <v/>
          </cell>
          <cell r="GT202">
            <v>0</v>
          </cell>
          <cell r="GU202" t="str">
            <v/>
          </cell>
          <cell r="GW202">
            <v>0</v>
          </cell>
          <cell r="GX202" t="str">
            <v/>
          </cell>
          <cell r="GZ202">
            <v>0.19</v>
          </cell>
          <cell r="HA202">
            <v>37252.631578947367</v>
          </cell>
          <cell r="HC202">
            <v>0</v>
          </cell>
          <cell r="HD202" t="str">
            <v/>
          </cell>
          <cell r="HF202">
            <v>0.53</v>
          </cell>
          <cell r="HG202">
            <v>44487.735849056604</v>
          </cell>
          <cell r="HI202">
            <v>1.69</v>
          </cell>
          <cell r="HJ202">
            <v>33144.798816568051</v>
          </cell>
          <cell r="HL202">
            <v>0</v>
          </cell>
          <cell r="HM202" t="str">
            <v/>
          </cell>
          <cell r="HO202">
            <v>0</v>
          </cell>
          <cell r="HP202" t="str">
            <v/>
          </cell>
          <cell r="HR202">
            <v>0</v>
          </cell>
          <cell r="HS202" t="str">
            <v/>
          </cell>
          <cell r="HU202">
            <v>0</v>
          </cell>
          <cell r="HV202" t="str">
            <v/>
          </cell>
        </row>
        <row r="203">
          <cell r="DQ203">
            <v>0.28000000000000003</v>
          </cell>
          <cell r="DR203">
            <v>81183.142857142841</v>
          </cell>
          <cell r="DT203">
            <v>0</v>
          </cell>
          <cell r="DU203" t="str">
            <v/>
          </cell>
          <cell r="DW203">
            <v>0</v>
          </cell>
          <cell r="DX203" t="str">
            <v/>
          </cell>
          <cell r="DZ203">
            <v>2.3199999999999998</v>
          </cell>
          <cell r="EA203">
            <v>66908.60344827587</v>
          </cell>
          <cell r="EC203">
            <v>0</v>
          </cell>
          <cell r="ED203" t="str">
            <v/>
          </cell>
          <cell r="EF203">
            <v>0</v>
          </cell>
          <cell r="EG203" t="str">
            <v/>
          </cell>
          <cell r="EI203">
            <v>0</v>
          </cell>
          <cell r="EJ203" t="str">
            <v/>
          </cell>
          <cell r="EL203">
            <v>0</v>
          </cell>
          <cell r="EM203" t="str">
            <v/>
          </cell>
          <cell r="EO203">
            <v>0</v>
          </cell>
          <cell r="EP203" t="str">
            <v/>
          </cell>
          <cell r="ER203">
            <v>0</v>
          </cell>
          <cell r="ES203" t="str">
            <v/>
          </cell>
          <cell r="EU203">
            <v>0</v>
          </cell>
          <cell r="EV203" t="str">
            <v/>
          </cell>
          <cell r="EX203">
            <v>0</v>
          </cell>
          <cell r="EY203" t="str">
            <v/>
          </cell>
          <cell r="FA203">
            <v>0</v>
          </cell>
          <cell r="FB203" t="str">
            <v/>
          </cell>
          <cell r="FD203">
            <v>0</v>
          </cell>
          <cell r="FE203" t="str">
            <v/>
          </cell>
          <cell r="FG203">
            <v>0</v>
          </cell>
          <cell r="FH203" t="str">
            <v/>
          </cell>
          <cell r="FJ203">
            <v>0</v>
          </cell>
          <cell r="FK203" t="str">
            <v/>
          </cell>
          <cell r="FM203">
            <v>0</v>
          </cell>
          <cell r="FN203" t="str">
            <v/>
          </cell>
          <cell r="FP203">
            <v>0</v>
          </cell>
          <cell r="FQ203" t="str">
            <v/>
          </cell>
          <cell r="FS203">
            <v>0</v>
          </cell>
          <cell r="FT203" t="str">
            <v/>
          </cell>
          <cell r="FV203">
            <v>0</v>
          </cell>
          <cell r="FW203" t="str">
            <v/>
          </cell>
          <cell r="FY203">
            <v>0</v>
          </cell>
          <cell r="FZ203" t="str">
            <v/>
          </cell>
          <cell r="GB203">
            <v>0</v>
          </cell>
          <cell r="GC203" t="str">
            <v/>
          </cell>
          <cell r="GE203">
            <v>0</v>
          </cell>
          <cell r="GF203" t="str">
            <v/>
          </cell>
          <cell r="GH203">
            <v>0</v>
          </cell>
          <cell r="GI203" t="str">
            <v/>
          </cell>
          <cell r="GK203">
            <v>0</v>
          </cell>
          <cell r="GL203" t="str">
            <v/>
          </cell>
          <cell r="GN203">
            <v>0</v>
          </cell>
          <cell r="GO203" t="str">
            <v/>
          </cell>
          <cell r="GQ203">
            <v>0</v>
          </cell>
          <cell r="GR203" t="str">
            <v/>
          </cell>
          <cell r="GT203">
            <v>0</v>
          </cell>
          <cell r="GU203" t="str">
            <v/>
          </cell>
          <cell r="GW203">
            <v>0</v>
          </cell>
          <cell r="GX203" t="str">
            <v/>
          </cell>
          <cell r="GZ203">
            <v>0</v>
          </cell>
          <cell r="HA203" t="str">
            <v/>
          </cell>
          <cell r="HC203">
            <v>0</v>
          </cell>
          <cell r="HD203" t="str">
            <v/>
          </cell>
          <cell r="HF203">
            <v>0</v>
          </cell>
          <cell r="HG203" t="str">
            <v/>
          </cell>
          <cell r="HI203">
            <v>3.76</v>
          </cell>
          <cell r="HJ203">
            <v>46611.085106382976</v>
          </cell>
          <cell r="HL203">
            <v>0.44</v>
          </cell>
          <cell r="HM203">
            <v>25547.63636363636</v>
          </cell>
          <cell r="HO203">
            <v>0</v>
          </cell>
          <cell r="HP203" t="str">
            <v/>
          </cell>
          <cell r="HR203">
            <v>0</v>
          </cell>
          <cell r="HS203" t="str">
            <v/>
          </cell>
          <cell r="HU203">
            <v>0</v>
          </cell>
          <cell r="HV203" t="str">
            <v/>
          </cell>
        </row>
        <row r="204">
          <cell r="DQ204">
            <v>1.53</v>
          </cell>
          <cell r="DR204">
            <v>69642.705882352937</v>
          </cell>
          <cell r="DT204">
            <v>0</v>
          </cell>
          <cell r="DU204" t="str">
            <v/>
          </cell>
          <cell r="DW204">
            <v>0</v>
          </cell>
          <cell r="DX204" t="str">
            <v/>
          </cell>
          <cell r="DZ204">
            <v>0</v>
          </cell>
          <cell r="EA204" t="str">
            <v/>
          </cell>
          <cell r="EC204">
            <v>0</v>
          </cell>
          <cell r="ED204" t="str">
            <v/>
          </cell>
          <cell r="EF204">
            <v>0</v>
          </cell>
          <cell r="EG204" t="str">
            <v/>
          </cell>
          <cell r="EI204">
            <v>0</v>
          </cell>
          <cell r="EJ204" t="str">
            <v/>
          </cell>
          <cell r="EL204">
            <v>0</v>
          </cell>
          <cell r="EM204" t="str">
            <v/>
          </cell>
          <cell r="EO204">
            <v>0</v>
          </cell>
          <cell r="EP204" t="str">
            <v/>
          </cell>
          <cell r="ER204">
            <v>0</v>
          </cell>
          <cell r="ES204" t="str">
            <v/>
          </cell>
          <cell r="EU204">
            <v>0</v>
          </cell>
          <cell r="EV204" t="str">
            <v/>
          </cell>
          <cell r="EX204">
            <v>0</v>
          </cell>
          <cell r="EY204" t="str">
            <v/>
          </cell>
          <cell r="FA204">
            <v>0</v>
          </cell>
          <cell r="FB204" t="str">
            <v/>
          </cell>
          <cell r="FD204">
            <v>0</v>
          </cell>
          <cell r="FE204" t="str">
            <v/>
          </cell>
          <cell r="FG204">
            <v>0</v>
          </cell>
          <cell r="FH204" t="str">
            <v/>
          </cell>
          <cell r="FJ204">
            <v>0</v>
          </cell>
          <cell r="FK204" t="str">
            <v/>
          </cell>
          <cell r="FM204">
            <v>0</v>
          </cell>
          <cell r="FN204" t="str">
            <v/>
          </cell>
          <cell r="FP204">
            <v>0</v>
          </cell>
          <cell r="FQ204" t="str">
            <v/>
          </cell>
          <cell r="FS204">
            <v>0</v>
          </cell>
          <cell r="FT204" t="str">
            <v/>
          </cell>
          <cell r="FV204">
            <v>0</v>
          </cell>
          <cell r="FW204" t="str">
            <v/>
          </cell>
          <cell r="FY204">
            <v>0</v>
          </cell>
          <cell r="FZ204" t="str">
            <v/>
          </cell>
          <cell r="GB204">
            <v>0</v>
          </cell>
          <cell r="GC204" t="str">
            <v/>
          </cell>
          <cell r="GE204">
            <v>0</v>
          </cell>
          <cell r="GF204" t="str">
            <v/>
          </cell>
          <cell r="GH204">
            <v>0</v>
          </cell>
          <cell r="GI204" t="str">
            <v/>
          </cell>
          <cell r="GK204">
            <v>0</v>
          </cell>
          <cell r="GL204" t="str">
            <v/>
          </cell>
          <cell r="GN204">
            <v>0</v>
          </cell>
          <cell r="GO204" t="str">
            <v/>
          </cell>
          <cell r="GQ204">
            <v>0</v>
          </cell>
          <cell r="GR204" t="str">
            <v/>
          </cell>
          <cell r="GT204">
            <v>0</v>
          </cell>
          <cell r="GU204" t="str">
            <v/>
          </cell>
          <cell r="GW204">
            <v>0</v>
          </cell>
          <cell r="GX204" t="str">
            <v/>
          </cell>
          <cell r="GZ204">
            <v>4.8899999999999997</v>
          </cell>
          <cell r="HA204">
            <v>36902.797546012269</v>
          </cell>
          <cell r="HC204">
            <v>0.78</v>
          </cell>
          <cell r="HD204">
            <v>36785.576923076922</v>
          </cell>
          <cell r="HF204">
            <v>3.09</v>
          </cell>
          <cell r="HG204">
            <v>47938.708737864086</v>
          </cell>
          <cell r="HI204">
            <v>6.51</v>
          </cell>
          <cell r="HJ204">
            <v>35159.419354838712</v>
          </cell>
          <cell r="HL204">
            <v>1.08</v>
          </cell>
          <cell r="HM204">
            <v>30148.527777777774</v>
          </cell>
          <cell r="HO204">
            <v>0.27</v>
          </cell>
          <cell r="HP204">
            <v>24538.633333333331</v>
          </cell>
          <cell r="HR204">
            <v>0</v>
          </cell>
          <cell r="HS204" t="str">
            <v/>
          </cell>
          <cell r="HU204">
            <v>0</v>
          </cell>
          <cell r="HV204" t="str">
            <v/>
          </cell>
        </row>
        <row r="205">
          <cell r="DQ205">
            <v>0.69000000000000006</v>
          </cell>
          <cell r="DR205">
            <v>92654.913043478256</v>
          </cell>
          <cell r="DT205">
            <v>0</v>
          </cell>
          <cell r="DU205" t="str">
            <v/>
          </cell>
          <cell r="DW205">
            <v>5.88</v>
          </cell>
          <cell r="DX205">
            <v>69506.841836734689</v>
          </cell>
          <cell r="DZ205">
            <v>2.73</v>
          </cell>
          <cell r="EA205">
            <v>47958.219780219784</v>
          </cell>
          <cell r="EC205">
            <v>0</v>
          </cell>
          <cell r="ED205" t="str">
            <v/>
          </cell>
          <cell r="EF205">
            <v>0</v>
          </cell>
          <cell r="EG205" t="str">
            <v/>
          </cell>
          <cell r="EI205">
            <v>0</v>
          </cell>
          <cell r="EJ205" t="str">
            <v/>
          </cell>
          <cell r="EL205">
            <v>0</v>
          </cell>
          <cell r="EM205" t="str">
            <v/>
          </cell>
          <cell r="EO205">
            <v>0</v>
          </cell>
          <cell r="EP205" t="str">
            <v/>
          </cell>
          <cell r="ER205">
            <v>0</v>
          </cell>
          <cell r="ES205" t="str">
            <v/>
          </cell>
          <cell r="EU205">
            <v>0</v>
          </cell>
          <cell r="EV205" t="str">
            <v/>
          </cell>
          <cell r="EX205">
            <v>0</v>
          </cell>
          <cell r="EY205" t="str">
            <v/>
          </cell>
          <cell r="FA205">
            <v>0</v>
          </cell>
          <cell r="FB205" t="str">
            <v/>
          </cell>
          <cell r="FD205">
            <v>0</v>
          </cell>
          <cell r="FE205" t="str">
            <v/>
          </cell>
          <cell r="FG205">
            <v>0</v>
          </cell>
          <cell r="FH205" t="str">
            <v/>
          </cell>
          <cell r="FJ205">
            <v>0</v>
          </cell>
          <cell r="FK205" t="str">
            <v/>
          </cell>
          <cell r="FM205">
            <v>0</v>
          </cell>
          <cell r="FN205" t="str">
            <v/>
          </cell>
          <cell r="FP205">
            <v>0</v>
          </cell>
          <cell r="FQ205" t="str">
            <v/>
          </cell>
          <cell r="FS205">
            <v>0</v>
          </cell>
          <cell r="FT205" t="str">
            <v/>
          </cell>
          <cell r="FV205">
            <v>0</v>
          </cell>
          <cell r="FW205" t="str">
            <v/>
          </cell>
          <cell r="FY205">
            <v>0</v>
          </cell>
          <cell r="FZ205" t="str">
            <v/>
          </cell>
          <cell r="GB205">
            <v>0</v>
          </cell>
          <cell r="GC205" t="str">
            <v/>
          </cell>
          <cell r="GE205">
            <v>0</v>
          </cell>
          <cell r="GF205" t="str">
            <v/>
          </cell>
          <cell r="GH205">
            <v>0</v>
          </cell>
          <cell r="GI205" t="str">
            <v/>
          </cell>
          <cell r="GK205">
            <v>0</v>
          </cell>
          <cell r="GL205" t="str">
            <v/>
          </cell>
          <cell r="GN205">
            <v>0</v>
          </cell>
          <cell r="GO205" t="str">
            <v/>
          </cell>
          <cell r="GQ205">
            <v>0</v>
          </cell>
          <cell r="GR205" t="str">
            <v/>
          </cell>
          <cell r="GT205">
            <v>0</v>
          </cell>
          <cell r="GU205" t="str">
            <v/>
          </cell>
          <cell r="GW205">
            <v>0</v>
          </cell>
          <cell r="GX205" t="str">
            <v/>
          </cell>
          <cell r="GZ205">
            <v>0.33</v>
          </cell>
          <cell r="HA205">
            <v>41024.636363636368</v>
          </cell>
          <cell r="HC205">
            <v>0</v>
          </cell>
          <cell r="HD205" t="str">
            <v/>
          </cell>
          <cell r="HF205">
            <v>0</v>
          </cell>
          <cell r="HG205" t="str">
            <v/>
          </cell>
          <cell r="HI205">
            <v>0.03</v>
          </cell>
          <cell r="HJ205">
            <v>30025</v>
          </cell>
          <cell r="HL205">
            <v>15.57</v>
          </cell>
          <cell r="HM205">
            <v>30102.470134874759</v>
          </cell>
          <cell r="HO205">
            <v>0</v>
          </cell>
          <cell r="HP205" t="str">
            <v/>
          </cell>
          <cell r="HR205">
            <v>0</v>
          </cell>
          <cell r="HS205" t="str">
            <v/>
          </cell>
          <cell r="HU205">
            <v>0</v>
          </cell>
          <cell r="HV205" t="str">
            <v/>
          </cell>
        </row>
        <row r="206">
          <cell r="DQ206">
            <v>1</v>
          </cell>
          <cell r="DR206">
            <v>80782</v>
          </cell>
          <cell r="DT206">
            <v>0.8</v>
          </cell>
          <cell r="DU206">
            <v>87641.25</v>
          </cell>
          <cell r="DW206">
            <v>1</v>
          </cell>
          <cell r="DX206">
            <v>49248</v>
          </cell>
          <cell r="DZ206">
            <v>0</v>
          </cell>
          <cell r="EA206" t="str">
            <v/>
          </cell>
          <cell r="EC206">
            <v>0</v>
          </cell>
          <cell r="ED206" t="str">
            <v/>
          </cell>
          <cell r="EF206">
            <v>0</v>
          </cell>
          <cell r="EG206" t="str">
            <v/>
          </cell>
          <cell r="EI206">
            <v>0</v>
          </cell>
          <cell r="EJ206" t="str">
            <v/>
          </cell>
          <cell r="EL206">
            <v>0.64</v>
          </cell>
          <cell r="EM206">
            <v>62007.8125</v>
          </cell>
          <cell r="EO206">
            <v>0</v>
          </cell>
          <cell r="EP206" t="str">
            <v/>
          </cell>
          <cell r="ER206">
            <v>0</v>
          </cell>
          <cell r="ES206" t="str">
            <v/>
          </cell>
          <cell r="EU206">
            <v>0</v>
          </cell>
          <cell r="EV206" t="str">
            <v/>
          </cell>
          <cell r="EX206">
            <v>0</v>
          </cell>
          <cell r="EY206" t="str">
            <v/>
          </cell>
          <cell r="FA206">
            <v>7.0000000000000007E-2</v>
          </cell>
          <cell r="FB206">
            <v>136614.28571428571</v>
          </cell>
          <cell r="FD206">
            <v>0</v>
          </cell>
          <cell r="FE206" t="str">
            <v/>
          </cell>
          <cell r="FG206">
            <v>0</v>
          </cell>
          <cell r="FH206" t="str">
            <v/>
          </cell>
          <cell r="FJ206">
            <v>0</v>
          </cell>
          <cell r="FK206" t="str">
            <v/>
          </cell>
          <cell r="FM206">
            <v>0</v>
          </cell>
          <cell r="FN206" t="str">
            <v/>
          </cell>
          <cell r="FP206">
            <v>0</v>
          </cell>
          <cell r="FQ206" t="str">
            <v/>
          </cell>
          <cell r="FS206">
            <v>0</v>
          </cell>
          <cell r="FT206" t="str">
            <v/>
          </cell>
          <cell r="FV206">
            <v>0</v>
          </cell>
          <cell r="FW206" t="str">
            <v/>
          </cell>
          <cell r="FY206">
            <v>0</v>
          </cell>
          <cell r="FZ206" t="str">
            <v/>
          </cell>
          <cell r="GB206">
            <v>0</v>
          </cell>
          <cell r="GC206" t="str">
            <v/>
          </cell>
          <cell r="GE206">
            <v>0</v>
          </cell>
          <cell r="GF206" t="str">
            <v/>
          </cell>
          <cell r="GH206">
            <v>0</v>
          </cell>
          <cell r="GI206" t="str">
            <v/>
          </cell>
          <cell r="GK206">
            <v>0</v>
          </cell>
          <cell r="GL206" t="str">
            <v/>
          </cell>
          <cell r="GN206">
            <v>0</v>
          </cell>
          <cell r="GO206" t="str">
            <v/>
          </cell>
          <cell r="GQ206">
            <v>0</v>
          </cell>
          <cell r="GR206" t="str">
            <v/>
          </cell>
          <cell r="GT206">
            <v>0</v>
          </cell>
          <cell r="GU206" t="str">
            <v/>
          </cell>
          <cell r="GW206">
            <v>0</v>
          </cell>
          <cell r="GX206" t="str">
            <v/>
          </cell>
          <cell r="GZ206">
            <v>0</v>
          </cell>
          <cell r="HA206" t="str">
            <v/>
          </cell>
          <cell r="HC206">
            <v>3.38</v>
          </cell>
          <cell r="HD206">
            <v>37120.710059171601</v>
          </cell>
          <cell r="HF206">
            <v>0</v>
          </cell>
          <cell r="HG206" t="str">
            <v/>
          </cell>
          <cell r="HI206">
            <v>6.58</v>
          </cell>
          <cell r="HJ206">
            <v>29488.297872340427</v>
          </cell>
          <cell r="HL206">
            <v>0</v>
          </cell>
          <cell r="HM206" t="str">
            <v/>
          </cell>
          <cell r="HO206">
            <v>0.7</v>
          </cell>
          <cell r="HP206">
            <v>44872.857142857145</v>
          </cell>
          <cell r="HR206">
            <v>0.23</v>
          </cell>
          <cell r="HS206">
            <v>38034.782608695648</v>
          </cell>
          <cell r="HU206">
            <v>0.43</v>
          </cell>
          <cell r="HV206">
            <v>34741.860465116282</v>
          </cell>
        </row>
        <row r="207">
          <cell r="DQ207">
            <v>0</v>
          </cell>
          <cell r="DR207" t="str">
            <v/>
          </cell>
          <cell r="DT207">
            <v>0</v>
          </cell>
          <cell r="DU207" t="str">
            <v/>
          </cell>
          <cell r="DW207">
            <v>0</v>
          </cell>
          <cell r="DX207" t="str">
            <v/>
          </cell>
          <cell r="DZ207">
            <v>0</v>
          </cell>
          <cell r="EA207" t="str">
            <v/>
          </cell>
          <cell r="EC207">
            <v>0</v>
          </cell>
          <cell r="ED207" t="str">
            <v/>
          </cell>
          <cell r="EF207">
            <v>0</v>
          </cell>
          <cell r="EG207" t="str">
            <v/>
          </cell>
          <cell r="EI207">
            <v>0</v>
          </cell>
          <cell r="EJ207" t="str">
            <v/>
          </cell>
          <cell r="EL207">
            <v>0</v>
          </cell>
          <cell r="EM207" t="str">
            <v/>
          </cell>
          <cell r="EO207">
            <v>0</v>
          </cell>
          <cell r="EP207" t="str">
            <v/>
          </cell>
          <cell r="ER207">
            <v>0</v>
          </cell>
          <cell r="ES207" t="str">
            <v/>
          </cell>
          <cell r="EU207">
            <v>0</v>
          </cell>
          <cell r="EV207" t="str">
            <v/>
          </cell>
          <cell r="EX207">
            <v>0</v>
          </cell>
          <cell r="EY207" t="str">
            <v/>
          </cell>
          <cell r="FA207">
            <v>0</v>
          </cell>
          <cell r="FB207" t="str">
            <v/>
          </cell>
          <cell r="FD207">
            <v>0</v>
          </cell>
          <cell r="FE207" t="str">
            <v/>
          </cell>
          <cell r="FG207">
            <v>0</v>
          </cell>
          <cell r="FH207" t="str">
            <v/>
          </cell>
          <cell r="FJ207">
            <v>0</v>
          </cell>
          <cell r="FK207" t="str">
            <v/>
          </cell>
          <cell r="FM207">
            <v>0</v>
          </cell>
          <cell r="FN207" t="str">
            <v/>
          </cell>
          <cell r="FP207">
            <v>0</v>
          </cell>
          <cell r="FQ207" t="str">
            <v/>
          </cell>
          <cell r="FS207">
            <v>0</v>
          </cell>
          <cell r="FT207" t="str">
            <v/>
          </cell>
          <cell r="FV207">
            <v>0</v>
          </cell>
          <cell r="FW207" t="str">
            <v/>
          </cell>
          <cell r="FY207">
            <v>0</v>
          </cell>
          <cell r="FZ207" t="str">
            <v/>
          </cell>
          <cell r="GB207">
            <v>0</v>
          </cell>
          <cell r="GC207" t="str">
            <v/>
          </cell>
          <cell r="GE207">
            <v>0</v>
          </cell>
          <cell r="GF207" t="str">
            <v/>
          </cell>
          <cell r="GH207">
            <v>0</v>
          </cell>
          <cell r="GI207" t="str">
            <v/>
          </cell>
          <cell r="GK207">
            <v>0</v>
          </cell>
          <cell r="GL207" t="str">
            <v/>
          </cell>
          <cell r="GN207">
            <v>0</v>
          </cell>
          <cell r="GO207" t="str">
            <v/>
          </cell>
          <cell r="GQ207">
            <v>0</v>
          </cell>
          <cell r="GR207" t="str">
            <v/>
          </cell>
          <cell r="GT207">
            <v>0.13</v>
          </cell>
          <cell r="GU207">
            <v>41492.307692307688</v>
          </cell>
          <cell r="GW207">
            <v>0</v>
          </cell>
          <cell r="GX207" t="str">
            <v/>
          </cell>
          <cell r="GZ207">
            <v>0.12</v>
          </cell>
          <cell r="HA207">
            <v>41816.666666666672</v>
          </cell>
          <cell r="HC207">
            <v>0</v>
          </cell>
          <cell r="HD207" t="str">
            <v/>
          </cell>
          <cell r="HF207">
            <v>0</v>
          </cell>
          <cell r="HG207" t="str">
            <v/>
          </cell>
          <cell r="HI207">
            <v>0</v>
          </cell>
          <cell r="HJ207" t="str">
            <v/>
          </cell>
          <cell r="HL207">
            <v>0</v>
          </cell>
          <cell r="HM207" t="str">
            <v/>
          </cell>
          <cell r="HO207">
            <v>0</v>
          </cell>
          <cell r="HP207" t="str">
            <v/>
          </cell>
          <cell r="HR207">
            <v>0</v>
          </cell>
          <cell r="HS207" t="str">
            <v/>
          </cell>
          <cell r="HU207">
            <v>0</v>
          </cell>
          <cell r="HV207" t="str">
            <v/>
          </cell>
        </row>
        <row r="208">
          <cell r="DQ208">
            <v>0</v>
          </cell>
          <cell r="DR208" t="str">
            <v/>
          </cell>
          <cell r="DT208">
            <v>0</v>
          </cell>
          <cell r="DU208" t="str">
            <v/>
          </cell>
          <cell r="DW208">
            <v>0</v>
          </cell>
          <cell r="DX208" t="str">
            <v/>
          </cell>
          <cell r="DZ208">
            <v>0</v>
          </cell>
          <cell r="EA208" t="str">
            <v/>
          </cell>
          <cell r="EC208">
            <v>0</v>
          </cell>
          <cell r="ED208" t="str">
            <v/>
          </cell>
          <cell r="EF208">
            <v>0</v>
          </cell>
          <cell r="EG208" t="str">
            <v/>
          </cell>
          <cell r="EI208">
            <v>0</v>
          </cell>
          <cell r="EJ208" t="str">
            <v/>
          </cell>
          <cell r="EL208">
            <v>0</v>
          </cell>
          <cell r="EM208" t="str">
            <v/>
          </cell>
          <cell r="EO208">
            <v>0</v>
          </cell>
          <cell r="EP208" t="str">
            <v/>
          </cell>
          <cell r="ER208">
            <v>0</v>
          </cell>
          <cell r="ES208" t="str">
            <v/>
          </cell>
          <cell r="EU208">
            <v>0</v>
          </cell>
          <cell r="EV208" t="str">
            <v/>
          </cell>
          <cell r="EX208">
            <v>0</v>
          </cell>
          <cell r="EY208" t="str">
            <v/>
          </cell>
          <cell r="FA208">
            <v>0</v>
          </cell>
          <cell r="FB208" t="str">
            <v/>
          </cell>
          <cell r="FD208">
            <v>0</v>
          </cell>
          <cell r="FE208" t="str">
            <v/>
          </cell>
          <cell r="FG208">
            <v>0</v>
          </cell>
          <cell r="FH208" t="str">
            <v/>
          </cell>
          <cell r="FJ208">
            <v>0</v>
          </cell>
          <cell r="FK208" t="str">
            <v/>
          </cell>
          <cell r="FM208">
            <v>0</v>
          </cell>
          <cell r="FN208" t="str">
            <v/>
          </cell>
          <cell r="FP208">
            <v>0</v>
          </cell>
          <cell r="FQ208" t="str">
            <v/>
          </cell>
          <cell r="FS208">
            <v>0</v>
          </cell>
          <cell r="FT208" t="str">
            <v/>
          </cell>
          <cell r="FV208">
            <v>0</v>
          </cell>
          <cell r="FW208" t="str">
            <v/>
          </cell>
          <cell r="FY208">
            <v>0</v>
          </cell>
          <cell r="FZ208" t="str">
            <v/>
          </cell>
          <cell r="GB208">
            <v>0</v>
          </cell>
          <cell r="GC208" t="str">
            <v/>
          </cell>
          <cell r="GE208">
            <v>0</v>
          </cell>
          <cell r="GF208" t="str">
            <v/>
          </cell>
          <cell r="GH208">
            <v>0</v>
          </cell>
          <cell r="GI208" t="str">
            <v/>
          </cell>
          <cell r="GK208">
            <v>0</v>
          </cell>
          <cell r="GL208" t="str">
            <v/>
          </cell>
          <cell r="GN208">
            <v>0</v>
          </cell>
          <cell r="GO208" t="str">
            <v/>
          </cell>
          <cell r="GQ208">
            <v>0</v>
          </cell>
          <cell r="GR208" t="str">
            <v/>
          </cell>
          <cell r="GT208">
            <v>0</v>
          </cell>
          <cell r="GU208" t="str">
            <v/>
          </cell>
          <cell r="GW208">
            <v>0</v>
          </cell>
          <cell r="GX208" t="str">
            <v/>
          </cell>
          <cell r="GZ208">
            <v>0</v>
          </cell>
          <cell r="HA208" t="str">
            <v/>
          </cell>
          <cell r="HC208">
            <v>0</v>
          </cell>
          <cell r="HD208" t="str">
            <v/>
          </cell>
          <cell r="HF208">
            <v>0</v>
          </cell>
          <cell r="HG208" t="str">
            <v/>
          </cell>
          <cell r="HI208">
            <v>0</v>
          </cell>
          <cell r="HJ208" t="str">
            <v/>
          </cell>
          <cell r="HL208">
            <v>0</v>
          </cell>
          <cell r="HM208" t="str">
            <v/>
          </cell>
          <cell r="HO208">
            <v>0</v>
          </cell>
          <cell r="HP208" t="str">
            <v/>
          </cell>
          <cell r="HR208">
            <v>0</v>
          </cell>
          <cell r="HS208" t="str">
            <v/>
          </cell>
          <cell r="HU208">
            <v>0</v>
          </cell>
          <cell r="HV208" t="str">
            <v/>
          </cell>
        </row>
        <row r="209">
          <cell r="DQ209">
            <v>0</v>
          </cell>
          <cell r="DR209" t="str">
            <v/>
          </cell>
          <cell r="DT209">
            <v>0.921634615384615</v>
          </cell>
          <cell r="DU209">
            <v>72354.053208137746</v>
          </cell>
          <cell r="DW209">
            <v>0.47355769230769201</v>
          </cell>
          <cell r="DX209">
            <v>51807.837563451809</v>
          </cell>
          <cell r="DZ209">
            <v>0</v>
          </cell>
          <cell r="EA209" t="str">
            <v/>
          </cell>
          <cell r="EC209">
            <v>0</v>
          </cell>
          <cell r="ED209" t="str">
            <v/>
          </cell>
          <cell r="EF209">
            <v>0</v>
          </cell>
          <cell r="EG209" t="str">
            <v/>
          </cell>
          <cell r="EI209">
            <v>0</v>
          </cell>
          <cell r="EJ209" t="str">
            <v/>
          </cell>
          <cell r="EL209">
            <v>0</v>
          </cell>
          <cell r="EM209" t="str">
            <v/>
          </cell>
          <cell r="EO209">
            <v>0</v>
          </cell>
          <cell r="EP209" t="str">
            <v/>
          </cell>
          <cell r="ER209">
            <v>0</v>
          </cell>
          <cell r="ES209" t="str">
            <v/>
          </cell>
          <cell r="EU209">
            <v>0</v>
          </cell>
          <cell r="EV209" t="str">
            <v/>
          </cell>
          <cell r="EX209">
            <v>0</v>
          </cell>
          <cell r="EY209" t="str">
            <v/>
          </cell>
          <cell r="FA209">
            <v>0</v>
          </cell>
          <cell r="FB209" t="str">
            <v/>
          </cell>
          <cell r="FD209">
            <v>0</v>
          </cell>
          <cell r="FE209" t="str">
            <v/>
          </cell>
          <cell r="FG209">
            <v>0</v>
          </cell>
          <cell r="FH209" t="str">
            <v/>
          </cell>
          <cell r="FJ209">
            <v>0</v>
          </cell>
          <cell r="FK209" t="str">
            <v/>
          </cell>
          <cell r="FM209">
            <v>0</v>
          </cell>
          <cell r="FN209" t="str">
            <v/>
          </cell>
          <cell r="FP209">
            <v>0</v>
          </cell>
          <cell r="FQ209" t="str">
            <v/>
          </cell>
          <cell r="FS209">
            <v>0</v>
          </cell>
          <cell r="FT209" t="str">
            <v/>
          </cell>
          <cell r="FV209">
            <v>0</v>
          </cell>
          <cell r="FW209" t="str">
            <v/>
          </cell>
          <cell r="FY209">
            <v>0</v>
          </cell>
          <cell r="FZ209" t="str">
            <v/>
          </cell>
          <cell r="GB209">
            <v>0</v>
          </cell>
          <cell r="GC209" t="str">
            <v/>
          </cell>
          <cell r="GE209">
            <v>0</v>
          </cell>
          <cell r="GF209" t="str">
            <v/>
          </cell>
          <cell r="GH209">
            <v>0</v>
          </cell>
          <cell r="GI209" t="str">
            <v/>
          </cell>
          <cell r="GK209">
            <v>0</v>
          </cell>
          <cell r="GL209" t="str">
            <v/>
          </cell>
          <cell r="GN209">
            <v>0</v>
          </cell>
          <cell r="GO209" t="str">
            <v/>
          </cell>
          <cell r="GQ209">
            <v>0</v>
          </cell>
          <cell r="GR209" t="str">
            <v/>
          </cell>
          <cell r="GT209">
            <v>0.96057692307692299</v>
          </cell>
          <cell r="GU209">
            <v>49267.267267267271</v>
          </cell>
          <cell r="GW209">
            <v>0</v>
          </cell>
          <cell r="GX209" t="str">
            <v/>
          </cell>
          <cell r="GZ209">
            <v>0</v>
          </cell>
          <cell r="HA209" t="str">
            <v/>
          </cell>
          <cell r="HC209">
            <v>0</v>
          </cell>
          <cell r="HD209" t="str">
            <v/>
          </cell>
          <cell r="HF209">
            <v>0</v>
          </cell>
          <cell r="HG209" t="str">
            <v/>
          </cell>
          <cell r="HI209">
            <v>0</v>
          </cell>
          <cell r="HJ209" t="str">
            <v/>
          </cell>
          <cell r="HL209">
            <v>1.0265384615384601</v>
          </cell>
          <cell r="HM209">
            <v>42048.107905582678</v>
          </cell>
          <cell r="HO209">
            <v>0</v>
          </cell>
          <cell r="HP209" t="str">
            <v/>
          </cell>
          <cell r="HR209">
            <v>0</v>
          </cell>
          <cell r="HS209" t="str">
            <v/>
          </cell>
          <cell r="HU209">
            <v>0</v>
          </cell>
          <cell r="HV209" t="str">
            <v/>
          </cell>
        </row>
        <row r="210">
          <cell r="DQ210">
            <v>0</v>
          </cell>
          <cell r="DR210" t="str">
            <v/>
          </cell>
          <cell r="DT210">
            <v>0</v>
          </cell>
          <cell r="DU210" t="str">
            <v/>
          </cell>
          <cell r="DW210">
            <v>0</v>
          </cell>
          <cell r="DX210" t="str">
            <v/>
          </cell>
          <cell r="DZ210">
            <v>0</v>
          </cell>
          <cell r="EA210" t="str">
            <v/>
          </cell>
          <cell r="EC210">
            <v>0</v>
          </cell>
          <cell r="ED210" t="str">
            <v/>
          </cell>
          <cell r="EF210">
            <v>0</v>
          </cell>
          <cell r="EG210" t="str">
            <v/>
          </cell>
          <cell r="EI210">
            <v>0</v>
          </cell>
          <cell r="EJ210" t="str">
            <v/>
          </cell>
          <cell r="EL210">
            <v>0</v>
          </cell>
          <cell r="EM210" t="str">
            <v/>
          </cell>
          <cell r="EO210">
            <v>0</v>
          </cell>
          <cell r="EP210" t="str">
            <v/>
          </cell>
          <cell r="ER210">
            <v>0</v>
          </cell>
          <cell r="ES210" t="str">
            <v/>
          </cell>
          <cell r="EU210">
            <v>0</v>
          </cell>
          <cell r="EV210" t="str">
            <v/>
          </cell>
          <cell r="EX210">
            <v>0</v>
          </cell>
          <cell r="EY210" t="str">
            <v/>
          </cell>
          <cell r="FA210">
            <v>0</v>
          </cell>
          <cell r="FB210" t="str">
            <v/>
          </cell>
          <cell r="FD210">
            <v>0</v>
          </cell>
          <cell r="FE210" t="str">
            <v/>
          </cell>
          <cell r="FG210">
            <v>0</v>
          </cell>
          <cell r="FH210" t="str">
            <v/>
          </cell>
          <cell r="FJ210">
            <v>0</v>
          </cell>
          <cell r="FK210" t="str">
            <v/>
          </cell>
          <cell r="FM210">
            <v>0</v>
          </cell>
          <cell r="FN210" t="str">
            <v/>
          </cell>
          <cell r="FP210">
            <v>0</v>
          </cell>
          <cell r="FQ210" t="str">
            <v/>
          </cell>
          <cell r="FS210">
            <v>0</v>
          </cell>
          <cell r="FT210" t="str">
            <v/>
          </cell>
          <cell r="FV210">
            <v>0</v>
          </cell>
          <cell r="FW210" t="str">
            <v/>
          </cell>
          <cell r="FY210">
            <v>0</v>
          </cell>
          <cell r="FZ210" t="str">
            <v/>
          </cell>
          <cell r="GB210">
            <v>0</v>
          </cell>
          <cell r="GC210" t="str">
            <v/>
          </cell>
          <cell r="GE210">
            <v>0</v>
          </cell>
          <cell r="GF210" t="str">
            <v/>
          </cell>
          <cell r="GH210">
            <v>0</v>
          </cell>
          <cell r="GI210" t="str">
            <v/>
          </cell>
          <cell r="GK210">
            <v>0</v>
          </cell>
          <cell r="GL210" t="str">
            <v/>
          </cell>
          <cell r="GN210">
            <v>0</v>
          </cell>
          <cell r="GO210" t="str">
            <v/>
          </cell>
          <cell r="GQ210">
            <v>0</v>
          </cell>
          <cell r="GR210" t="str">
            <v/>
          </cell>
          <cell r="GT210">
            <v>0.18</v>
          </cell>
          <cell r="GU210">
            <v>44844.444444444445</v>
          </cell>
          <cell r="GW210">
            <v>0</v>
          </cell>
          <cell r="GX210" t="str">
            <v/>
          </cell>
          <cell r="GZ210">
            <v>0</v>
          </cell>
          <cell r="HA210" t="str">
            <v/>
          </cell>
          <cell r="HC210">
            <v>0</v>
          </cell>
          <cell r="HD210" t="str">
            <v/>
          </cell>
          <cell r="HF210">
            <v>0</v>
          </cell>
          <cell r="HG210" t="str">
            <v/>
          </cell>
          <cell r="HI210">
            <v>0</v>
          </cell>
          <cell r="HJ210" t="str">
            <v/>
          </cell>
          <cell r="HL210">
            <v>1.1200000000000001</v>
          </cell>
          <cell r="HM210">
            <v>33462.5</v>
          </cell>
          <cell r="HO210">
            <v>0</v>
          </cell>
          <cell r="HP210" t="str">
            <v/>
          </cell>
          <cell r="HR210">
            <v>0</v>
          </cell>
          <cell r="HS210" t="str">
            <v/>
          </cell>
          <cell r="HU210">
            <v>0</v>
          </cell>
          <cell r="HV210" t="str">
            <v/>
          </cell>
        </row>
        <row r="211">
          <cell r="DQ211">
            <v>0</v>
          </cell>
          <cell r="DR211" t="str">
            <v/>
          </cell>
          <cell r="DT211">
            <v>0</v>
          </cell>
          <cell r="DU211" t="str">
            <v/>
          </cell>
          <cell r="DW211">
            <v>0</v>
          </cell>
          <cell r="DX211" t="str">
            <v/>
          </cell>
          <cell r="DZ211">
            <v>0</v>
          </cell>
          <cell r="EA211" t="str">
            <v/>
          </cell>
          <cell r="EC211">
            <v>0</v>
          </cell>
          <cell r="ED211" t="str">
            <v/>
          </cell>
          <cell r="EF211">
            <v>0</v>
          </cell>
          <cell r="EG211" t="str">
            <v/>
          </cell>
          <cell r="EI211">
            <v>0</v>
          </cell>
          <cell r="EJ211" t="str">
            <v/>
          </cell>
          <cell r="EL211">
            <v>0</v>
          </cell>
          <cell r="EM211" t="str">
            <v/>
          </cell>
          <cell r="EO211">
            <v>0</v>
          </cell>
          <cell r="EP211" t="str">
            <v/>
          </cell>
          <cell r="ER211">
            <v>0</v>
          </cell>
          <cell r="ES211" t="str">
            <v/>
          </cell>
          <cell r="EU211">
            <v>0</v>
          </cell>
          <cell r="EV211" t="str">
            <v/>
          </cell>
          <cell r="EX211">
            <v>0</v>
          </cell>
          <cell r="EY211" t="str">
            <v/>
          </cell>
          <cell r="FA211">
            <v>0</v>
          </cell>
          <cell r="FB211" t="str">
            <v/>
          </cell>
          <cell r="FD211">
            <v>0</v>
          </cell>
          <cell r="FE211" t="str">
            <v/>
          </cell>
          <cell r="FG211">
            <v>0</v>
          </cell>
          <cell r="FH211" t="str">
            <v/>
          </cell>
          <cell r="FJ211">
            <v>0</v>
          </cell>
          <cell r="FK211" t="str">
            <v/>
          </cell>
          <cell r="FM211">
            <v>0</v>
          </cell>
          <cell r="FN211" t="str">
            <v/>
          </cell>
          <cell r="FP211">
            <v>0</v>
          </cell>
          <cell r="FQ211" t="str">
            <v/>
          </cell>
          <cell r="FS211">
            <v>0</v>
          </cell>
          <cell r="FT211" t="str">
            <v/>
          </cell>
          <cell r="FV211">
            <v>0</v>
          </cell>
          <cell r="FW211" t="str">
            <v/>
          </cell>
          <cell r="FY211">
            <v>0</v>
          </cell>
          <cell r="FZ211" t="str">
            <v/>
          </cell>
          <cell r="GB211">
            <v>0</v>
          </cell>
          <cell r="GC211" t="str">
            <v/>
          </cell>
          <cell r="GE211">
            <v>0</v>
          </cell>
          <cell r="GF211" t="str">
            <v/>
          </cell>
          <cell r="GH211">
            <v>0</v>
          </cell>
          <cell r="GI211" t="str">
            <v/>
          </cell>
          <cell r="GK211">
            <v>0</v>
          </cell>
          <cell r="GL211" t="str">
            <v/>
          </cell>
          <cell r="GN211">
            <v>0</v>
          </cell>
          <cell r="GO211" t="str">
            <v/>
          </cell>
          <cell r="GQ211">
            <v>0</v>
          </cell>
          <cell r="GR211" t="str">
            <v/>
          </cell>
          <cell r="GT211">
            <v>0</v>
          </cell>
          <cell r="GU211" t="str">
            <v/>
          </cell>
          <cell r="GW211">
            <v>0</v>
          </cell>
          <cell r="GX211" t="str">
            <v/>
          </cell>
          <cell r="GZ211">
            <v>0</v>
          </cell>
          <cell r="HA211" t="str">
            <v/>
          </cell>
          <cell r="HC211">
            <v>0</v>
          </cell>
          <cell r="HD211" t="str">
            <v/>
          </cell>
          <cell r="HF211">
            <v>0</v>
          </cell>
          <cell r="HG211" t="str">
            <v/>
          </cell>
          <cell r="HI211">
            <v>0</v>
          </cell>
          <cell r="HJ211" t="str">
            <v/>
          </cell>
          <cell r="HL211">
            <v>0</v>
          </cell>
          <cell r="HM211" t="str">
            <v/>
          </cell>
          <cell r="HO211">
            <v>0</v>
          </cell>
          <cell r="HP211" t="str">
            <v/>
          </cell>
          <cell r="HR211">
            <v>0</v>
          </cell>
          <cell r="HS211" t="str">
            <v/>
          </cell>
          <cell r="HU211">
            <v>0</v>
          </cell>
          <cell r="HV211" t="str">
            <v/>
          </cell>
        </row>
        <row r="212">
          <cell r="DQ212">
            <v>0</v>
          </cell>
          <cell r="DR212" t="str">
            <v/>
          </cell>
          <cell r="DT212">
            <v>0</v>
          </cell>
          <cell r="DU212" t="str">
            <v/>
          </cell>
          <cell r="DW212">
            <v>0</v>
          </cell>
          <cell r="DX212" t="str">
            <v/>
          </cell>
          <cell r="DZ212">
            <v>0</v>
          </cell>
          <cell r="EA212" t="str">
            <v/>
          </cell>
          <cell r="EC212">
            <v>0</v>
          </cell>
          <cell r="ED212" t="str">
            <v/>
          </cell>
          <cell r="EF212">
            <v>0</v>
          </cell>
          <cell r="EG212" t="str">
            <v/>
          </cell>
          <cell r="EI212">
            <v>0</v>
          </cell>
          <cell r="EJ212" t="str">
            <v/>
          </cell>
          <cell r="EL212">
            <v>0</v>
          </cell>
          <cell r="EM212" t="str">
            <v/>
          </cell>
          <cell r="EO212">
            <v>0</v>
          </cell>
          <cell r="EP212" t="str">
            <v/>
          </cell>
          <cell r="ER212">
            <v>0</v>
          </cell>
          <cell r="ES212" t="str">
            <v/>
          </cell>
          <cell r="EU212">
            <v>0</v>
          </cell>
          <cell r="EV212" t="str">
            <v/>
          </cell>
          <cell r="EX212">
            <v>0</v>
          </cell>
          <cell r="EY212" t="str">
            <v/>
          </cell>
          <cell r="FA212">
            <v>0</v>
          </cell>
          <cell r="FB212" t="str">
            <v/>
          </cell>
          <cell r="FD212">
            <v>0</v>
          </cell>
          <cell r="FE212" t="str">
            <v/>
          </cell>
          <cell r="FG212">
            <v>0</v>
          </cell>
          <cell r="FH212" t="str">
            <v/>
          </cell>
          <cell r="FJ212">
            <v>0</v>
          </cell>
          <cell r="FK212" t="str">
            <v/>
          </cell>
          <cell r="FM212">
            <v>0</v>
          </cell>
          <cell r="FN212" t="str">
            <v/>
          </cell>
          <cell r="FP212">
            <v>0</v>
          </cell>
          <cell r="FQ212" t="str">
            <v/>
          </cell>
          <cell r="FS212">
            <v>0</v>
          </cell>
          <cell r="FT212" t="str">
            <v/>
          </cell>
          <cell r="FV212">
            <v>0</v>
          </cell>
          <cell r="FW212" t="str">
            <v/>
          </cell>
          <cell r="FY212">
            <v>0</v>
          </cell>
          <cell r="FZ212" t="str">
            <v/>
          </cell>
          <cell r="GB212">
            <v>0</v>
          </cell>
          <cell r="GC212" t="str">
            <v/>
          </cell>
          <cell r="GE212">
            <v>0</v>
          </cell>
          <cell r="GF212" t="str">
            <v/>
          </cell>
          <cell r="GH212">
            <v>0</v>
          </cell>
          <cell r="GI212" t="str">
            <v/>
          </cell>
          <cell r="GK212">
            <v>0</v>
          </cell>
          <cell r="GL212" t="str">
            <v/>
          </cell>
          <cell r="GN212">
            <v>0</v>
          </cell>
          <cell r="GO212" t="str">
            <v/>
          </cell>
          <cell r="GQ212">
            <v>0</v>
          </cell>
          <cell r="GR212" t="str">
            <v/>
          </cell>
          <cell r="GT212">
            <v>0</v>
          </cell>
          <cell r="GU212" t="str">
            <v/>
          </cell>
          <cell r="GW212">
            <v>0</v>
          </cell>
          <cell r="GX212" t="str">
            <v/>
          </cell>
          <cell r="GZ212">
            <v>0.44999999999999996</v>
          </cell>
          <cell r="HA212">
            <v>54580.000000000007</v>
          </cell>
          <cell r="HC212">
            <v>0</v>
          </cell>
          <cell r="HD212" t="str">
            <v/>
          </cell>
          <cell r="HF212">
            <v>0</v>
          </cell>
          <cell r="HG212" t="str">
            <v/>
          </cell>
          <cell r="HI212">
            <v>0</v>
          </cell>
          <cell r="HJ212" t="str">
            <v/>
          </cell>
          <cell r="HL212">
            <v>2.5499999999999998</v>
          </cell>
          <cell r="HM212">
            <v>47449.411764705888</v>
          </cell>
          <cell r="HO212">
            <v>0</v>
          </cell>
          <cell r="HP212" t="str">
            <v/>
          </cell>
          <cell r="HR212">
            <v>0</v>
          </cell>
          <cell r="HS212" t="str">
            <v/>
          </cell>
          <cell r="HU212">
            <v>0</v>
          </cell>
          <cell r="HV212" t="str">
            <v/>
          </cell>
        </row>
        <row r="213">
          <cell r="DQ213">
            <v>0</v>
          </cell>
          <cell r="DR213" t="str">
            <v/>
          </cell>
          <cell r="DT213">
            <v>0</v>
          </cell>
          <cell r="DU213" t="str">
            <v/>
          </cell>
          <cell r="DW213">
            <v>0</v>
          </cell>
          <cell r="DX213" t="str">
            <v/>
          </cell>
          <cell r="DZ213">
            <v>0</v>
          </cell>
          <cell r="EA213" t="str">
            <v/>
          </cell>
          <cell r="EC213">
            <v>0</v>
          </cell>
          <cell r="ED213" t="str">
            <v/>
          </cell>
          <cell r="EF213">
            <v>0</v>
          </cell>
          <cell r="EG213" t="str">
            <v/>
          </cell>
          <cell r="EI213">
            <v>0</v>
          </cell>
          <cell r="EJ213" t="str">
            <v/>
          </cell>
          <cell r="EL213">
            <v>0</v>
          </cell>
          <cell r="EM213" t="str">
            <v/>
          </cell>
          <cell r="EO213">
            <v>0</v>
          </cell>
          <cell r="EP213" t="str">
            <v/>
          </cell>
          <cell r="ER213">
            <v>0</v>
          </cell>
          <cell r="ES213" t="str">
            <v/>
          </cell>
          <cell r="EU213">
            <v>0</v>
          </cell>
          <cell r="EV213" t="str">
            <v/>
          </cell>
          <cell r="EX213">
            <v>0</v>
          </cell>
          <cell r="EY213" t="str">
            <v/>
          </cell>
          <cell r="FA213">
            <v>0</v>
          </cell>
          <cell r="FB213" t="str">
            <v/>
          </cell>
          <cell r="FD213">
            <v>0</v>
          </cell>
          <cell r="FE213" t="str">
            <v/>
          </cell>
          <cell r="FG213">
            <v>0</v>
          </cell>
          <cell r="FH213" t="str">
            <v/>
          </cell>
          <cell r="FJ213">
            <v>0</v>
          </cell>
          <cell r="FK213" t="str">
            <v/>
          </cell>
          <cell r="FM213">
            <v>0</v>
          </cell>
          <cell r="FN213" t="str">
            <v/>
          </cell>
          <cell r="FP213">
            <v>0</v>
          </cell>
          <cell r="FQ213" t="str">
            <v/>
          </cell>
          <cell r="FS213">
            <v>0</v>
          </cell>
          <cell r="FT213" t="str">
            <v/>
          </cell>
          <cell r="FV213">
            <v>0</v>
          </cell>
          <cell r="FW213" t="str">
            <v/>
          </cell>
          <cell r="FY213">
            <v>0</v>
          </cell>
          <cell r="FZ213" t="str">
            <v/>
          </cell>
          <cell r="GB213">
            <v>0</v>
          </cell>
          <cell r="GC213" t="str">
            <v/>
          </cell>
          <cell r="GE213">
            <v>0</v>
          </cell>
          <cell r="GF213" t="str">
            <v/>
          </cell>
          <cell r="GH213">
            <v>0</v>
          </cell>
          <cell r="GI213" t="str">
            <v/>
          </cell>
          <cell r="GK213">
            <v>0</v>
          </cell>
          <cell r="GL213" t="str">
            <v/>
          </cell>
          <cell r="GN213">
            <v>0</v>
          </cell>
          <cell r="GO213" t="str">
            <v/>
          </cell>
          <cell r="GQ213">
            <v>0</v>
          </cell>
          <cell r="GR213" t="str">
            <v/>
          </cell>
          <cell r="GT213">
            <v>0</v>
          </cell>
          <cell r="GU213" t="str">
            <v/>
          </cell>
          <cell r="GW213">
            <v>0</v>
          </cell>
          <cell r="GX213" t="str">
            <v/>
          </cell>
          <cell r="GZ213">
            <v>0</v>
          </cell>
          <cell r="HA213" t="str">
            <v/>
          </cell>
          <cell r="HC213">
            <v>0</v>
          </cell>
          <cell r="HD213" t="str">
            <v/>
          </cell>
          <cell r="HF213">
            <v>0</v>
          </cell>
          <cell r="HG213" t="str">
            <v/>
          </cell>
          <cell r="HI213">
            <v>0</v>
          </cell>
          <cell r="HJ213" t="str">
            <v/>
          </cell>
          <cell r="HL213">
            <v>0</v>
          </cell>
          <cell r="HM213" t="str">
            <v/>
          </cell>
          <cell r="HO213">
            <v>0.16</v>
          </cell>
          <cell r="HP213">
            <v>54725</v>
          </cell>
          <cell r="HR213">
            <v>0</v>
          </cell>
          <cell r="HS213" t="str">
            <v/>
          </cell>
          <cell r="HU213">
            <v>0</v>
          </cell>
          <cell r="HV213" t="str">
            <v/>
          </cell>
        </row>
        <row r="214">
          <cell r="DQ214">
            <v>0</v>
          </cell>
          <cell r="DR214" t="str">
            <v/>
          </cell>
          <cell r="DT214">
            <v>0</v>
          </cell>
          <cell r="DU214" t="str">
            <v/>
          </cell>
          <cell r="DW214">
            <v>0</v>
          </cell>
          <cell r="DX214" t="str">
            <v/>
          </cell>
          <cell r="DZ214">
            <v>0</v>
          </cell>
          <cell r="EA214" t="str">
            <v/>
          </cell>
          <cell r="EC214">
            <v>0</v>
          </cell>
          <cell r="ED214" t="str">
            <v/>
          </cell>
          <cell r="EF214">
            <v>0</v>
          </cell>
          <cell r="EG214" t="str">
            <v/>
          </cell>
          <cell r="EI214">
            <v>0</v>
          </cell>
          <cell r="EJ214" t="str">
            <v/>
          </cell>
          <cell r="EL214">
            <v>0</v>
          </cell>
          <cell r="EM214" t="str">
            <v/>
          </cell>
          <cell r="EO214">
            <v>0</v>
          </cell>
          <cell r="EP214" t="str">
            <v/>
          </cell>
          <cell r="ER214">
            <v>0</v>
          </cell>
          <cell r="ES214" t="str">
            <v/>
          </cell>
          <cell r="EU214">
            <v>0</v>
          </cell>
          <cell r="EV214" t="str">
            <v/>
          </cell>
          <cell r="EX214">
            <v>0</v>
          </cell>
          <cell r="EY214" t="str">
            <v/>
          </cell>
          <cell r="FA214">
            <v>0</v>
          </cell>
          <cell r="FB214" t="str">
            <v/>
          </cell>
          <cell r="FD214">
            <v>0</v>
          </cell>
          <cell r="FE214" t="str">
            <v/>
          </cell>
          <cell r="FG214">
            <v>0</v>
          </cell>
          <cell r="FH214" t="str">
            <v/>
          </cell>
          <cell r="FJ214">
            <v>0</v>
          </cell>
          <cell r="FK214" t="str">
            <v/>
          </cell>
          <cell r="FM214">
            <v>0</v>
          </cell>
          <cell r="FN214" t="str">
            <v/>
          </cell>
          <cell r="FP214">
            <v>0</v>
          </cell>
          <cell r="FQ214" t="str">
            <v/>
          </cell>
          <cell r="FS214">
            <v>0</v>
          </cell>
          <cell r="FT214" t="str">
            <v/>
          </cell>
          <cell r="FV214">
            <v>0</v>
          </cell>
          <cell r="FW214" t="str">
            <v/>
          </cell>
          <cell r="FY214">
            <v>0</v>
          </cell>
          <cell r="FZ214" t="str">
            <v/>
          </cell>
          <cell r="GB214">
            <v>0</v>
          </cell>
          <cell r="GC214" t="str">
            <v/>
          </cell>
          <cell r="GE214">
            <v>0</v>
          </cell>
          <cell r="GF214" t="str">
            <v/>
          </cell>
          <cell r="GH214">
            <v>0</v>
          </cell>
          <cell r="GI214" t="str">
            <v/>
          </cell>
          <cell r="GK214">
            <v>0</v>
          </cell>
          <cell r="GL214" t="str">
            <v/>
          </cell>
          <cell r="GN214">
            <v>0</v>
          </cell>
          <cell r="GO214" t="str">
            <v/>
          </cell>
          <cell r="GQ214">
            <v>0</v>
          </cell>
          <cell r="GR214" t="str">
            <v/>
          </cell>
          <cell r="GT214">
            <v>0</v>
          </cell>
          <cell r="GU214" t="str">
            <v/>
          </cell>
          <cell r="GW214">
            <v>0</v>
          </cell>
          <cell r="GX214" t="str">
            <v/>
          </cell>
          <cell r="GZ214">
            <v>0</v>
          </cell>
          <cell r="HA214" t="str">
            <v/>
          </cell>
          <cell r="HC214">
            <v>0</v>
          </cell>
          <cell r="HD214" t="str">
            <v/>
          </cell>
          <cell r="HF214">
            <v>0</v>
          </cell>
          <cell r="HG214" t="str">
            <v/>
          </cell>
          <cell r="HI214">
            <v>0</v>
          </cell>
          <cell r="HJ214" t="str">
            <v/>
          </cell>
          <cell r="HL214">
            <v>0</v>
          </cell>
          <cell r="HM214" t="str">
            <v/>
          </cell>
          <cell r="HO214">
            <v>0</v>
          </cell>
          <cell r="HP214" t="str">
            <v/>
          </cell>
          <cell r="HR214">
            <v>0</v>
          </cell>
          <cell r="HS214" t="str">
            <v/>
          </cell>
          <cell r="HU214">
            <v>0</v>
          </cell>
          <cell r="HV214" t="str">
            <v/>
          </cell>
        </row>
        <row r="215">
          <cell r="DQ215">
            <v>0</v>
          </cell>
          <cell r="DR215" t="str">
            <v/>
          </cell>
          <cell r="DT215">
            <v>0</v>
          </cell>
          <cell r="DU215" t="str">
            <v/>
          </cell>
          <cell r="DW215">
            <v>0</v>
          </cell>
          <cell r="DX215" t="str">
            <v/>
          </cell>
          <cell r="DZ215">
            <v>0</v>
          </cell>
          <cell r="EA215" t="str">
            <v/>
          </cell>
          <cell r="EC215">
            <v>0</v>
          </cell>
          <cell r="ED215" t="str">
            <v/>
          </cell>
          <cell r="EF215">
            <v>0</v>
          </cell>
          <cell r="EG215" t="str">
            <v/>
          </cell>
          <cell r="EI215">
            <v>0</v>
          </cell>
          <cell r="EJ215" t="str">
            <v/>
          </cell>
          <cell r="EL215">
            <v>0</v>
          </cell>
          <cell r="EM215" t="str">
            <v/>
          </cell>
          <cell r="EO215">
            <v>0</v>
          </cell>
          <cell r="EP215" t="str">
            <v/>
          </cell>
          <cell r="ER215">
            <v>0</v>
          </cell>
          <cell r="ES215" t="str">
            <v/>
          </cell>
          <cell r="EU215">
            <v>0</v>
          </cell>
          <cell r="EV215" t="str">
            <v/>
          </cell>
          <cell r="EX215">
            <v>0</v>
          </cell>
          <cell r="EY215" t="str">
            <v/>
          </cell>
          <cell r="FA215">
            <v>0</v>
          </cell>
          <cell r="FB215" t="str">
            <v/>
          </cell>
          <cell r="FD215">
            <v>0</v>
          </cell>
          <cell r="FE215" t="str">
            <v/>
          </cell>
          <cell r="FG215">
            <v>0</v>
          </cell>
          <cell r="FH215" t="str">
            <v/>
          </cell>
          <cell r="FJ215">
            <v>0</v>
          </cell>
          <cell r="FK215" t="str">
            <v/>
          </cell>
          <cell r="FM215">
            <v>0</v>
          </cell>
          <cell r="FN215" t="str">
            <v/>
          </cell>
          <cell r="FP215">
            <v>0</v>
          </cell>
          <cell r="FQ215" t="str">
            <v/>
          </cell>
          <cell r="FS215">
            <v>0</v>
          </cell>
          <cell r="FT215" t="str">
            <v/>
          </cell>
          <cell r="FV215">
            <v>0</v>
          </cell>
          <cell r="FW215" t="str">
            <v/>
          </cell>
          <cell r="FY215">
            <v>0</v>
          </cell>
          <cell r="FZ215" t="str">
            <v/>
          </cell>
          <cell r="GB215">
            <v>0</v>
          </cell>
          <cell r="GC215" t="str">
            <v/>
          </cell>
          <cell r="GE215">
            <v>0</v>
          </cell>
          <cell r="GF215" t="str">
            <v/>
          </cell>
          <cell r="GH215">
            <v>0</v>
          </cell>
          <cell r="GI215" t="str">
            <v/>
          </cell>
          <cell r="GK215">
            <v>0</v>
          </cell>
          <cell r="GL215" t="str">
            <v/>
          </cell>
          <cell r="GN215">
            <v>0</v>
          </cell>
          <cell r="GO215" t="str">
            <v/>
          </cell>
          <cell r="GQ215">
            <v>0</v>
          </cell>
          <cell r="GR215" t="str">
            <v/>
          </cell>
          <cell r="GT215">
            <v>0.06</v>
          </cell>
          <cell r="GU215">
            <v>68550</v>
          </cell>
          <cell r="GW215">
            <v>0</v>
          </cell>
          <cell r="GX215" t="str">
            <v/>
          </cell>
          <cell r="GZ215">
            <v>0</v>
          </cell>
          <cell r="HA215" t="str">
            <v/>
          </cell>
          <cell r="HC215">
            <v>0</v>
          </cell>
          <cell r="HD215" t="str">
            <v/>
          </cell>
          <cell r="HF215">
            <v>0</v>
          </cell>
          <cell r="HG215" t="str">
            <v/>
          </cell>
          <cell r="HI215">
            <v>0</v>
          </cell>
          <cell r="HJ215" t="str">
            <v/>
          </cell>
          <cell r="HL215">
            <v>0</v>
          </cell>
          <cell r="HM215" t="str">
            <v/>
          </cell>
          <cell r="HO215">
            <v>0</v>
          </cell>
          <cell r="HP215" t="str">
            <v/>
          </cell>
          <cell r="HR215">
            <v>0</v>
          </cell>
          <cell r="HS215" t="str">
            <v/>
          </cell>
          <cell r="HU215">
            <v>0</v>
          </cell>
          <cell r="HV215" t="str">
            <v/>
          </cell>
        </row>
        <row r="216">
          <cell r="DQ216">
            <v>0</v>
          </cell>
          <cell r="DR216" t="str">
            <v/>
          </cell>
          <cell r="DT216">
            <v>0</v>
          </cell>
          <cell r="DU216" t="str">
            <v/>
          </cell>
          <cell r="DW216">
            <v>0</v>
          </cell>
          <cell r="DX216" t="str">
            <v/>
          </cell>
          <cell r="DZ216">
            <v>0</v>
          </cell>
          <cell r="EA216" t="str">
            <v/>
          </cell>
          <cell r="EC216">
            <v>0</v>
          </cell>
          <cell r="ED216" t="str">
            <v/>
          </cell>
          <cell r="EF216">
            <v>0</v>
          </cell>
          <cell r="EG216" t="str">
            <v/>
          </cell>
          <cell r="EI216">
            <v>0</v>
          </cell>
          <cell r="EJ216" t="str">
            <v/>
          </cell>
          <cell r="EL216">
            <v>0</v>
          </cell>
          <cell r="EM216" t="str">
            <v/>
          </cell>
          <cell r="EO216">
            <v>0</v>
          </cell>
          <cell r="EP216" t="str">
            <v/>
          </cell>
          <cell r="ER216">
            <v>0</v>
          </cell>
          <cell r="ES216" t="str">
            <v/>
          </cell>
          <cell r="EU216">
            <v>0</v>
          </cell>
          <cell r="EV216" t="str">
            <v/>
          </cell>
          <cell r="EX216">
            <v>0</v>
          </cell>
          <cell r="EY216" t="str">
            <v/>
          </cell>
          <cell r="FA216">
            <v>0</v>
          </cell>
          <cell r="FB216" t="str">
            <v/>
          </cell>
          <cell r="FD216">
            <v>0</v>
          </cell>
          <cell r="FE216" t="str">
            <v/>
          </cell>
          <cell r="FG216">
            <v>0</v>
          </cell>
          <cell r="FH216" t="str">
            <v/>
          </cell>
          <cell r="FJ216">
            <v>0</v>
          </cell>
          <cell r="FK216" t="str">
            <v/>
          </cell>
          <cell r="FM216">
            <v>0</v>
          </cell>
          <cell r="FN216" t="str">
            <v/>
          </cell>
          <cell r="FP216">
            <v>0</v>
          </cell>
          <cell r="FQ216" t="str">
            <v/>
          </cell>
          <cell r="FS216">
            <v>0</v>
          </cell>
          <cell r="FT216" t="str">
            <v/>
          </cell>
          <cell r="FV216">
            <v>0</v>
          </cell>
          <cell r="FW216" t="str">
            <v/>
          </cell>
          <cell r="FY216">
            <v>0</v>
          </cell>
          <cell r="FZ216" t="str">
            <v/>
          </cell>
          <cell r="GB216">
            <v>0</v>
          </cell>
          <cell r="GC216" t="str">
            <v/>
          </cell>
          <cell r="GE216">
            <v>0</v>
          </cell>
          <cell r="GF216" t="str">
            <v/>
          </cell>
          <cell r="GH216">
            <v>0</v>
          </cell>
          <cell r="GI216" t="str">
            <v/>
          </cell>
          <cell r="GK216">
            <v>0</v>
          </cell>
          <cell r="GL216" t="str">
            <v/>
          </cell>
          <cell r="GN216">
            <v>0</v>
          </cell>
          <cell r="GO216" t="str">
            <v/>
          </cell>
          <cell r="GQ216">
            <v>0</v>
          </cell>
          <cell r="GR216" t="str">
            <v/>
          </cell>
          <cell r="GT216">
            <v>0</v>
          </cell>
          <cell r="GU216" t="str">
            <v/>
          </cell>
          <cell r="GW216">
            <v>0</v>
          </cell>
          <cell r="GX216" t="str">
            <v/>
          </cell>
          <cell r="GZ216">
            <v>0</v>
          </cell>
          <cell r="HA216" t="str">
            <v/>
          </cell>
          <cell r="HC216">
            <v>0</v>
          </cell>
          <cell r="HD216" t="str">
            <v/>
          </cell>
          <cell r="HF216">
            <v>0</v>
          </cell>
          <cell r="HG216" t="str">
            <v/>
          </cell>
          <cell r="HI216">
            <v>0</v>
          </cell>
          <cell r="HJ216" t="str">
            <v/>
          </cell>
          <cell r="HL216">
            <v>0</v>
          </cell>
          <cell r="HM216" t="str">
            <v/>
          </cell>
          <cell r="HO216">
            <v>0</v>
          </cell>
          <cell r="HP216" t="str">
            <v/>
          </cell>
          <cell r="HR216">
            <v>0</v>
          </cell>
          <cell r="HS216" t="str">
            <v/>
          </cell>
          <cell r="HU216">
            <v>0</v>
          </cell>
          <cell r="HV216" t="str">
            <v/>
          </cell>
        </row>
        <row r="217">
          <cell r="DQ217">
            <v>0</v>
          </cell>
          <cell r="DR217" t="str">
            <v/>
          </cell>
          <cell r="DT217">
            <v>0</v>
          </cell>
          <cell r="DU217" t="str">
            <v/>
          </cell>
          <cell r="DW217">
            <v>0</v>
          </cell>
          <cell r="DX217" t="str">
            <v/>
          </cell>
          <cell r="DZ217">
            <v>0</v>
          </cell>
          <cell r="EA217" t="str">
            <v/>
          </cell>
          <cell r="EC217">
            <v>0</v>
          </cell>
          <cell r="ED217" t="str">
            <v/>
          </cell>
          <cell r="EF217">
            <v>0</v>
          </cell>
          <cell r="EG217" t="str">
            <v/>
          </cell>
          <cell r="EI217">
            <v>0</v>
          </cell>
          <cell r="EJ217" t="str">
            <v/>
          </cell>
          <cell r="EL217">
            <v>0</v>
          </cell>
          <cell r="EM217" t="str">
            <v/>
          </cell>
          <cell r="EO217">
            <v>0</v>
          </cell>
          <cell r="EP217" t="str">
            <v/>
          </cell>
          <cell r="ER217">
            <v>0</v>
          </cell>
          <cell r="ES217" t="str">
            <v/>
          </cell>
          <cell r="EU217">
            <v>0</v>
          </cell>
          <cell r="EV217" t="str">
            <v/>
          </cell>
          <cell r="EX217">
            <v>0</v>
          </cell>
          <cell r="EY217" t="str">
            <v/>
          </cell>
          <cell r="FA217">
            <v>0</v>
          </cell>
          <cell r="FB217" t="str">
            <v/>
          </cell>
          <cell r="FD217">
            <v>0</v>
          </cell>
          <cell r="FE217" t="str">
            <v/>
          </cell>
          <cell r="FG217">
            <v>0</v>
          </cell>
          <cell r="FH217" t="str">
            <v/>
          </cell>
          <cell r="FJ217">
            <v>0</v>
          </cell>
          <cell r="FK217" t="str">
            <v/>
          </cell>
          <cell r="FM217">
            <v>0</v>
          </cell>
          <cell r="FN217" t="str">
            <v/>
          </cell>
          <cell r="FP217">
            <v>0</v>
          </cell>
          <cell r="FQ217" t="str">
            <v/>
          </cell>
          <cell r="FS217">
            <v>0</v>
          </cell>
          <cell r="FT217" t="str">
            <v/>
          </cell>
          <cell r="FV217">
            <v>0</v>
          </cell>
          <cell r="FW217" t="str">
            <v/>
          </cell>
          <cell r="FY217">
            <v>0</v>
          </cell>
          <cell r="FZ217" t="str">
            <v/>
          </cell>
          <cell r="GB217">
            <v>0</v>
          </cell>
          <cell r="GC217" t="str">
            <v/>
          </cell>
          <cell r="GE217">
            <v>0</v>
          </cell>
          <cell r="GF217" t="str">
            <v/>
          </cell>
          <cell r="GH217">
            <v>0</v>
          </cell>
          <cell r="GI217" t="str">
            <v/>
          </cell>
          <cell r="GK217">
            <v>0</v>
          </cell>
          <cell r="GL217" t="str">
            <v/>
          </cell>
          <cell r="GN217">
            <v>0</v>
          </cell>
          <cell r="GO217" t="str">
            <v/>
          </cell>
          <cell r="GQ217">
            <v>0</v>
          </cell>
          <cell r="GR217" t="str">
            <v/>
          </cell>
          <cell r="GT217">
            <v>0</v>
          </cell>
          <cell r="GU217" t="str">
            <v/>
          </cell>
          <cell r="GW217">
            <v>0</v>
          </cell>
          <cell r="GX217" t="str">
            <v/>
          </cell>
          <cell r="GZ217">
            <v>0</v>
          </cell>
          <cell r="HA217" t="str">
            <v/>
          </cell>
          <cell r="HC217">
            <v>0</v>
          </cell>
          <cell r="HD217" t="str">
            <v/>
          </cell>
          <cell r="HF217">
            <v>0</v>
          </cell>
          <cell r="HG217" t="str">
            <v/>
          </cell>
          <cell r="HI217">
            <v>0</v>
          </cell>
          <cell r="HJ217" t="str">
            <v/>
          </cell>
          <cell r="HL217">
            <v>0.43</v>
          </cell>
          <cell r="HM217">
            <v>59339.534883720931</v>
          </cell>
          <cell r="HO217">
            <v>0</v>
          </cell>
          <cell r="HP217" t="str">
            <v/>
          </cell>
          <cell r="HR217">
            <v>0</v>
          </cell>
          <cell r="HS217" t="str">
            <v/>
          </cell>
          <cell r="HU217">
            <v>0</v>
          </cell>
          <cell r="HV217" t="str">
            <v/>
          </cell>
        </row>
        <row r="218">
          <cell r="DQ218">
            <v>0</v>
          </cell>
          <cell r="DR218" t="str">
            <v/>
          </cell>
          <cell r="DT218">
            <v>0</v>
          </cell>
          <cell r="DU218" t="str">
            <v/>
          </cell>
          <cell r="DW218">
            <v>5.0480769230769197E-2</v>
          </cell>
          <cell r="DX218">
            <v>42848.000000000029</v>
          </cell>
          <cell r="DZ218">
            <v>0</v>
          </cell>
          <cell r="EA218" t="str">
            <v/>
          </cell>
          <cell r="EC218">
            <v>0</v>
          </cell>
          <cell r="ED218" t="str">
            <v/>
          </cell>
          <cell r="EF218">
            <v>0</v>
          </cell>
          <cell r="EG218" t="str">
            <v/>
          </cell>
          <cell r="EI218">
            <v>0</v>
          </cell>
          <cell r="EJ218" t="str">
            <v/>
          </cell>
          <cell r="EL218">
            <v>0</v>
          </cell>
          <cell r="EM218" t="str">
            <v/>
          </cell>
          <cell r="EO218">
            <v>0</v>
          </cell>
          <cell r="EP218" t="str">
            <v/>
          </cell>
          <cell r="ER218">
            <v>0</v>
          </cell>
          <cell r="ES218" t="str">
            <v/>
          </cell>
          <cell r="EU218">
            <v>0</v>
          </cell>
          <cell r="EV218" t="str">
            <v/>
          </cell>
          <cell r="EX218">
            <v>0</v>
          </cell>
          <cell r="EY218" t="str">
            <v/>
          </cell>
          <cell r="FA218">
            <v>0</v>
          </cell>
          <cell r="FB218" t="str">
            <v/>
          </cell>
          <cell r="FD218">
            <v>0</v>
          </cell>
          <cell r="FE218" t="str">
            <v/>
          </cell>
          <cell r="FG218">
            <v>0</v>
          </cell>
          <cell r="FH218" t="str">
            <v/>
          </cell>
          <cell r="FJ218">
            <v>0</v>
          </cell>
          <cell r="FK218" t="str">
            <v/>
          </cell>
          <cell r="FM218">
            <v>0</v>
          </cell>
          <cell r="FN218" t="str">
            <v/>
          </cell>
          <cell r="FP218">
            <v>0</v>
          </cell>
          <cell r="FQ218" t="str">
            <v/>
          </cell>
          <cell r="FS218">
            <v>0</v>
          </cell>
          <cell r="FT218" t="str">
            <v/>
          </cell>
          <cell r="FV218">
            <v>0</v>
          </cell>
          <cell r="FW218" t="str">
            <v/>
          </cell>
          <cell r="FY218">
            <v>0</v>
          </cell>
          <cell r="FZ218" t="str">
            <v/>
          </cell>
          <cell r="GB218">
            <v>0</v>
          </cell>
          <cell r="GC218" t="str">
            <v/>
          </cell>
          <cell r="GE218">
            <v>0</v>
          </cell>
          <cell r="GF218" t="str">
            <v/>
          </cell>
          <cell r="GH218">
            <v>0</v>
          </cell>
          <cell r="GI218" t="str">
            <v/>
          </cell>
          <cell r="GK218">
            <v>0</v>
          </cell>
          <cell r="GL218" t="str">
            <v/>
          </cell>
          <cell r="GN218">
            <v>0</v>
          </cell>
          <cell r="GO218" t="str">
            <v/>
          </cell>
          <cell r="GQ218">
            <v>0</v>
          </cell>
          <cell r="GR218" t="str">
            <v/>
          </cell>
          <cell r="GT218">
            <v>1</v>
          </cell>
          <cell r="GU218">
            <v>48873</v>
          </cell>
          <cell r="GW218">
            <v>0</v>
          </cell>
          <cell r="GX218" t="str">
            <v/>
          </cell>
          <cell r="GZ218">
            <v>0</v>
          </cell>
          <cell r="HA218" t="str">
            <v/>
          </cell>
          <cell r="HC218">
            <v>0</v>
          </cell>
          <cell r="HD218" t="str">
            <v/>
          </cell>
          <cell r="HF218">
            <v>0</v>
          </cell>
          <cell r="HG218" t="str">
            <v/>
          </cell>
          <cell r="HI218">
            <v>0</v>
          </cell>
          <cell r="HJ218" t="str">
            <v/>
          </cell>
          <cell r="HL218">
            <v>0.54326923076923095</v>
          </cell>
          <cell r="HM218">
            <v>42967.646017699102</v>
          </cell>
          <cell r="HO218">
            <v>0</v>
          </cell>
          <cell r="HP218" t="str">
            <v/>
          </cell>
          <cell r="HR218">
            <v>0</v>
          </cell>
          <cell r="HS218" t="str">
            <v/>
          </cell>
          <cell r="HU218">
            <v>0</v>
          </cell>
          <cell r="HV218" t="str">
            <v/>
          </cell>
        </row>
        <row r="219">
          <cell r="DQ219">
            <v>0.1</v>
          </cell>
          <cell r="DR219">
            <v>86200</v>
          </cell>
          <cell r="DT219">
            <v>0.17</v>
          </cell>
          <cell r="DU219">
            <v>54864.705882352937</v>
          </cell>
          <cell r="DW219">
            <v>0.28999999999999998</v>
          </cell>
          <cell r="DX219">
            <v>61210.34482758621</v>
          </cell>
          <cell r="DZ219">
            <v>0</v>
          </cell>
          <cell r="EA219" t="str">
            <v/>
          </cell>
          <cell r="EC219">
            <v>0</v>
          </cell>
          <cell r="ED219" t="str">
            <v/>
          </cell>
          <cell r="EF219">
            <v>0</v>
          </cell>
          <cell r="EG219" t="str">
            <v/>
          </cell>
          <cell r="EI219">
            <v>0</v>
          </cell>
          <cell r="EJ219" t="str">
            <v/>
          </cell>
          <cell r="EL219">
            <v>0.2</v>
          </cell>
          <cell r="EM219">
            <v>59785</v>
          </cell>
          <cell r="EO219">
            <v>0</v>
          </cell>
          <cell r="EP219" t="str">
            <v/>
          </cell>
          <cell r="ER219">
            <v>0</v>
          </cell>
          <cell r="ES219" t="str">
            <v/>
          </cell>
          <cell r="EU219">
            <v>0</v>
          </cell>
          <cell r="EV219" t="str">
            <v/>
          </cell>
          <cell r="EX219">
            <v>0</v>
          </cell>
          <cell r="EY219" t="str">
            <v/>
          </cell>
          <cell r="FA219">
            <v>0</v>
          </cell>
          <cell r="FB219" t="str">
            <v/>
          </cell>
          <cell r="FD219">
            <v>0</v>
          </cell>
          <cell r="FE219" t="str">
            <v/>
          </cell>
          <cell r="FG219">
            <v>0</v>
          </cell>
          <cell r="FH219" t="str">
            <v/>
          </cell>
          <cell r="FJ219">
            <v>0</v>
          </cell>
          <cell r="FK219" t="str">
            <v/>
          </cell>
          <cell r="FM219">
            <v>0</v>
          </cell>
          <cell r="FN219" t="str">
            <v/>
          </cell>
          <cell r="FP219">
            <v>0</v>
          </cell>
          <cell r="FQ219" t="str">
            <v/>
          </cell>
          <cell r="FS219">
            <v>0</v>
          </cell>
          <cell r="FT219" t="str">
            <v/>
          </cell>
          <cell r="FV219">
            <v>0</v>
          </cell>
          <cell r="FW219" t="str">
            <v/>
          </cell>
          <cell r="FY219">
            <v>0</v>
          </cell>
          <cell r="FZ219" t="str">
            <v/>
          </cell>
          <cell r="GB219">
            <v>0</v>
          </cell>
          <cell r="GC219" t="str">
            <v/>
          </cell>
          <cell r="GE219">
            <v>0</v>
          </cell>
          <cell r="GF219" t="str">
            <v/>
          </cell>
          <cell r="GH219">
            <v>0</v>
          </cell>
          <cell r="GI219" t="str">
            <v/>
          </cell>
          <cell r="GK219">
            <v>0</v>
          </cell>
          <cell r="GL219" t="str">
            <v/>
          </cell>
          <cell r="GN219">
            <v>0</v>
          </cell>
          <cell r="GO219" t="str">
            <v/>
          </cell>
          <cell r="GQ219">
            <v>0</v>
          </cell>
          <cell r="GR219" t="str">
            <v/>
          </cell>
          <cell r="GT219">
            <v>0</v>
          </cell>
          <cell r="GU219" t="str">
            <v/>
          </cell>
          <cell r="GW219">
            <v>0</v>
          </cell>
          <cell r="GX219" t="str">
            <v/>
          </cell>
          <cell r="GZ219">
            <v>0.1</v>
          </cell>
          <cell r="HA219">
            <v>41680</v>
          </cell>
          <cell r="HC219">
            <v>0</v>
          </cell>
          <cell r="HD219" t="str">
            <v/>
          </cell>
          <cell r="HF219">
            <v>0</v>
          </cell>
          <cell r="HG219" t="str">
            <v/>
          </cell>
          <cell r="HI219">
            <v>0</v>
          </cell>
          <cell r="HJ219" t="str">
            <v/>
          </cell>
          <cell r="HL219">
            <v>0</v>
          </cell>
          <cell r="HM219" t="str">
            <v/>
          </cell>
          <cell r="HO219">
            <v>0</v>
          </cell>
          <cell r="HP219" t="str">
            <v/>
          </cell>
          <cell r="HR219">
            <v>0</v>
          </cell>
          <cell r="HS219" t="str">
            <v/>
          </cell>
          <cell r="HU219">
            <v>0</v>
          </cell>
          <cell r="HV219" t="str">
            <v/>
          </cell>
        </row>
        <row r="220">
          <cell r="DQ220">
            <v>0</v>
          </cell>
          <cell r="DR220" t="str">
            <v/>
          </cell>
          <cell r="DT220">
            <v>0.59</v>
          </cell>
          <cell r="DU220">
            <v>59462.711864406781</v>
          </cell>
          <cell r="DW220">
            <v>0.4</v>
          </cell>
          <cell r="DX220">
            <v>47172.5</v>
          </cell>
          <cell r="DZ220">
            <v>0</v>
          </cell>
          <cell r="EA220" t="str">
            <v/>
          </cell>
          <cell r="EC220">
            <v>0</v>
          </cell>
          <cell r="ED220" t="str">
            <v/>
          </cell>
          <cell r="EF220">
            <v>0</v>
          </cell>
          <cell r="EG220" t="str">
            <v/>
          </cell>
          <cell r="EI220">
            <v>0</v>
          </cell>
          <cell r="EJ220" t="str">
            <v/>
          </cell>
          <cell r="EL220">
            <v>0.04</v>
          </cell>
          <cell r="EM220">
            <v>76325</v>
          </cell>
          <cell r="EO220">
            <v>0</v>
          </cell>
          <cell r="EP220" t="str">
            <v/>
          </cell>
          <cell r="ER220">
            <v>0</v>
          </cell>
          <cell r="ES220" t="str">
            <v/>
          </cell>
          <cell r="EU220">
            <v>0</v>
          </cell>
          <cell r="EV220" t="str">
            <v/>
          </cell>
          <cell r="EX220">
            <v>0</v>
          </cell>
          <cell r="EY220" t="str">
            <v/>
          </cell>
          <cell r="FA220">
            <v>0</v>
          </cell>
          <cell r="FB220" t="str">
            <v/>
          </cell>
          <cell r="FD220">
            <v>0</v>
          </cell>
          <cell r="FE220" t="str">
            <v/>
          </cell>
          <cell r="FG220">
            <v>0</v>
          </cell>
          <cell r="FH220" t="str">
            <v/>
          </cell>
          <cell r="FJ220">
            <v>0</v>
          </cell>
          <cell r="FK220" t="str">
            <v/>
          </cell>
          <cell r="FM220">
            <v>0</v>
          </cell>
          <cell r="FN220" t="str">
            <v/>
          </cell>
          <cell r="FP220">
            <v>0</v>
          </cell>
          <cell r="FQ220" t="str">
            <v/>
          </cell>
          <cell r="FS220">
            <v>0</v>
          </cell>
          <cell r="FT220" t="str">
            <v/>
          </cell>
          <cell r="FV220">
            <v>0</v>
          </cell>
          <cell r="FW220" t="str">
            <v/>
          </cell>
          <cell r="FY220">
            <v>0</v>
          </cell>
          <cell r="FZ220" t="str">
            <v/>
          </cell>
          <cell r="GB220">
            <v>0.02</v>
          </cell>
          <cell r="GC220">
            <v>62850</v>
          </cell>
          <cell r="GE220">
            <v>0</v>
          </cell>
          <cell r="GF220" t="str">
            <v/>
          </cell>
          <cell r="GH220">
            <v>0</v>
          </cell>
          <cell r="GI220" t="str">
            <v/>
          </cell>
          <cell r="GK220">
            <v>0</v>
          </cell>
          <cell r="GL220" t="str">
            <v/>
          </cell>
          <cell r="GN220">
            <v>0</v>
          </cell>
          <cell r="GO220" t="str">
            <v/>
          </cell>
          <cell r="GQ220">
            <v>0</v>
          </cell>
          <cell r="GR220" t="str">
            <v/>
          </cell>
          <cell r="GT220">
            <v>0</v>
          </cell>
          <cell r="GU220" t="str">
            <v/>
          </cell>
          <cell r="GW220">
            <v>0</v>
          </cell>
          <cell r="GX220" t="str">
            <v/>
          </cell>
          <cell r="GZ220">
            <v>0.1</v>
          </cell>
          <cell r="HA220">
            <v>22880</v>
          </cell>
          <cell r="HC220">
            <v>0</v>
          </cell>
          <cell r="HD220" t="str">
            <v/>
          </cell>
          <cell r="HF220">
            <v>0.92</v>
          </cell>
          <cell r="HG220">
            <v>39767.391304347824</v>
          </cell>
          <cell r="HI220">
            <v>0.02</v>
          </cell>
          <cell r="HJ220">
            <v>49250</v>
          </cell>
          <cell r="HL220">
            <v>1.55</v>
          </cell>
          <cell r="HM220">
            <v>30887.096774193549</v>
          </cell>
          <cell r="HO220">
            <v>0</v>
          </cell>
          <cell r="HP220" t="str">
            <v/>
          </cell>
          <cell r="HR220">
            <v>0.02</v>
          </cell>
          <cell r="HS220">
            <v>47550</v>
          </cell>
          <cell r="HU220">
            <v>0</v>
          </cell>
          <cell r="HV220" t="str">
            <v/>
          </cell>
        </row>
        <row r="221">
          <cell r="DQ221">
            <v>0</v>
          </cell>
          <cell r="DR221" t="str">
            <v/>
          </cell>
          <cell r="DT221">
            <v>0.02</v>
          </cell>
          <cell r="DU221">
            <v>280500</v>
          </cell>
          <cell r="DW221">
            <v>0.02</v>
          </cell>
          <cell r="DX221">
            <v>23300</v>
          </cell>
          <cell r="DZ221">
            <v>0</v>
          </cell>
          <cell r="EA221" t="str">
            <v/>
          </cell>
          <cell r="EC221">
            <v>0</v>
          </cell>
          <cell r="ED221" t="str">
            <v/>
          </cell>
          <cell r="EF221">
            <v>0</v>
          </cell>
          <cell r="EG221" t="str">
            <v/>
          </cell>
          <cell r="EI221">
            <v>0</v>
          </cell>
          <cell r="EJ221" t="str">
            <v/>
          </cell>
          <cell r="EL221">
            <v>0.02</v>
          </cell>
          <cell r="EM221">
            <v>37700</v>
          </cell>
          <cell r="EO221">
            <v>0</v>
          </cell>
          <cell r="EP221" t="str">
            <v/>
          </cell>
          <cell r="ER221">
            <v>0</v>
          </cell>
          <cell r="ES221" t="str">
            <v/>
          </cell>
          <cell r="EU221">
            <v>0</v>
          </cell>
          <cell r="EV221" t="str">
            <v/>
          </cell>
          <cell r="EX221">
            <v>0</v>
          </cell>
          <cell r="EY221" t="str">
            <v/>
          </cell>
          <cell r="FA221">
            <v>0</v>
          </cell>
          <cell r="FB221" t="str">
            <v/>
          </cell>
          <cell r="FD221">
            <v>0</v>
          </cell>
          <cell r="FE221" t="str">
            <v/>
          </cell>
          <cell r="FG221">
            <v>0</v>
          </cell>
          <cell r="FH221" t="str">
            <v/>
          </cell>
          <cell r="FJ221">
            <v>0</v>
          </cell>
          <cell r="FK221" t="str">
            <v/>
          </cell>
          <cell r="FM221">
            <v>0</v>
          </cell>
          <cell r="FN221" t="str">
            <v/>
          </cell>
          <cell r="FP221">
            <v>0</v>
          </cell>
          <cell r="FQ221" t="str">
            <v/>
          </cell>
          <cell r="FS221">
            <v>0</v>
          </cell>
          <cell r="FT221" t="str">
            <v/>
          </cell>
          <cell r="FV221">
            <v>0</v>
          </cell>
          <cell r="FW221" t="str">
            <v/>
          </cell>
          <cell r="FY221">
            <v>0</v>
          </cell>
          <cell r="FZ221" t="str">
            <v/>
          </cell>
          <cell r="GB221">
            <v>0.02</v>
          </cell>
          <cell r="GC221">
            <v>22880</v>
          </cell>
          <cell r="GE221">
            <v>0</v>
          </cell>
          <cell r="GF221" t="str">
            <v/>
          </cell>
          <cell r="GH221">
            <v>0</v>
          </cell>
          <cell r="GI221" t="str">
            <v/>
          </cell>
          <cell r="GK221">
            <v>0</v>
          </cell>
          <cell r="GL221" t="str">
            <v/>
          </cell>
          <cell r="GN221">
            <v>0</v>
          </cell>
          <cell r="GO221" t="str">
            <v/>
          </cell>
          <cell r="GQ221">
            <v>0</v>
          </cell>
          <cell r="GR221" t="str">
            <v/>
          </cell>
          <cell r="GT221">
            <v>0</v>
          </cell>
          <cell r="GU221" t="str">
            <v/>
          </cell>
          <cell r="GW221">
            <v>0</v>
          </cell>
          <cell r="GX221" t="str">
            <v/>
          </cell>
          <cell r="GZ221">
            <v>0</v>
          </cell>
          <cell r="HA221" t="str">
            <v/>
          </cell>
          <cell r="HC221">
            <v>0</v>
          </cell>
          <cell r="HD221" t="str">
            <v/>
          </cell>
          <cell r="HF221">
            <v>0</v>
          </cell>
          <cell r="HG221" t="str">
            <v/>
          </cell>
          <cell r="HI221">
            <v>0.02</v>
          </cell>
          <cell r="HJ221">
            <v>22880</v>
          </cell>
          <cell r="HL221">
            <v>3.24</v>
          </cell>
          <cell r="HM221">
            <v>30324.074074074073</v>
          </cell>
          <cell r="HO221">
            <v>0</v>
          </cell>
          <cell r="HP221" t="str">
            <v/>
          </cell>
          <cell r="HR221">
            <v>0.02</v>
          </cell>
          <cell r="HS221">
            <v>22880</v>
          </cell>
          <cell r="HU221">
            <v>0</v>
          </cell>
          <cell r="HV221" t="str">
            <v/>
          </cell>
        </row>
        <row r="222">
          <cell r="DQ222">
            <v>0</v>
          </cell>
          <cell r="DR222" t="str">
            <v/>
          </cell>
          <cell r="DT222">
            <v>0.01</v>
          </cell>
          <cell r="DU222">
            <v>22880</v>
          </cell>
          <cell r="DW222">
            <v>0</v>
          </cell>
          <cell r="DX222" t="str">
            <v/>
          </cell>
          <cell r="DZ222">
            <v>0</v>
          </cell>
          <cell r="EA222" t="str">
            <v/>
          </cell>
          <cell r="EC222">
            <v>0</v>
          </cell>
          <cell r="ED222" t="str">
            <v/>
          </cell>
          <cell r="EF222">
            <v>0</v>
          </cell>
          <cell r="EG222" t="str">
            <v/>
          </cell>
          <cell r="EI222">
            <v>0</v>
          </cell>
          <cell r="EJ222" t="str">
            <v/>
          </cell>
          <cell r="EL222">
            <v>0</v>
          </cell>
          <cell r="EM222" t="str">
            <v/>
          </cell>
          <cell r="EO222">
            <v>0</v>
          </cell>
          <cell r="EP222" t="str">
            <v/>
          </cell>
          <cell r="ER222">
            <v>0</v>
          </cell>
          <cell r="ES222" t="str">
            <v/>
          </cell>
          <cell r="EU222">
            <v>0</v>
          </cell>
          <cell r="EV222" t="str">
            <v/>
          </cell>
          <cell r="EX222">
            <v>0</v>
          </cell>
          <cell r="EY222" t="str">
            <v/>
          </cell>
          <cell r="FA222">
            <v>0</v>
          </cell>
          <cell r="FB222" t="str">
            <v/>
          </cell>
          <cell r="FD222">
            <v>0</v>
          </cell>
          <cell r="FE222" t="str">
            <v/>
          </cell>
          <cell r="FG222">
            <v>0</v>
          </cell>
          <cell r="FH222" t="str">
            <v/>
          </cell>
          <cell r="FJ222">
            <v>0</v>
          </cell>
          <cell r="FK222" t="str">
            <v/>
          </cell>
          <cell r="FM222">
            <v>0</v>
          </cell>
          <cell r="FN222" t="str">
            <v/>
          </cell>
          <cell r="FP222">
            <v>0</v>
          </cell>
          <cell r="FQ222" t="str">
            <v/>
          </cell>
          <cell r="FS222">
            <v>0</v>
          </cell>
          <cell r="FT222" t="str">
            <v/>
          </cell>
          <cell r="FV222">
            <v>0</v>
          </cell>
          <cell r="FW222" t="str">
            <v/>
          </cell>
          <cell r="FY222">
            <v>0</v>
          </cell>
          <cell r="FZ222" t="str">
            <v/>
          </cell>
          <cell r="GB222">
            <v>0</v>
          </cell>
          <cell r="GC222" t="str">
            <v/>
          </cell>
          <cell r="GE222">
            <v>0</v>
          </cell>
          <cell r="GF222" t="str">
            <v/>
          </cell>
          <cell r="GH222">
            <v>0</v>
          </cell>
          <cell r="GI222" t="str">
            <v/>
          </cell>
          <cell r="GK222">
            <v>0</v>
          </cell>
          <cell r="GL222" t="str">
            <v/>
          </cell>
          <cell r="GN222">
            <v>0</v>
          </cell>
          <cell r="GO222" t="str">
            <v/>
          </cell>
          <cell r="GQ222">
            <v>0</v>
          </cell>
          <cell r="GR222" t="str">
            <v/>
          </cell>
          <cell r="GT222">
            <v>0</v>
          </cell>
          <cell r="GU222" t="str">
            <v/>
          </cell>
          <cell r="GW222">
            <v>0</v>
          </cell>
          <cell r="GX222" t="str">
            <v/>
          </cell>
          <cell r="GZ222">
            <v>0</v>
          </cell>
          <cell r="HA222" t="str">
            <v/>
          </cell>
          <cell r="HC222">
            <v>0</v>
          </cell>
          <cell r="HD222" t="str">
            <v/>
          </cell>
          <cell r="HF222">
            <v>0</v>
          </cell>
          <cell r="HG222" t="str">
            <v/>
          </cell>
          <cell r="HI222">
            <v>0</v>
          </cell>
          <cell r="HJ222" t="str">
            <v/>
          </cell>
          <cell r="HL222">
            <v>0.09</v>
          </cell>
          <cell r="HM222">
            <v>33488.888888888891</v>
          </cell>
          <cell r="HO222">
            <v>0</v>
          </cell>
          <cell r="HP222" t="str">
            <v/>
          </cell>
          <cell r="HR222">
            <v>0</v>
          </cell>
          <cell r="HS222" t="str">
            <v/>
          </cell>
          <cell r="HU222">
            <v>0</v>
          </cell>
          <cell r="HV222" t="str">
            <v/>
          </cell>
        </row>
        <row r="223">
          <cell r="DQ223">
            <v>0</v>
          </cell>
          <cell r="DR223" t="str">
            <v/>
          </cell>
          <cell r="DT223">
            <v>0.03</v>
          </cell>
          <cell r="DU223">
            <v>55500</v>
          </cell>
          <cell r="DW223">
            <v>0.02</v>
          </cell>
          <cell r="DX223">
            <v>44750</v>
          </cell>
          <cell r="DZ223">
            <v>0</v>
          </cell>
          <cell r="EA223" t="str">
            <v/>
          </cell>
          <cell r="EC223">
            <v>0</v>
          </cell>
          <cell r="ED223" t="str">
            <v/>
          </cell>
          <cell r="EF223">
            <v>0</v>
          </cell>
          <cell r="EG223" t="str">
            <v/>
          </cell>
          <cell r="EI223">
            <v>0</v>
          </cell>
          <cell r="EJ223" t="str">
            <v/>
          </cell>
          <cell r="EL223">
            <v>0.01</v>
          </cell>
          <cell r="EM223">
            <v>22880</v>
          </cell>
          <cell r="EO223">
            <v>0</v>
          </cell>
          <cell r="EP223" t="str">
            <v/>
          </cell>
          <cell r="ER223">
            <v>0</v>
          </cell>
          <cell r="ES223" t="str">
            <v/>
          </cell>
          <cell r="EU223">
            <v>0</v>
          </cell>
          <cell r="EV223" t="str">
            <v/>
          </cell>
          <cell r="EX223">
            <v>0</v>
          </cell>
          <cell r="EY223" t="str">
            <v/>
          </cell>
          <cell r="FA223">
            <v>0</v>
          </cell>
          <cell r="FB223" t="str">
            <v/>
          </cell>
          <cell r="FD223">
            <v>0</v>
          </cell>
          <cell r="FE223" t="str">
            <v/>
          </cell>
          <cell r="FG223">
            <v>0</v>
          </cell>
          <cell r="FH223" t="str">
            <v/>
          </cell>
          <cell r="FJ223">
            <v>0</v>
          </cell>
          <cell r="FK223" t="str">
            <v/>
          </cell>
          <cell r="FM223">
            <v>0</v>
          </cell>
          <cell r="FN223" t="str">
            <v/>
          </cell>
          <cell r="FP223">
            <v>0</v>
          </cell>
          <cell r="FQ223" t="str">
            <v/>
          </cell>
          <cell r="FS223">
            <v>0</v>
          </cell>
          <cell r="FT223" t="str">
            <v/>
          </cell>
          <cell r="FV223">
            <v>0</v>
          </cell>
          <cell r="FW223" t="str">
            <v/>
          </cell>
          <cell r="FY223">
            <v>0</v>
          </cell>
          <cell r="FZ223" t="str">
            <v/>
          </cell>
          <cell r="GB223">
            <v>0</v>
          </cell>
          <cell r="GC223" t="str">
            <v/>
          </cell>
          <cell r="GE223">
            <v>0</v>
          </cell>
          <cell r="GF223" t="str">
            <v/>
          </cell>
          <cell r="GH223">
            <v>0</v>
          </cell>
          <cell r="GI223" t="str">
            <v/>
          </cell>
          <cell r="GK223">
            <v>0</v>
          </cell>
          <cell r="GL223" t="str">
            <v/>
          </cell>
          <cell r="GN223">
            <v>0</v>
          </cell>
          <cell r="GO223" t="str">
            <v/>
          </cell>
          <cell r="GQ223">
            <v>0</v>
          </cell>
          <cell r="GR223" t="str">
            <v/>
          </cell>
          <cell r="GT223">
            <v>0</v>
          </cell>
          <cell r="GU223" t="str">
            <v/>
          </cell>
          <cell r="GW223">
            <v>0</v>
          </cell>
          <cell r="GX223" t="str">
            <v/>
          </cell>
          <cell r="GZ223">
            <v>0</v>
          </cell>
          <cell r="HA223" t="str">
            <v/>
          </cell>
          <cell r="HC223">
            <v>0</v>
          </cell>
          <cell r="HD223" t="str">
            <v/>
          </cell>
          <cell r="HF223">
            <v>0.04</v>
          </cell>
          <cell r="HG223">
            <v>43400</v>
          </cell>
          <cell r="HI223">
            <v>0</v>
          </cell>
          <cell r="HJ223" t="str">
            <v/>
          </cell>
          <cell r="HL223">
            <v>0.08</v>
          </cell>
          <cell r="HM223">
            <v>28400</v>
          </cell>
          <cell r="HO223">
            <v>0</v>
          </cell>
          <cell r="HP223" t="str">
            <v/>
          </cell>
          <cell r="HR223">
            <v>0</v>
          </cell>
          <cell r="HS223" t="str">
            <v/>
          </cell>
          <cell r="HU223">
            <v>0</v>
          </cell>
          <cell r="HV223" t="str">
            <v/>
          </cell>
        </row>
        <row r="224">
          <cell r="DQ224">
            <v>0</v>
          </cell>
          <cell r="DR224" t="str">
            <v/>
          </cell>
          <cell r="DT224">
            <v>0</v>
          </cell>
          <cell r="DU224" t="str">
            <v/>
          </cell>
          <cell r="DW224">
            <v>0</v>
          </cell>
          <cell r="DX224" t="str">
            <v/>
          </cell>
          <cell r="DZ224">
            <v>0</v>
          </cell>
          <cell r="EA224" t="str">
            <v/>
          </cell>
          <cell r="EC224">
            <v>0</v>
          </cell>
          <cell r="ED224" t="str">
            <v/>
          </cell>
          <cell r="EF224">
            <v>0</v>
          </cell>
          <cell r="EG224" t="str">
            <v/>
          </cell>
          <cell r="EI224">
            <v>0</v>
          </cell>
          <cell r="EJ224" t="str">
            <v/>
          </cell>
          <cell r="EL224">
            <v>0</v>
          </cell>
          <cell r="EM224" t="str">
            <v/>
          </cell>
          <cell r="EO224">
            <v>0</v>
          </cell>
          <cell r="EP224" t="str">
            <v/>
          </cell>
          <cell r="ER224">
            <v>0</v>
          </cell>
          <cell r="ES224" t="str">
            <v/>
          </cell>
          <cell r="EU224">
            <v>0</v>
          </cell>
          <cell r="EV224" t="str">
            <v/>
          </cell>
          <cell r="EX224">
            <v>0</v>
          </cell>
          <cell r="EY224" t="str">
            <v/>
          </cell>
          <cell r="FA224">
            <v>0</v>
          </cell>
          <cell r="FB224" t="str">
            <v/>
          </cell>
          <cell r="FD224">
            <v>0</v>
          </cell>
          <cell r="FE224" t="str">
            <v/>
          </cell>
          <cell r="FG224">
            <v>0</v>
          </cell>
          <cell r="FH224" t="str">
            <v/>
          </cell>
          <cell r="FJ224">
            <v>0</v>
          </cell>
          <cell r="FK224" t="str">
            <v/>
          </cell>
          <cell r="FM224">
            <v>0</v>
          </cell>
          <cell r="FN224" t="str">
            <v/>
          </cell>
          <cell r="FP224">
            <v>0</v>
          </cell>
          <cell r="FQ224" t="str">
            <v/>
          </cell>
          <cell r="FS224">
            <v>0</v>
          </cell>
          <cell r="FT224" t="str">
            <v/>
          </cell>
          <cell r="FV224">
            <v>0</v>
          </cell>
          <cell r="FW224" t="str">
            <v/>
          </cell>
          <cell r="FY224">
            <v>0</v>
          </cell>
          <cell r="FZ224" t="str">
            <v/>
          </cell>
          <cell r="GB224">
            <v>0</v>
          </cell>
          <cell r="GC224" t="str">
            <v/>
          </cell>
          <cell r="GE224">
            <v>0</v>
          </cell>
          <cell r="GF224" t="str">
            <v/>
          </cell>
          <cell r="GH224">
            <v>0</v>
          </cell>
          <cell r="GI224" t="str">
            <v/>
          </cell>
          <cell r="GK224">
            <v>0</v>
          </cell>
          <cell r="GL224" t="str">
            <v/>
          </cell>
          <cell r="GN224">
            <v>0</v>
          </cell>
          <cell r="GO224" t="str">
            <v/>
          </cell>
          <cell r="GQ224">
            <v>0</v>
          </cell>
          <cell r="GR224" t="str">
            <v/>
          </cell>
          <cell r="GT224">
            <v>0</v>
          </cell>
          <cell r="GU224" t="str">
            <v/>
          </cell>
          <cell r="GW224">
            <v>0</v>
          </cell>
          <cell r="GX224" t="str">
            <v/>
          </cell>
          <cell r="GZ224">
            <v>0</v>
          </cell>
          <cell r="HA224" t="str">
            <v/>
          </cell>
          <cell r="HC224">
            <v>0</v>
          </cell>
          <cell r="HD224" t="str">
            <v/>
          </cell>
          <cell r="HF224">
            <v>0</v>
          </cell>
          <cell r="HG224" t="str">
            <v/>
          </cell>
          <cell r="HI224">
            <v>0</v>
          </cell>
          <cell r="HJ224" t="str">
            <v/>
          </cell>
          <cell r="HL224">
            <v>0.78</v>
          </cell>
          <cell r="HM224">
            <v>29578.205128205129</v>
          </cell>
          <cell r="HO224">
            <v>0</v>
          </cell>
          <cell r="HP224" t="str">
            <v/>
          </cell>
          <cell r="HR224">
            <v>0</v>
          </cell>
          <cell r="HS224" t="str">
            <v/>
          </cell>
          <cell r="HU224">
            <v>0</v>
          </cell>
          <cell r="HV224" t="str">
            <v/>
          </cell>
        </row>
        <row r="225">
          <cell r="DQ225">
            <v>0</v>
          </cell>
          <cell r="DR225" t="str">
            <v/>
          </cell>
          <cell r="DT225">
            <v>0</v>
          </cell>
          <cell r="DU225" t="str">
            <v/>
          </cell>
          <cell r="DW225">
            <v>0</v>
          </cell>
          <cell r="DX225" t="str">
            <v/>
          </cell>
          <cell r="DZ225">
            <v>0</v>
          </cell>
          <cell r="EA225" t="str">
            <v/>
          </cell>
          <cell r="EC225">
            <v>0</v>
          </cell>
          <cell r="ED225" t="str">
            <v/>
          </cell>
          <cell r="EF225">
            <v>0</v>
          </cell>
          <cell r="EG225" t="str">
            <v/>
          </cell>
          <cell r="EI225">
            <v>0</v>
          </cell>
          <cell r="EJ225" t="str">
            <v/>
          </cell>
          <cell r="EL225">
            <v>0</v>
          </cell>
          <cell r="EM225" t="str">
            <v/>
          </cell>
          <cell r="EO225">
            <v>0</v>
          </cell>
          <cell r="EP225" t="str">
            <v/>
          </cell>
          <cell r="ER225">
            <v>0</v>
          </cell>
          <cell r="ES225" t="str">
            <v/>
          </cell>
          <cell r="EU225">
            <v>0</v>
          </cell>
          <cell r="EV225" t="str">
            <v/>
          </cell>
          <cell r="EX225">
            <v>0</v>
          </cell>
          <cell r="EY225" t="str">
            <v/>
          </cell>
          <cell r="FA225">
            <v>0</v>
          </cell>
          <cell r="FB225" t="str">
            <v/>
          </cell>
          <cell r="FD225">
            <v>0</v>
          </cell>
          <cell r="FE225" t="str">
            <v/>
          </cell>
          <cell r="FG225">
            <v>0</v>
          </cell>
          <cell r="FH225" t="str">
            <v/>
          </cell>
          <cell r="FJ225">
            <v>0</v>
          </cell>
          <cell r="FK225" t="str">
            <v/>
          </cell>
          <cell r="FM225">
            <v>0</v>
          </cell>
          <cell r="FN225" t="str">
            <v/>
          </cell>
          <cell r="FP225">
            <v>0</v>
          </cell>
          <cell r="FQ225" t="str">
            <v/>
          </cell>
          <cell r="FS225">
            <v>0</v>
          </cell>
          <cell r="FT225" t="str">
            <v/>
          </cell>
          <cell r="FV225">
            <v>0</v>
          </cell>
          <cell r="FW225" t="str">
            <v/>
          </cell>
          <cell r="FY225">
            <v>0</v>
          </cell>
          <cell r="FZ225" t="str">
            <v/>
          </cell>
          <cell r="GB225">
            <v>0</v>
          </cell>
          <cell r="GC225" t="str">
            <v/>
          </cell>
          <cell r="GE225">
            <v>0</v>
          </cell>
          <cell r="GF225" t="str">
            <v/>
          </cell>
          <cell r="GH225">
            <v>0</v>
          </cell>
          <cell r="GI225" t="str">
            <v/>
          </cell>
          <cell r="GK225">
            <v>0</v>
          </cell>
          <cell r="GL225" t="str">
            <v/>
          </cell>
          <cell r="GN225">
            <v>0</v>
          </cell>
          <cell r="GO225" t="str">
            <v/>
          </cell>
          <cell r="GQ225">
            <v>0</v>
          </cell>
          <cell r="GR225" t="str">
            <v/>
          </cell>
          <cell r="GT225">
            <v>0</v>
          </cell>
          <cell r="GU225" t="str">
            <v/>
          </cell>
          <cell r="GW225">
            <v>0</v>
          </cell>
          <cell r="GX225" t="str">
            <v/>
          </cell>
          <cell r="GZ225">
            <v>0</v>
          </cell>
          <cell r="HA225" t="str">
            <v/>
          </cell>
          <cell r="HC225">
            <v>0</v>
          </cell>
          <cell r="HD225" t="str">
            <v/>
          </cell>
          <cell r="HF225">
            <v>0</v>
          </cell>
          <cell r="HG225" t="str">
            <v/>
          </cell>
          <cell r="HI225">
            <v>0</v>
          </cell>
          <cell r="HJ225" t="str">
            <v/>
          </cell>
          <cell r="HL225">
            <v>0</v>
          </cell>
          <cell r="HM225" t="str">
            <v/>
          </cell>
          <cell r="HO225">
            <v>0</v>
          </cell>
          <cell r="HP225" t="str">
            <v/>
          </cell>
          <cell r="HR225">
            <v>0</v>
          </cell>
          <cell r="HS225" t="str">
            <v/>
          </cell>
          <cell r="HU225">
            <v>0</v>
          </cell>
          <cell r="HV225" t="str">
            <v/>
          </cell>
        </row>
        <row r="226">
          <cell r="DQ226">
            <v>0</v>
          </cell>
          <cell r="DR226" t="str">
            <v/>
          </cell>
          <cell r="DT226">
            <v>0</v>
          </cell>
          <cell r="DU226" t="str">
            <v/>
          </cell>
          <cell r="DW226">
            <v>0</v>
          </cell>
          <cell r="DX226" t="str">
            <v/>
          </cell>
          <cell r="DZ226">
            <v>0</v>
          </cell>
          <cell r="EA226" t="str">
            <v/>
          </cell>
          <cell r="EC226">
            <v>0</v>
          </cell>
          <cell r="ED226" t="str">
            <v/>
          </cell>
          <cell r="EF226">
            <v>0</v>
          </cell>
          <cell r="EG226" t="str">
            <v/>
          </cell>
          <cell r="EI226">
            <v>0</v>
          </cell>
          <cell r="EJ226" t="str">
            <v/>
          </cell>
          <cell r="EL226">
            <v>0</v>
          </cell>
          <cell r="EM226" t="str">
            <v/>
          </cell>
          <cell r="EO226">
            <v>0</v>
          </cell>
          <cell r="EP226" t="str">
            <v/>
          </cell>
          <cell r="ER226">
            <v>0</v>
          </cell>
          <cell r="ES226" t="str">
            <v/>
          </cell>
          <cell r="EU226">
            <v>0</v>
          </cell>
          <cell r="EV226" t="str">
            <v/>
          </cell>
          <cell r="EX226">
            <v>0</v>
          </cell>
          <cell r="EY226" t="str">
            <v/>
          </cell>
          <cell r="FA226">
            <v>0</v>
          </cell>
          <cell r="FB226" t="str">
            <v/>
          </cell>
          <cell r="FD226">
            <v>0</v>
          </cell>
          <cell r="FE226" t="str">
            <v/>
          </cell>
          <cell r="FG226">
            <v>0</v>
          </cell>
          <cell r="FH226" t="str">
            <v/>
          </cell>
          <cell r="FJ226">
            <v>0</v>
          </cell>
          <cell r="FK226" t="str">
            <v/>
          </cell>
          <cell r="FM226">
            <v>0</v>
          </cell>
          <cell r="FN226" t="str">
            <v/>
          </cell>
          <cell r="FP226">
            <v>0</v>
          </cell>
          <cell r="FQ226" t="str">
            <v/>
          </cell>
          <cell r="FS226">
            <v>0</v>
          </cell>
          <cell r="FT226" t="str">
            <v/>
          </cell>
          <cell r="FV226">
            <v>0</v>
          </cell>
          <cell r="FW226" t="str">
            <v/>
          </cell>
          <cell r="FY226">
            <v>0</v>
          </cell>
          <cell r="FZ226" t="str">
            <v/>
          </cell>
          <cell r="GB226">
            <v>0</v>
          </cell>
          <cell r="GC226" t="str">
            <v/>
          </cell>
          <cell r="GE226">
            <v>0</v>
          </cell>
          <cell r="GF226" t="str">
            <v/>
          </cell>
          <cell r="GH226">
            <v>0</v>
          </cell>
          <cell r="GI226" t="str">
            <v/>
          </cell>
          <cell r="GK226">
            <v>0</v>
          </cell>
          <cell r="GL226" t="str">
            <v/>
          </cell>
          <cell r="GN226">
            <v>0</v>
          </cell>
          <cell r="GO226" t="str">
            <v/>
          </cell>
          <cell r="GQ226">
            <v>0</v>
          </cell>
          <cell r="GR226" t="str">
            <v/>
          </cell>
          <cell r="GT226">
            <v>0</v>
          </cell>
          <cell r="GU226" t="str">
            <v/>
          </cell>
          <cell r="GW226">
            <v>0</v>
          </cell>
          <cell r="GX226" t="str">
            <v/>
          </cell>
          <cell r="GZ226">
            <v>0</v>
          </cell>
          <cell r="HA226" t="str">
            <v/>
          </cell>
          <cell r="HC226">
            <v>0</v>
          </cell>
          <cell r="HD226" t="str">
            <v/>
          </cell>
          <cell r="HF226">
            <v>0</v>
          </cell>
          <cell r="HG226" t="str">
            <v/>
          </cell>
          <cell r="HI226">
            <v>0</v>
          </cell>
          <cell r="HJ226" t="str">
            <v/>
          </cell>
          <cell r="HL226">
            <v>0</v>
          </cell>
          <cell r="HM226" t="str">
            <v/>
          </cell>
          <cell r="HO226">
            <v>0</v>
          </cell>
          <cell r="HP226" t="str">
            <v/>
          </cell>
          <cell r="HR226">
            <v>0</v>
          </cell>
          <cell r="HS226" t="str">
            <v/>
          </cell>
          <cell r="HU226">
            <v>0</v>
          </cell>
          <cell r="HV226" t="str">
            <v/>
          </cell>
        </row>
        <row r="227">
          <cell r="DQ227">
            <v>0</v>
          </cell>
          <cell r="DR227" t="str">
            <v/>
          </cell>
          <cell r="DT227">
            <v>0</v>
          </cell>
          <cell r="DU227" t="str">
            <v/>
          </cell>
          <cell r="DW227">
            <v>0</v>
          </cell>
          <cell r="DX227" t="str">
            <v/>
          </cell>
          <cell r="DZ227">
            <v>0</v>
          </cell>
          <cell r="EA227" t="str">
            <v/>
          </cell>
          <cell r="EC227">
            <v>0</v>
          </cell>
          <cell r="ED227" t="str">
            <v/>
          </cell>
          <cell r="EF227">
            <v>0</v>
          </cell>
          <cell r="EG227" t="str">
            <v/>
          </cell>
          <cell r="EI227">
            <v>0</v>
          </cell>
          <cell r="EJ227" t="str">
            <v/>
          </cell>
          <cell r="EL227">
            <v>0</v>
          </cell>
          <cell r="EM227" t="str">
            <v/>
          </cell>
          <cell r="EO227">
            <v>0</v>
          </cell>
          <cell r="EP227" t="str">
            <v/>
          </cell>
          <cell r="ER227">
            <v>0</v>
          </cell>
          <cell r="ES227" t="str">
            <v/>
          </cell>
          <cell r="EU227">
            <v>0</v>
          </cell>
          <cell r="EV227" t="str">
            <v/>
          </cell>
          <cell r="EX227">
            <v>0</v>
          </cell>
          <cell r="EY227" t="str">
            <v/>
          </cell>
          <cell r="FA227">
            <v>0</v>
          </cell>
          <cell r="FB227" t="str">
            <v/>
          </cell>
          <cell r="FD227">
            <v>0</v>
          </cell>
          <cell r="FE227" t="str">
            <v/>
          </cell>
          <cell r="FG227">
            <v>0</v>
          </cell>
          <cell r="FH227" t="str">
            <v/>
          </cell>
          <cell r="FJ227">
            <v>0</v>
          </cell>
          <cell r="FK227" t="str">
            <v/>
          </cell>
          <cell r="FM227">
            <v>0</v>
          </cell>
          <cell r="FN227" t="str">
            <v/>
          </cell>
          <cell r="FP227">
            <v>0</v>
          </cell>
          <cell r="FQ227" t="str">
            <v/>
          </cell>
          <cell r="FS227">
            <v>0</v>
          </cell>
          <cell r="FT227" t="str">
            <v/>
          </cell>
          <cell r="FV227">
            <v>0</v>
          </cell>
          <cell r="FW227" t="str">
            <v/>
          </cell>
          <cell r="FY227">
            <v>0</v>
          </cell>
          <cell r="FZ227" t="str">
            <v/>
          </cell>
          <cell r="GB227">
            <v>0</v>
          </cell>
          <cell r="GC227" t="str">
            <v/>
          </cell>
          <cell r="GE227">
            <v>0</v>
          </cell>
          <cell r="GF227" t="str">
            <v/>
          </cell>
          <cell r="GH227">
            <v>0</v>
          </cell>
          <cell r="GI227" t="str">
            <v/>
          </cell>
          <cell r="GK227">
            <v>0</v>
          </cell>
          <cell r="GL227" t="str">
            <v/>
          </cell>
          <cell r="GN227">
            <v>0</v>
          </cell>
          <cell r="GO227" t="str">
            <v/>
          </cell>
          <cell r="GQ227">
            <v>0</v>
          </cell>
          <cell r="GR227" t="str">
            <v/>
          </cell>
          <cell r="GT227">
            <v>0</v>
          </cell>
          <cell r="GU227" t="str">
            <v/>
          </cell>
          <cell r="GW227">
            <v>0</v>
          </cell>
          <cell r="GX227" t="str">
            <v/>
          </cell>
          <cell r="GZ227">
            <v>0</v>
          </cell>
          <cell r="HA227" t="str">
            <v/>
          </cell>
          <cell r="HC227">
            <v>0</v>
          </cell>
          <cell r="HD227" t="str">
            <v/>
          </cell>
          <cell r="HF227">
            <v>0</v>
          </cell>
          <cell r="HG227" t="str">
            <v/>
          </cell>
          <cell r="HI227">
            <v>0</v>
          </cell>
          <cell r="HJ227" t="str">
            <v/>
          </cell>
          <cell r="HL227">
            <v>0</v>
          </cell>
          <cell r="HM227" t="str">
            <v/>
          </cell>
          <cell r="HO227">
            <v>0</v>
          </cell>
          <cell r="HP227" t="str">
            <v/>
          </cell>
          <cell r="HR227">
            <v>0</v>
          </cell>
          <cell r="HS227" t="str">
            <v/>
          </cell>
          <cell r="HU227">
            <v>0</v>
          </cell>
          <cell r="HV227" t="str">
            <v/>
          </cell>
        </row>
        <row r="228">
          <cell r="DQ228">
            <v>0</v>
          </cell>
          <cell r="DR228" t="str">
            <v/>
          </cell>
          <cell r="DT228">
            <v>0</v>
          </cell>
          <cell r="DU228" t="str">
            <v/>
          </cell>
          <cell r="DW228">
            <v>0</v>
          </cell>
          <cell r="DX228" t="str">
            <v/>
          </cell>
          <cell r="DZ228">
            <v>0</v>
          </cell>
          <cell r="EA228" t="str">
            <v/>
          </cell>
          <cell r="EC228">
            <v>0</v>
          </cell>
          <cell r="ED228" t="str">
            <v/>
          </cell>
          <cell r="EF228">
            <v>0</v>
          </cell>
          <cell r="EG228" t="str">
            <v/>
          </cell>
          <cell r="EI228">
            <v>0</v>
          </cell>
          <cell r="EJ228" t="str">
            <v/>
          </cell>
          <cell r="EL228">
            <v>0</v>
          </cell>
          <cell r="EM228" t="str">
            <v/>
          </cell>
          <cell r="EO228">
            <v>0</v>
          </cell>
          <cell r="EP228" t="str">
            <v/>
          </cell>
          <cell r="ER228">
            <v>0</v>
          </cell>
          <cell r="ES228" t="str">
            <v/>
          </cell>
          <cell r="EU228">
            <v>0</v>
          </cell>
          <cell r="EV228" t="str">
            <v/>
          </cell>
          <cell r="EX228">
            <v>0</v>
          </cell>
          <cell r="EY228" t="str">
            <v/>
          </cell>
          <cell r="FA228">
            <v>0</v>
          </cell>
          <cell r="FB228" t="str">
            <v/>
          </cell>
          <cell r="FD228">
            <v>0</v>
          </cell>
          <cell r="FE228" t="str">
            <v/>
          </cell>
          <cell r="FG228">
            <v>0</v>
          </cell>
          <cell r="FH228" t="str">
            <v/>
          </cell>
          <cell r="FJ228">
            <v>0</v>
          </cell>
          <cell r="FK228" t="str">
            <v/>
          </cell>
          <cell r="FM228">
            <v>0</v>
          </cell>
          <cell r="FN228" t="str">
            <v/>
          </cell>
          <cell r="FP228">
            <v>0</v>
          </cell>
          <cell r="FQ228" t="str">
            <v/>
          </cell>
          <cell r="FS228">
            <v>0</v>
          </cell>
          <cell r="FT228" t="str">
            <v/>
          </cell>
          <cell r="FV228">
            <v>0</v>
          </cell>
          <cell r="FW228" t="str">
            <v/>
          </cell>
          <cell r="FY228">
            <v>0</v>
          </cell>
          <cell r="FZ228" t="str">
            <v/>
          </cell>
          <cell r="GB228">
            <v>0</v>
          </cell>
          <cell r="GC228" t="str">
            <v/>
          </cell>
          <cell r="GE228">
            <v>0</v>
          </cell>
          <cell r="GF228" t="str">
            <v/>
          </cell>
          <cell r="GH228">
            <v>0</v>
          </cell>
          <cell r="GI228" t="str">
            <v/>
          </cell>
          <cell r="GK228">
            <v>0</v>
          </cell>
          <cell r="GL228" t="str">
            <v/>
          </cell>
          <cell r="GN228">
            <v>0</v>
          </cell>
          <cell r="GO228" t="str">
            <v/>
          </cell>
          <cell r="GQ228">
            <v>0</v>
          </cell>
          <cell r="GR228" t="str">
            <v/>
          </cell>
          <cell r="GT228">
            <v>0</v>
          </cell>
          <cell r="GU228" t="str">
            <v/>
          </cell>
          <cell r="GW228">
            <v>0</v>
          </cell>
          <cell r="GX228" t="str">
            <v/>
          </cell>
          <cell r="GZ228">
            <v>0</v>
          </cell>
          <cell r="HA228" t="str">
            <v/>
          </cell>
          <cell r="HC228">
            <v>0</v>
          </cell>
          <cell r="HD228" t="str">
            <v/>
          </cell>
          <cell r="HF228">
            <v>1.96</v>
          </cell>
          <cell r="HG228">
            <v>46129.591836734697</v>
          </cell>
          <cell r="HI228">
            <v>0</v>
          </cell>
          <cell r="HJ228" t="str">
            <v/>
          </cell>
          <cell r="HL228">
            <v>0.02</v>
          </cell>
          <cell r="HM228">
            <v>22880</v>
          </cell>
          <cell r="HO228">
            <v>0</v>
          </cell>
          <cell r="HP228" t="str">
            <v/>
          </cell>
          <cell r="HR228">
            <v>0</v>
          </cell>
          <cell r="HS228" t="str">
            <v/>
          </cell>
          <cell r="HU228">
            <v>0</v>
          </cell>
          <cell r="HV228" t="str">
            <v/>
          </cell>
        </row>
        <row r="229">
          <cell r="DQ229">
            <v>1.89</v>
          </cell>
          <cell r="DR229">
            <v>158187.83068783069</v>
          </cell>
          <cell r="DT229">
            <v>0.9</v>
          </cell>
          <cell r="DU229">
            <v>61102.222222222219</v>
          </cell>
          <cell r="DW229">
            <v>3.04</v>
          </cell>
          <cell r="DX229">
            <v>46999.013157894733</v>
          </cell>
          <cell r="DZ229">
            <v>0</v>
          </cell>
          <cell r="EA229" t="str">
            <v/>
          </cell>
          <cell r="EC229">
            <v>0</v>
          </cell>
          <cell r="ED229" t="str">
            <v/>
          </cell>
          <cell r="EF229">
            <v>0</v>
          </cell>
          <cell r="EG229" t="str">
            <v/>
          </cell>
          <cell r="EI229">
            <v>0</v>
          </cell>
          <cell r="EJ229" t="str">
            <v/>
          </cell>
          <cell r="EL229">
            <v>0</v>
          </cell>
          <cell r="EM229" t="str">
            <v/>
          </cell>
          <cell r="EO229">
            <v>0</v>
          </cell>
          <cell r="EP229" t="str">
            <v/>
          </cell>
          <cell r="ER229">
            <v>0</v>
          </cell>
          <cell r="ES229" t="str">
            <v/>
          </cell>
          <cell r="EU229">
            <v>0</v>
          </cell>
          <cell r="EV229" t="str">
            <v/>
          </cell>
          <cell r="EX229">
            <v>0</v>
          </cell>
          <cell r="EY229" t="str">
            <v/>
          </cell>
          <cell r="FA229">
            <v>0</v>
          </cell>
          <cell r="FB229" t="str">
            <v/>
          </cell>
          <cell r="FD229">
            <v>0</v>
          </cell>
          <cell r="FE229" t="str">
            <v/>
          </cell>
          <cell r="FG229">
            <v>0</v>
          </cell>
          <cell r="FH229" t="str">
            <v/>
          </cell>
          <cell r="FJ229">
            <v>0</v>
          </cell>
          <cell r="FK229" t="str">
            <v/>
          </cell>
          <cell r="FM229">
            <v>0</v>
          </cell>
          <cell r="FN229" t="str">
            <v/>
          </cell>
          <cell r="FP229">
            <v>0</v>
          </cell>
          <cell r="FQ229" t="str">
            <v/>
          </cell>
          <cell r="FS229">
            <v>0</v>
          </cell>
          <cell r="FT229" t="str">
            <v/>
          </cell>
          <cell r="FV229">
            <v>0</v>
          </cell>
          <cell r="FW229" t="str">
            <v/>
          </cell>
          <cell r="FY229">
            <v>0</v>
          </cell>
          <cell r="FZ229" t="str">
            <v/>
          </cell>
          <cell r="GB229">
            <v>0</v>
          </cell>
          <cell r="GC229" t="str">
            <v/>
          </cell>
          <cell r="GE229">
            <v>0</v>
          </cell>
          <cell r="GF229" t="str">
            <v/>
          </cell>
          <cell r="GH229">
            <v>0</v>
          </cell>
          <cell r="GI229" t="str">
            <v/>
          </cell>
          <cell r="GK229">
            <v>0</v>
          </cell>
          <cell r="GL229" t="str">
            <v/>
          </cell>
          <cell r="GN229">
            <v>0</v>
          </cell>
          <cell r="GO229" t="str">
            <v/>
          </cell>
          <cell r="GQ229">
            <v>0</v>
          </cell>
          <cell r="GR229" t="str">
            <v/>
          </cell>
          <cell r="GT229">
            <v>0</v>
          </cell>
          <cell r="GU229" t="str">
            <v/>
          </cell>
          <cell r="GW229">
            <v>0.99</v>
          </cell>
          <cell r="GX229">
            <v>42214.141414141413</v>
          </cell>
          <cell r="GZ229">
            <v>15.42</v>
          </cell>
          <cell r="HA229">
            <v>37085.992217898834</v>
          </cell>
          <cell r="HC229">
            <v>0.26</v>
          </cell>
          <cell r="HD229">
            <v>36469.230769230766</v>
          </cell>
          <cell r="HF229">
            <v>1.8</v>
          </cell>
          <cell r="HG229">
            <v>51040.555555555555</v>
          </cell>
          <cell r="HI229">
            <v>0</v>
          </cell>
          <cell r="HJ229" t="str">
            <v/>
          </cell>
          <cell r="HL229">
            <v>23.04</v>
          </cell>
          <cell r="HM229">
            <v>33576.822916666672</v>
          </cell>
          <cell r="HO229">
            <v>1.28</v>
          </cell>
          <cell r="HP229">
            <v>28724.21875</v>
          </cell>
          <cell r="HR229">
            <v>0</v>
          </cell>
          <cell r="HS229" t="str">
            <v/>
          </cell>
          <cell r="HU229">
            <v>2.98</v>
          </cell>
          <cell r="HV229">
            <v>36200.335570469797</v>
          </cell>
        </row>
        <row r="230">
          <cell r="DQ230">
            <v>0.8</v>
          </cell>
          <cell r="DR230">
            <v>85030</v>
          </cell>
          <cell r="DT230">
            <v>1.04</v>
          </cell>
          <cell r="DU230">
            <v>66109.615384615376</v>
          </cell>
          <cell r="DW230">
            <v>0</v>
          </cell>
          <cell r="DX230" t="str">
            <v/>
          </cell>
          <cell r="DZ230">
            <v>0</v>
          </cell>
          <cell r="EA230" t="str">
            <v/>
          </cell>
          <cell r="EC230">
            <v>0</v>
          </cell>
          <cell r="ED230" t="str">
            <v/>
          </cell>
          <cell r="EF230">
            <v>0</v>
          </cell>
          <cell r="EG230" t="str">
            <v/>
          </cell>
          <cell r="EI230">
            <v>0</v>
          </cell>
          <cell r="EJ230" t="str">
            <v/>
          </cell>
          <cell r="EL230">
            <v>0</v>
          </cell>
          <cell r="EM230" t="str">
            <v/>
          </cell>
          <cell r="EO230">
            <v>0</v>
          </cell>
          <cell r="EP230" t="str">
            <v/>
          </cell>
          <cell r="ER230">
            <v>0</v>
          </cell>
          <cell r="ES230" t="str">
            <v/>
          </cell>
          <cell r="EU230">
            <v>0</v>
          </cell>
          <cell r="EV230" t="str">
            <v/>
          </cell>
          <cell r="EX230">
            <v>0</v>
          </cell>
          <cell r="EY230" t="str">
            <v/>
          </cell>
          <cell r="FA230">
            <v>0</v>
          </cell>
          <cell r="FB230" t="str">
            <v/>
          </cell>
          <cell r="FD230">
            <v>0</v>
          </cell>
          <cell r="FE230" t="str">
            <v/>
          </cell>
          <cell r="FG230">
            <v>0</v>
          </cell>
          <cell r="FH230" t="str">
            <v/>
          </cell>
          <cell r="FJ230">
            <v>0</v>
          </cell>
          <cell r="FK230" t="str">
            <v/>
          </cell>
          <cell r="FM230">
            <v>0</v>
          </cell>
          <cell r="FN230" t="str">
            <v/>
          </cell>
          <cell r="FP230">
            <v>0</v>
          </cell>
          <cell r="FQ230" t="str">
            <v/>
          </cell>
          <cell r="FS230">
            <v>0</v>
          </cell>
          <cell r="FT230" t="str">
            <v/>
          </cell>
          <cell r="FV230">
            <v>0</v>
          </cell>
          <cell r="FW230" t="str">
            <v/>
          </cell>
          <cell r="FY230">
            <v>0</v>
          </cell>
          <cell r="FZ230" t="str">
            <v/>
          </cell>
          <cell r="GB230">
            <v>0</v>
          </cell>
          <cell r="GC230" t="str">
            <v/>
          </cell>
          <cell r="GE230">
            <v>0</v>
          </cell>
          <cell r="GF230" t="str">
            <v/>
          </cell>
          <cell r="GH230">
            <v>0</v>
          </cell>
          <cell r="GI230" t="str">
            <v/>
          </cell>
          <cell r="GK230">
            <v>0</v>
          </cell>
          <cell r="GL230" t="str">
            <v/>
          </cell>
          <cell r="GN230">
            <v>0</v>
          </cell>
          <cell r="GO230" t="str">
            <v/>
          </cell>
          <cell r="GQ230">
            <v>0</v>
          </cell>
          <cell r="GR230" t="str">
            <v/>
          </cell>
          <cell r="GT230">
            <v>0</v>
          </cell>
          <cell r="GU230" t="str">
            <v/>
          </cell>
          <cell r="GW230">
            <v>3.14</v>
          </cell>
          <cell r="GX230">
            <v>34375.159235668791</v>
          </cell>
          <cell r="GZ230">
            <v>0</v>
          </cell>
          <cell r="HA230" t="str">
            <v/>
          </cell>
          <cell r="HC230">
            <v>0.36</v>
          </cell>
          <cell r="HD230">
            <v>43916.666666666672</v>
          </cell>
          <cell r="HF230">
            <v>0</v>
          </cell>
          <cell r="HG230" t="str">
            <v/>
          </cell>
          <cell r="HI230">
            <v>0</v>
          </cell>
          <cell r="HJ230" t="str">
            <v/>
          </cell>
          <cell r="HL230">
            <v>25.2</v>
          </cell>
          <cell r="HM230">
            <v>27441.666666666668</v>
          </cell>
          <cell r="HO230">
            <v>0.16</v>
          </cell>
          <cell r="HP230">
            <v>27262.5</v>
          </cell>
          <cell r="HR230">
            <v>0.02</v>
          </cell>
          <cell r="HS230">
            <v>22880</v>
          </cell>
          <cell r="HU230">
            <v>0</v>
          </cell>
          <cell r="HV230" t="str">
            <v/>
          </cell>
        </row>
        <row r="231">
          <cell r="DQ231">
            <v>6</v>
          </cell>
          <cell r="DR231">
            <v>40647.833333333336</v>
          </cell>
          <cell r="DT231">
            <v>0</v>
          </cell>
          <cell r="DU231" t="str">
            <v/>
          </cell>
          <cell r="DW231">
            <v>1</v>
          </cell>
          <cell r="DX231">
            <v>36192</v>
          </cell>
          <cell r="DZ231">
            <v>0</v>
          </cell>
          <cell r="EA231" t="str">
            <v/>
          </cell>
          <cell r="EC231">
            <v>0</v>
          </cell>
          <cell r="ED231" t="str">
            <v/>
          </cell>
          <cell r="EF231">
            <v>0</v>
          </cell>
          <cell r="EG231" t="str">
            <v/>
          </cell>
          <cell r="EI231">
            <v>0</v>
          </cell>
          <cell r="EJ231" t="str">
            <v/>
          </cell>
          <cell r="EL231">
            <v>0</v>
          </cell>
          <cell r="EM231" t="str">
            <v/>
          </cell>
          <cell r="EO231">
            <v>0</v>
          </cell>
          <cell r="EP231" t="str">
            <v/>
          </cell>
          <cell r="ER231">
            <v>0</v>
          </cell>
          <cell r="ES231" t="str">
            <v/>
          </cell>
          <cell r="EU231">
            <v>0</v>
          </cell>
          <cell r="EV231" t="str">
            <v/>
          </cell>
          <cell r="EX231">
            <v>0</v>
          </cell>
          <cell r="EY231" t="str">
            <v/>
          </cell>
          <cell r="FA231">
            <v>0</v>
          </cell>
          <cell r="FB231" t="str">
            <v/>
          </cell>
          <cell r="FD231">
            <v>0</v>
          </cell>
          <cell r="FE231" t="str">
            <v/>
          </cell>
          <cell r="FG231">
            <v>0</v>
          </cell>
          <cell r="FH231" t="str">
            <v/>
          </cell>
          <cell r="FJ231">
            <v>0</v>
          </cell>
          <cell r="FK231" t="str">
            <v/>
          </cell>
          <cell r="FM231">
            <v>0</v>
          </cell>
          <cell r="FN231" t="str">
            <v/>
          </cell>
          <cell r="FP231">
            <v>0</v>
          </cell>
          <cell r="FQ231" t="str">
            <v/>
          </cell>
          <cell r="FS231">
            <v>0</v>
          </cell>
          <cell r="FT231" t="str">
            <v/>
          </cell>
          <cell r="FV231">
            <v>0</v>
          </cell>
          <cell r="FW231" t="str">
            <v/>
          </cell>
          <cell r="FY231">
            <v>0</v>
          </cell>
          <cell r="FZ231" t="str">
            <v/>
          </cell>
          <cell r="GB231">
            <v>0</v>
          </cell>
          <cell r="GC231" t="str">
            <v/>
          </cell>
          <cell r="GE231">
            <v>0</v>
          </cell>
          <cell r="GF231" t="str">
            <v/>
          </cell>
          <cell r="GH231">
            <v>0</v>
          </cell>
          <cell r="GI231" t="str">
            <v/>
          </cell>
          <cell r="GK231">
            <v>0</v>
          </cell>
          <cell r="GL231" t="str">
            <v/>
          </cell>
          <cell r="GN231">
            <v>0</v>
          </cell>
          <cell r="GO231" t="str">
            <v/>
          </cell>
          <cell r="GQ231">
            <v>0</v>
          </cell>
          <cell r="GR231" t="str">
            <v/>
          </cell>
          <cell r="GT231">
            <v>0</v>
          </cell>
          <cell r="GU231" t="str">
            <v/>
          </cell>
          <cell r="GW231">
            <v>0</v>
          </cell>
          <cell r="GX231" t="str">
            <v/>
          </cell>
          <cell r="GZ231">
            <v>0</v>
          </cell>
          <cell r="HA231" t="str">
            <v/>
          </cell>
          <cell r="HC231">
            <v>0</v>
          </cell>
          <cell r="HD231" t="str">
            <v/>
          </cell>
          <cell r="HF231">
            <v>0</v>
          </cell>
          <cell r="HG231" t="str">
            <v/>
          </cell>
          <cell r="HI231">
            <v>0</v>
          </cell>
          <cell r="HJ231" t="str">
            <v/>
          </cell>
          <cell r="HL231">
            <v>41.3</v>
          </cell>
          <cell r="HM231">
            <v>22880</v>
          </cell>
          <cell r="HO231">
            <v>0</v>
          </cell>
          <cell r="HP231" t="str">
            <v/>
          </cell>
          <cell r="HR231">
            <v>6.34</v>
          </cell>
          <cell r="HS231">
            <v>34604.574132492111</v>
          </cell>
          <cell r="HU231">
            <v>0</v>
          </cell>
          <cell r="HV231" t="str">
            <v/>
          </cell>
        </row>
        <row r="232">
          <cell r="DQ232">
            <v>1</v>
          </cell>
          <cell r="DR232">
            <v>59558</v>
          </cell>
          <cell r="DT232">
            <v>0.113</v>
          </cell>
          <cell r="DU232">
            <v>65247.787610619467</v>
          </cell>
          <cell r="DW232">
            <v>0</v>
          </cell>
          <cell r="DX232" t="str">
            <v/>
          </cell>
          <cell r="DZ232">
            <v>0</v>
          </cell>
          <cell r="EA232" t="str">
            <v/>
          </cell>
          <cell r="EC232">
            <v>0</v>
          </cell>
          <cell r="ED232" t="str">
            <v/>
          </cell>
          <cell r="EF232">
            <v>0</v>
          </cell>
          <cell r="EG232" t="str">
            <v/>
          </cell>
          <cell r="EI232">
            <v>0</v>
          </cell>
          <cell r="EJ232" t="str">
            <v/>
          </cell>
          <cell r="EL232">
            <v>0</v>
          </cell>
          <cell r="EM232" t="str">
            <v/>
          </cell>
          <cell r="EO232">
            <v>0</v>
          </cell>
          <cell r="EP232" t="str">
            <v/>
          </cell>
          <cell r="ER232">
            <v>0</v>
          </cell>
          <cell r="ES232" t="str">
            <v/>
          </cell>
          <cell r="EU232">
            <v>0</v>
          </cell>
          <cell r="EV232" t="str">
            <v/>
          </cell>
          <cell r="EX232">
            <v>0</v>
          </cell>
          <cell r="EY232" t="str">
            <v/>
          </cell>
          <cell r="FA232">
            <v>0</v>
          </cell>
          <cell r="FB232" t="str">
            <v/>
          </cell>
          <cell r="FD232">
            <v>0</v>
          </cell>
          <cell r="FE232" t="str">
            <v/>
          </cell>
          <cell r="FG232">
            <v>0</v>
          </cell>
          <cell r="FH232" t="str">
            <v/>
          </cell>
          <cell r="FJ232">
            <v>0</v>
          </cell>
          <cell r="FK232" t="str">
            <v/>
          </cell>
          <cell r="FM232">
            <v>0</v>
          </cell>
          <cell r="FN232" t="str">
            <v/>
          </cell>
          <cell r="FP232">
            <v>0</v>
          </cell>
          <cell r="FQ232" t="str">
            <v/>
          </cell>
          <cell r="FS232">
            <v>0</v>
          </cell>
          <cell r="FT232" t="str">
            <v/>
          </cell>
          <cell r="FV232">
            <v>0</v>
          </cell>
          <cell r="FW232" t="str">
            <v/>
          </cell>
          <cell r="FY232">
            <v>0</v>
          </cell>
          <cell r="FZ232" t="str">
            <v/>
          </cell>
          <cell r="GB232">
            <v>0</v>
          </cell>
          <cell r="GC232" t="str">
            <v/>
          </cell>
          <cell r="GE232">
            <v>0</v>
          </cell>
          <cell r="GF232" t="str">
            <v/>
          </cell>
          <cell r="GH232">
            <v>0</v>
          </cell>
          <cell r="GI232" t="str">
            <v/>
          </cell>
          <cell r="GK232">
            <v>0</v>
          </cell>
          <cell r="GL232" t="str">
            <v/>
          </cell>
          <cell r="GN232">
            <v>0</v>
          </cell>
          <cell r="GO232" t="str">
            <v/>
          </cell>
          <cell r="GQ232">
            <v>0</v>
          </cell>
          <cell r="GR232" t="str">
            <v/>
          </cell>
          <cell r="GT232">
            <v>0</v>
          </cell>
          <cell r="GU232" t="str">
            <v/>
          </cell>
          <cell r="GW232">
            <v>0</v>
          </cell>
          <cell r="GX232" t="str">
            <v/>
          </cell>
          <cell r="GZ232">
            <v>0</v>
          </cell>
          <cell r="HA232" t="str">
            <v/>
          </cell>
          <cell r="HC232">
            <v>0</v>
          </cell>
          <cell r="HD232" t="str">
            <v/>
          </cell>
          <cell r="HF232">
            <v>0.5</v>
          </cell>
          <cell r="HG232">
            <v>37360</v>
          </cell>
          <cell r="HI232">
            <v>0</v>
          </cell>
          <cell r="HJ232" t="str">
            <v/>
          </cell>
          <cell r="HL232">
            <v>0</v>
          </cell>
          <cell r="HM232" t="str">
            <v/>
          </cell>
          <cell r="HO232">
            <v>0</v>
          </cell>
          <cell r="HP232" t="str">
            <v/>
          </cell>
          <cell r="HR232">
            <v>0</v>
          </cell>
          <cell r="HS232" t="str">
            <v/>
          </cell>
          <cell r="HU232">
            <v>0</v>
          </cell>
          <cell r="HV232" t="str">
            <v/>
          </cell>
        </row>
        <row r="233">
          <cell r="DQ233">
            <v>0</v>
          </cell>
          <cell r="DR233" t="str">
            <v/>
          </cell>
          <cell r="DT233">
            <v>0.6</v>
          </cell>
          <cell r="DU233">
            <v>70525</v>
          </cell>
          <cell r="DW233">
            <v>0</v>
          </cell>
          <cell r="DX233" t="str">
            <v/>
          </cell>
          <cell r="DZ233">
            <v>0</v>
          </cell>
          <cell r="EA233" t="str">
            <v/>
          </cell>
          <cell r="EC233">
            <v>0</v>
          </cell>
          <cell r="ED233" t="str">
            <v/>
          </cell>
          <cell r="EF233">
            <v>0</v>
          </cell>
          <cell r="EG233" t="str">
            <v/>
          </cell>
          <cell r="EI233">
            <v>0</v>
          </cell>
          <cell r="EJ233" t="str">
            <v/>
          </cell>
          <cell r="EL233">
            <v>0</v>
          </cell>
          <cell r="EM233" t="str">
            <v/>
          </cell>
          <cell r="EO233">
            <v>0</v>
          </cell>
          <cell r="EP233" t="str">
            <v/>
          </cell>
          <cell r="ER233">
            <v>0</v>
          </cell>
          <cell r="ES233" t="str">
            <v/>
          </cell>
          <cell r="EU233">
            <v>0</v>
          </cell>
          <cell r="EV233" t="str">
            <v/>
          </cell>
          <cell r="EX233">
            <v>0</v>
          </cell>
          <cell r="EY233" t="str">
            <v/>
          </cell>
          <cell r="FA233">
            <v>0</v>
          </cell>
          <cell r="FB233" t="str">
            <v/>
          </cell>
          <cell r="FD233">
            <v>0</v>
          </cell>
          <cell r="FE233" t="str">
            <v/>
          </cell>
          <cell r="FG233">
            <v>0</v>
          </cell>
          <cell r="FH233" t="str">
            <v/>
          </cell>
          <cell r="FJ233">
            <v>0</v>
          </cell>
          <cell r="FK233" t="str">
            <v/>
          </cell>
          <cell r="FM233">
            <v>0</v>
          </cell>
          <cell r="FN233" t="str">
            <v/>
          </cell>
          <cell r="FP233">
            <v>0</v>
          </cell>
          <cell r="FQ233" t="str">
            <v/>
          </cell>
          <cell r="FS233">
            <v>0</v>
          </cell>
          <cell r="FT233" t="str">
            <v/>
          </cell>
          <cell r="FV233">
            <v>0</v>
          </cell>
          <cell r="FW233" t="str">
            <v/>
          </cell>
          <cell r="FY233">
            <v>0</v>
          </cell>
          <cell r="FZ233" t="str">
            <v/>
          </cell>
          <cell r="GB233">
            <v>0.2</v>
          </cell>
          <cell r="GC233">
            <v>87980</v>
          </cell>
          <cell r="GE233">
            <v>0</v>
          </cell>
          <cell r="GF233" t="str">
            <v/>
          </cell>
          <cell r="GH233">
            <v>0</v>
          </cell>
          <cell r="GI233" t="str">
            <v/>
          </cell>
          <cell r="GK233">
            <v>0</v>
          </cell>
          <cell r="GL233" t="str">
            <v/>
          </cell>
          <cell r="GN233">
            <v>0</v>
          </cell>
          <cell r="GO233" t="str">
            <v/>
          </cell>
          <cell r="GQ233">
            <v>0</v>
          </cell>
          <cell r="GR233" t="str">
            <v/>
          </cell>
          <cell r="GT233">
            <v>0</v>
          </cell>
          <cell r="GU233" t="str">
            <v/>
          </cell>
          <cell r="GW233">
            <v>0.61899999999999999</v>
          </cell>
          <cell r="GX233">
            <v>40597.738287560584</v>
          </cell>
          <cell r="GZ233">
            <v>0</v>
          </cell>
          <cell r="HA233" t="str">
            <v/>
          </cell>
          <cell r="HC233">
            <v>0</v>
          </cell>
          <cell r="HD233" t="str">
            <v/>
          </cell>
          <cell r="HF233">
            <v>1</v>
          </cell>
          <cell r="HG233">
            <v>41683</v>
          </cell>
          <cell r="HI233">
            <v>0</v>
          </cell>
          <cell r="HJ233" t="str">
            <v/>
          </cell>
          <cell r="HL233">
            <v>0</v>
          </cell>
          <cell r="HM233" t="str">
            <v/>
          </cell>
          <cell r="HO233">
            <v>0.1</v>
          </cell>
          <cell r="HP233">
            <v>44570</v>
          </cell>
          <cell r="HR233">
            <v>0</v>
          </cell>
          <cell r="HS233" t="str">
            <v/>
          </cell>
          <cell r="HU233">
            <v>0</v>
          </cell>
          <cell r="HV233" t="str">
            <v/>
          </cell>
        </row>
        <row r="234">
          <cell r="DQ234">
            <v>0</v>
          </cell>
          <cell r="DR234" t="str">
            <v/>
          </cell>
          <cell r="DT234">
            <v>0.1</v>
          </cell>
          <cell r="DU234">
            <v>77990</v>
          </cell>
          <cell r="DW234">
            <v>0</v>
          </cell>
          <cell r="DX234" t="str">
            <v/>
          </cell>
          <cell r="DZ234">
            <v>0</v>
          </cell>
          <cell r="EA234" t="str">
            <v/>
          </cell>
          <cell r="EC234">
            <v>0</v>
          </cell>
          <cell r="ED234" t="str">
            <v/>
          </cell>
          <cell r="EF234">
            <v>0</v>
          </cell>
          <cell r="EG234" t="str">
            <v/>
          </cell>
          <cell r="EI234">
            <v>0</v>
          </cell>
          <cell r="EJ234" t="str">
            <v/>
          </cell>
          <cell r="EL234">
            <v>0</v>
          </cell>
          <cell r="EM234" t="str">
            <v/>
          </cell>
          <cell r="EO234">
            <v>0</v>
          </cell>
          <cell r="EP234" t="str">
            <v/>
          </cell>
          <cell r="ER234">
            <v>0</v>
          </cell>
          <cell r="ES234" t="str">
            <v/>
          </cell>
          <cell r="EU234">
            <v>0</v>
          </cell>
          <cell r="EV234" t="str">
            <v/>
          </cell>
          <cell r="EX234">
            <v>0</v>
          </cell>
          <cell r="EY234" t="str">
            <v/>
          </cell>
          <cell r="FA234">
            <v>0</v>
          </cell>
          <cell r="FB234" t="str">
            <v/>
          </cell>
          <cell r="FD234">
            <v>0</v>
          </cell>
          <cell r="FE234" t="str">
            <v/>
          </cell>
          <cell r="FG234">
            <v>0</v>
          </cell>
          <cell r="FH234" t="str">
            <v/>
          </cell>
          <cell r="FJ234">
            <v>0</v>
          </cell>
          <cell r="FK234" t="str">
            <v/>
          </cell>
          <cell r="FM234">
            <v>0</v>
          </cell>
          <cell r="FN234" t="str">
            <v/>
          </cell>
          <cell r="FP234">
            <v>0</v>
          </cell>
          <cell r="FQ234" t="str">
            <v/>
          </cell>
          <cell r="FS234">
            <v>0</v>
          </cell>
          <cell r="FT234" t="str">
            <v/>
          </cell>
          <cell r="FV234">
            <v>0</v>
          </cell>
          <cell r="FW234" t="str">
            <v/>
          </cell>
          <cell r="FY234">
            <v>0</v>
          </cell>
          <cell r="FZ234" t="str">
            <v/>
          </cell>
          <cell r="GB234">
            <v>7.9799999999999996E-2</v>
          </cell>
          <cell r="GC234">
            <v>43546.365914786969</v>
          </cell>
          <cell r="GE234">
            <v>0</v>
          </cell>
          <cell r="GF234" t="str">
            <v/>
          </cell>
          <cell r="GH234">
            <v>0</v>
          </cell>
          <cell r="GI234" t="str">
            <v/>
          </cell>
          <cell r="GK234">
            <v>0.1</v>
          </cell>
          <cell r="GL234">
            <v>51040</v>
          </cell>
          <cell r="GN234">
            <v>0</v>
          </cell>
          <cell r="GO234" t="str">
            <v/>
          </cell>
          <cell r="GQ234">
            <v>0</v>
          </cell>
          <cell r="GR234" t="str">
            <v/>
          </cell>
          <cell r="GT234">
            <v>0</v>
          </cell>
          <cell r="GU234" t="str">
            <v/>
          </cell>
          <cell r="GW234">
            <v>0</v>
          </cell>
          <cell r="GX234" t="str">
            <v/>
          </cell>
          <cell r="GZ234">
            <v>0</v>
          </cell>
          <cell r="HA234" t="str">
            <v/>
          </cell>
          <cell r="HC234">
            <v>0</v>
          </cell>
          <cell r="HD234" t="str">
            <v/>
          </cell>
          <cell r="HF234">
            <v>0.22500000000000001</v>
          </cell>
          <cell r="HG234">
            <v>37857.777777777774</v>
          </cell>
          <cell r="HI234">
            <v>0</v>
          </cell>
          <cell r="HJ234" t="str">
            <v/>
          </cell>
          <cell r="HL234">
            <v>0</v>
          </cell>
          <cell r="HM234" t="str">
            <v/>
          </cell>
          <cell r="HO234">
            <v>7.4999999999999997E-2</v>
          </cell>
          <cell r="HP234">
            <v>41893.333333333336</v>
          </cell>
          <cell r="HR234">
            <v>0</v>
          </cell>
          <cell r="HS234" t="str">
            <v/>
          </cell>
          <cell r="HU234">
            <v>0</v>
          </cell>
          <cell r="HV234" t="str">
            <v/>
          </cell>
        </row>
        <row r="235">
          <cell r="DQ235">
            <v>0.5</v>
          </cell>
          <cell r="DR235">
            <v>34072</v>
          </cell>
          <cell r="DT235">
            <v>0.5</v>
          </cell>
          <cell r="DU235">
            <v>61322</v>
          </cell>
          <cell r="DW235">
            <v>0</v>
          </cell>
          <cell r="DX235" t="str">
            <v/>
          </cell>
          <cell r="DZ235">
            <v>0</v>
          </cell>
          <cell r="EA235" t="str">
            <v/>
          </cell>
          <cell r="EC235">
            <v>0</v>
          </cell>
          <cell r="ED235" t="str">
            <v/>
          </cell>
          <cell r="EF235">
            <v>0</v>
          </cell>
          <cell r="EG235" t="str">
            <v/>
          </cell>
          <cell r="EI235">
            <v>0</v>
          </cell>
          <cell r="EJ235" t="str">
            <v/>
          </cell>
          <cell r="EL235">
            <v>0</v>
          </cell>
          <cell r="EM235" t="str">
            <v/>
          </cell>
          <cell r="EO235">
            <v>0</v>
          </cell>
          <cell r="EP235" t="str">
            <v/>
          </cell>
          <cell r="ER235">
            <v>0</v>
          </cell>
          <cell r="ES235" t="str">
            <v/>
          </cell>
          <cell r="EU235">
            <v>0</v>
          </cell>
          <cell r="EV235" t="str">
            <v/>
          </cell>
          <cell r="EX235">
            <v>0</v>
          </cell>
          <cell r="EY235" t="str">
            <v/>
          </cell>
          <cell r="FA235">
            <v>0</v>
          </cell>
          <cell r="FB235" t="str">
            <v/>
          </cell>
          <cell r="FD235">
            <v>0</v>
          </cell>
          <cell r="FE235" t="str">
            <v/>
          </cell>
          <cell r="FG235">
            <v>0</v>
          </cell>
          <cell r="FH235" t="str">
            <v/>
          </cell>
          <cell r="FJ235">
            <v>0</v>
          </cell>
          <cell r="FK235" t="str">
            <v/>
          </cell>
          <cell r="FM235">
            <v>0</v>
          </cell>
          <cell r="FN235" t="str">
            <v/>
          </cell>
          <cell r="FP235">
            <v>0</v>
          </cell>
          <cell r="FQ235" t="str">
            <v/>
          </cell>
          <cell r="FS235">
            <v>0</v>
          </cell>
          <cell r="FT235" t="str">
            <v/>
          </cell>
          <cell r="FV235">
            <v>0</v>
          </cell>
          <cell r="FW235" t="str">
            <v/>
          </cell>
          <cell r="FY235">
            <v>0</v>
          </cell>
          <cell r="FZ235" t="str">
            <v/>
          </cell>
          <cell r="GB235">
            <v>0</v>
          </cell>
          <cell r="GC235" t="str">
            <v/>
          </cell>
          <cell r="GE235">
            <v>0</v>
          </cell>
          <cell r="GF235" t="str">
            <v/>
          </cell>
          <cell r="GH235">
            <v>0</v>
          </cell>
          <cell r="GI235" t="str">
            <v/>
          </cell>
          <cell r="GK235">
            <v>0</v>
          </cell>
          <cell r="GL235" t="str">
            <v/>
          </cell>
          <cell r="GN235">
            <v>0</v>
          </cell>
          <cell r="GO235" t="str">
            <v/>
          </cell>
          <cell r="GQ235">
            <v>0</v>
          </cell>
          <cell r="GR235" t="str">
            <v/>
          </cell>
          <cell r="GT235">
            <v>0</v>
          </cell>
          <cell r="GU235" t="str">
            <v/>
          </cell>
          <cell r="GW235">
            <v>0</v>
          </cell>
          <cell r="GX235" t="str">
            <v/>
          </cell>
          <cell r="GZ235">
            <v>0</v>
          </cell>
          <cell r="HA235" t="str">
            <v/>
          </cell>
          <cell r="HC235">
            <v>0</v>
          </cell>
          <cell r="HD235" t="str">
            <v/>
          </cell>
          <cell r="HF235">
            <v>0</v>
          </cell>
          <cell r="HG235" t="str">
            <v/>
          </cell>
          <cell r="HI235">
            <v>0</v>
          </cell>
          <cell r="HJ235" t="str">
            <v/>
          </cell>
          <cell r="HL235">
            <v>9</v>
          </cell>
          <cell r="HM235">
            <v>22880</v>
          </cell>
          <cell r="HO235">
            <v>0.8</v>
          </cell>
          <cell r="HP235">
            <v>22880</v>
          </cell>
          <cell r="HR235">
            <v>0</v>
          </cell>
          <cell r="HS235" t="str">
            <v/>
          </cell>
          <cell r="HU235">
            <v>0.3</v>
          </cell>
          <cell r="HV235">
            <v>96346.666666666672</v>
          </cell>
        </row>
        <row r="236">
          <cell r="DQ236">
            <v>8.9999999999999998E-4</v>
          </cell>
          <cell r="DR236">
            <v>143333.33333333334</v>
          </cell>
          <cell r="DT236">
            <v>6.1999999999999998E-3</v>
          </cell>
          <cell r="DU236">
            <v>67903.225806451621</v>
          </cell>
          <cell r="DW236">
            <v>1.17E-2</v>
          </cell>
          <cell r="DX236">
            <v>37435.897435897437</v>
          </cell>
          <cell r="DZ236">
            <v>0</v>
          </cell>
          <cell r="EA236" t="str">
            <v/>
          </cell>
          <cell r="EC236">
            <v>0</v>
          </cell>
          <cell r="ED236" t="str">
            <v/>
          </cell>
          <cell r="EF236">
            <v>0</v>
          </cell>
          <cell r="EG236" t="str">
            <v/>
          </cell>
          <cell r="EI236">
            <v>0</v>
          </cell>
          <cell r="EJ236" t="str">
            <v/>
          </cell>
          <cell r="EL236">
            <v>1.4E-3</v>
          </cell>
          <cell r="EM236">
            <v>77857.142857142855</v>
          </cell>
          <cell r="EO236">
            <v>0</v>
          </cell>
          <cell r="EP236" t="str">
            <v/>
          </cell>
          <cell r="ER236">
            <v>0</v>
          </cell>
          <cell r="ES236" t="str">
            <v/>
          </cell>
          <cell r="EU236">
            <v>0</v>
          </cell>
          <cell r="EV236" t="str">
            <v/>
          </cell>
          <cell r="EX236">
            <v>0</v>
          </cell>
          <cell r="EY236" t="str">
            <v/>
          </cell>
          <cell r="FA236">
            <v>0</v>
          </cell>
          <cell r="FB236" t="str">
            <v/>
          </cell>
          <cell r="FD236">
            <v>0</v>
          </cell>
          <cell r="FE236" t="str">
            <v/>
          </cell>
          <cell r="FG236">
            <v>0</v>
          </cell>
          <cell r="FH236" t="str">
            <v/>
          </cell>
          <cell r="FJ236">
            <v>0</v>
          </cell>
          <cell r="FK236" t="str">
            <v/>
          </cell>
          <cell r="FM236">
            <v>0</v>
          </cell>
          <cell r="FN236" t="str">
            <v/>
          </cell>
          <cell r="FP236">
            <v>0</v>
          </cell>
          <cell r="FQ236" t="str">
            <v/>
          </cell>
          <cell r="FS236">
            <v>0</v>
          </cell>
          <cell r="FT236" t="str">
            <v/>
          </cell>
          <cell r="FV236">
            <v>0</v>
          </cell>
          <cell r="FW236" t="str">
            <v/>
          </cell>
          <cell r="FY236">
            <v>0</v>
          </cell>
          <cell r="FZ236" t="str">
            <v/>
          </cell>
          <cell r="GB236">
            <v>1.5E-3</v>
          </cell>
          <cell r="GC236">
            <v>54666.666666666664</v>
          </cell>
          <cell r="GE236">
            <v>0</v>
          </cell>
          <cell r="GF236" t="str">
            <v/>
          </cell>
          <cell r="GH236">
            <v>0</v>
          </cell>
          <cell r="GI236" t="str">
            <v/>
          </cell>
          <cell r="GK236">
            <v>0</v>
          </cell>
          <cell r="GL236" t="str">
            <v/>
          </cell>
          <cell r="GN236">
            <v>0</v>
          </cell>
          <cell r="GO236" t="str">
            <v/>
          </cell>
          <cell r="GQ236">
            <v>0</v>
          </cell>
          <cell r="GR236" t="str">
            <v/>
          </cell>
          <cell r="GT236">
            <v>0</v>
          </cell>
          <cell r="GU236" t="str">
            <v/>
          </cell>
          <cell r="GW236">
            <v>0</v>
          </cell>
          <cell r="GX236" t="str">
            <v/>
          </cell>
          <cell r="GZ236">
            <v>0</v>
          </cell>
          <cell r="HA236" t="str">
            <v/>
          </cell>
          <cell r="HC236">
            <v>2.3800000000000002E-2</v>
          </cell>
          <cell r="HD236">
            <v>47731.092436974788</v>
          </cell>
          <cell r="HF236">
            <v>0</v>
          </cell>
          <cell r="HG236" t="str">
            <v/>
          </cell>
          <cell r="HI236">
            <v>0.2407</v>
          </cell>
          <cell r="HJ236">
            <v>31292.064810968011</v>
          </cell>
          <cell r="HL236">
            <v>0</v>
          </cell>
          <cell r="HM236" t="str">
            <v/>
          </cell>
          <cell r="HO236">
            <v>4.0000000000000002E-4</v>
          </cell>
          <cell r="HP236">
            <v>35000</v>
          </cell>
          <cell r="HR236">
            <v>0</v>
          </cell>
          <cell r="HS236" t="str">
            <v/>
          </cell>
          <cell r="HU236">
            <v>0</v>
          </cell>
          <cell r="HV236" t="str">
            <v/>
          </cell>
        </row>
        <row r="237">
          <cell r="DQ237">
            <v>4.8999999999999998E-3</v>
          </cell>
          <cell r="DR237">
            <v>138367.3469387755</v>
          </cell>
          <cell r="DT237">
            <v>0</v>
          </cell>
          <cell r="DU237" t="str">
            <v/>
          </cell>
          <cell r="DW237">
            <v>0</v>
          </cell>
          <cell r="DX237" t="str">
            <v/>
          </cell>
          <cell r="DZ237">
            <v>0</v>
          </cell>
          <cell r="EA237" t="str">
            <v/>
          </cell>
          <cell r="EC237">
            <v>0</v>
          </cell>
          <cell r="ED237" t="str">
            <v/>
          </cell>
          <cell r="EF237">
            <v>0</v>
          </cell>
          <cell r="EG237" t="str">
            <v/>
          </cell>
          <cell r="EI237">
            <v>0</v>
          </cell>
          <cell r="EJ237" t="str">
            <v/>
          </cell>
          <cell r="EL237">
            <v>0</v>
          </cell>
          <cell r="EM237" t="str">
            <v/>
          </cell>
          <cell r="EO237">
            <v>0</v>
          </cell>
          <cell r="EP237" t="str">
            <v/>
          </cell>
          <cell r="ER237">
            <v>0</v>
          </cell>
          <cell r="ES237" t="str">
            <v/>
          </cell>
          <cell r="EU237">
            <v>0</v>
          </cell>
          <cell r="EV237" t="str">
            <v/>
          </cell>
          <cell r="EX237">
            <v>0</v>
          </cell>
          <cell r="EY237" t="str">
            <v/>
          </cell>
          <cell r="FA237">
            <v>0</v>
          </cell>
          <cell r="FB237" t="str">
            <v/>
          </cell>
          <cell r="FD237">
            <v>0</v>
          </cell>
          <cell r="FE237" t="str">
            <v/>
          </cell>
          <cell r="FG237">
            <v>0</v>
          </cell>
          <cell r="FH237" t="str">
            <v/>
          </cell>
          <cell r="FJ237">
            <v>0</v>
          </cell>
          <cell r="FK237" t="str">
            <v/>
          </cell>
          <cell r="FM237">
            <v>0</v>
          </cell>
          <cell r="FN237" t="str">
            <v/>
          </cell>
          <cell r="FP237">
            <v>0</v>
          </cell>
          <cell r="FQ237" t="str">
            <v/>
          </cell>
          <cell r="FS237">
            <v>0</v>
          </cell>
          <cell r="FT237" t="str">
            <v/>
          </cell>
          <cell r="FV237">
            <v>0</v>
          </cell>
          <cell r="FW237" t="str">
            <v/>
          </cell>
          <cell r="FY237">
            <v>0</v>
          </cell>
          <cell r="FZ237" t="str">
            <v/>
          </cell>
          <cell r="GB237">
            <v>0</v>
          </cell>
          <cell r="GC237" t="str">
            <v/>
          </cell>
          <cell r="GE237">
            <v>0</v>
          </cell>
          <cell r="GF237" t="str">
            <v/>
          </cell>
          <cell r="GH237">
            <v>0</v>
          </cell>
          <cell r="GI237" t="str">
            <v/>
          </cell>
          <cell r="GK237">
            <v>0</v>
          </cell>
          <cell r="GL237" t="str">
            <v/>
          </cell>
          <cell r="GN237">
            <v>0</v>
          </cell>
          <cell r="GO237" t="str">
            <v/>
          </cell>
          <cell r="GQ237">
            <v>0</v>
          </cell>
          <cell r="GR237" t="str">
            <v/>
          </cell>
          <cell r="GT237">
            <v>0</v>
          </cell>
          <cell r="GU237" t="str">
            <v/>
          </cell>
          <cell r="GW237">
            <v>0</v>
          </cell>
          <cell r="GX237" t="str">
            <v/>
          </cell>
          <cell r="GZ237">
            <v>0</v>
          </cell>
          <cell r="HA237" t="str">
            <v/>
          </cell>
          <cell r="HC237">
            <v>0</v>
          </cell>
          <cell r="HD237" t="str">
            <v/>
          </cell>
          <cell r="HF237">
            <v>0</v>
          </cell>
          <cell r="HG237" t="str">
            <v/>
          </cell>
          <cell r="HI237">
            <v>0</v>
          </cell>
          <cell r="HJ237" t="str">
            <v/>
          </cell>
          <cell r="HL237">
            <v>0</v>
          </cell>
          <cell r="HM237" t="str">
            <v/>
          </cell>
          <cell r="HO237">
            <v>2.3E-3</v>
          </cell>
          <cell r="HP237">
            <v>30869.565217391304</v>
          </cell>
          <cell r="HR237">
            <v>0</v>
          </cell>
          <cell r="HS237" t="str">
            <v/>
          </cell>
          <cell r="HU237">
            <v>0</v>
          </cell>
          <cell r="HV237" t="str">
            <v/>
          </cell>
        </row>
        <row r="238">
          <cell r="DQ238">
            <v>2.5481481481481501E-3</v>
          </cell>
          <cell r="DR238">
            <v>67499.999999999942</v>
          </cell>
          <cell r="DT238">
            <v>0</v>
          </cell>
          <cell r="DU238" t="str">
            <v/>
          </cell>
          <cell r="DW238">
            <v>0</v>
          </cell>
          <cell r="DX238" t="str">
            <v/>
          </cell>
          <cell r="DZ238">
            <v>1.9400000000000001E-3</v>
          </cell>
          <cell r="EA238">
            <v>50000</v>
          </cell>
          <cell r="EC238">
            <v>0</v>
          </cell>
          <cell r="ED238" t="str">
            <v/>
          </cell>
          <cell r="EF238">
            <v>0</v>
          </cell>
          <cell r="EG238" t="str">
            <v/>
          </cell>
          <cell r="EI238">
            <v>0</v>
          </cell>
          <cell r="EJ238" t="str">
            <v/>
          </cell>
          <cell r="EL238">
            <v>1.2600000000000001E-3</v>
          </cell>
          <cell r="EM238">
            <v>50000</v>
          </cell>
          <cell r="EO238">
            <v>0</v>
          </cell>
          <cell r="EP238" t="str">
            <v/>
          </cell>
          <cell r="ER238">
            <v>0</v>
          </cell>
          <cell r="ES238" t="str">
            <v/>
          </cell>
          <cell r="EU238">
            <v>0</v>
          </cell>
          <cell r="EV238" t="str">
            <v/>
          </cell>
          <cell r="EX238">
            <v>0</v>
          </cell>
          <cell r="EY238" t="str">
            <v/>
          </cell>
          <cell r="FA238">
            <v>0</v>
          </cell>
          <cell r="FB238" t="str">
            <v/>
          </cell>
          <cell r="FD238">
            <v>0</v>
          </cell>
          <cell r="FE238" t="str">
            <v/>
          </cell>
          <cell r="FG238">
            <v>0</v>
          </cell>
          <cell r="FH238" t="str">
            <v/>
          </cell>
          <cell r="FJ238">
            <v>0</v>
          </cell>
          <cell r="FK238" t="str">
            <v/>
          </cell>
          <cell r="FM238">
            <v>0</v>
          </cell>
          <cell r="FN238" t="str">
            <v/>
          </cell>
          <cell r="FP238">
            <v>0</v>
          </cell>
          <cell r="FQ238" t="str">
            <v/>
          </cell>
          <cell r="FS238">
            <v>0</v>
          </cell>
          <cell r="FT238" t="str">
            <v/>
          </cell>
          <cell r="FV238">
            <v>0</v>
          </cell>
          <cell r="FW238" t="str">
            <v/>
          </cell>
          <cell r="FY238">
            <v>0</v>
          </cell>
          <cell r="FZ238" t="str">
            <v/>
          </cell>
          <cell r="GB238">
            <v>0</v>
          </cell>
          <cell r="GC238" t="str">
            <v/>
          </cell>
          <cell r="GE238">
            <v>0</v>
          </cell>
          <cell r="GF238" t="str">
            <v/>
          </cell>
          <cell r="GH238">
            <v>0</v>
          </cell>
          <cell r="GI238" t="str">
            <v/>
          </cell>
          <cell r="GK238">
            <v>0</v>
          </cell>
          <cell r="GL238" t="str">
            <v/>
          </cell>
          <cell r="GN238">
            <v>0</v>
          </cell>
          <cell r="GO238" t="str">
            <v/>
          </cell>
          <cell r="GQ238">
            <v>0</v>
          </cell>
          <cell r="GR238" t="str">
            <v/>
          </cell>
          <cell r="GT238">
            <v>0</v>
          </cell>
          <cell r="GU238" t="str">
            <v/>
          </cell>
          <cell r="GW238">
            <v>0</v>
          </cell>
          <cell r="GX238" t="str">
            <v/>
          </cell>
          <cell r="GZ238">
            <v>0</v>
          </cell>
          <cell r="HA238" t="str">
            <v/>
          </cell>
          <cell r="HC238">
            <v>2.444E-2</v>
          </cell>
          <cell r="HD238">
            <v>50000</v>
          </cell>
          <cell r="HF238">
            <v>0</v>
          </cell>
          <cell r="HG238" t="str">
            <v/>
          </cell>
          <cell r="HI238">
            <v>0</v>
          </cell>
          <cell r="HJ238" t="str">
            <v/>
          </cell>
          <cell r="HL238">
            <v>2.0000000000000002E-5</v>
          </cell>
          <cell r="HM238">
            <v>49999.999999999993</v>
          </cell>
          <cell r="HO238">
            <v>0</v>
          </cell>
          <cell r="HP238" t="str">
            <v/>
          </cell>
          <cell r="HR238">
            <v>0</v>
          </cell>
          <cell r="HS238" t="str">
            <v/>
          </cell>
          <cell r="HU238">
            <v>0</v>
          </cell>
          <cell r="HV238" t="str">
            <v/>
          </cell>
        </row>
        <row r="239">
          <cell r="DQ239">
            <v>5.3185185185185202E-3</v>
          </cell>
          <cell r="DR239">
            <v>67499.999999999985</v>
          </cell>
          <cell r="DT239">
            <v>0</v>
          </cell>
          <cell r="DU239" t="str">
            <v/>
          </cell>
          <cell r="DW239">
            <v>0</v>
          </cell>
          <cell r="DX239" t="str">
            <v/>
          </cell>
          <cell r="DZ239">
            <v>4.0400000000000002E-3</v>
          </cell>
          <cell r="EA239">
            <v>50000</v>
          </cell>
          <cell r="EC239">
            <v>0</v>
          </cell>
          <cell r="ED239" t="str">
            <v/>
          </cell>
          <cell r="EF239">
            <v>0</v>
          </cell>
          <cell r="EG239" t="str">
            <v/>
          </cell>
          <cell r="EI239">
            <v>0</v>
          </cell>
          <cell r="EJ239" t="str">
            <v/>
          </cell>
          <cell r="EL239">
            <v>2.64E-3</v>
          </cell>
          <cell r="EM239">
            <v>50000</v>
          </cell>
          <cell r="EO239">
            <v>0</v>
          </cell>
          <cell r="EP239" t="str">
            <v/>
          </cell>
          <cell r="ER239">
            <v>0</v>
          </cell>
          <cell r="ES239" t="str">
            <v/>
          </cell>
          <cell r="EU239">
            <v>0</v>
          </cell>
          <cell r="EV239" t="str">
            <v/>
          </cell>
          <cell r="EX239">
            <v>0</v>
          </cell>
          <cell r="EY239" t="str">
            <v/>
          </cell>
          <cell r="FA239">
            <v>0</v>
          </cell>
          <cell r="FB239" t="str">
            <v/>
          </cell>
          <cell r="FD239">
            <v>0</v>
          </cell>
          <cell r="FE239" t="str">
            <v/>
          </cell>
          <cell r="FG239">
            <v>0</v>
          </cell>
          <cell r="FH239" t="str">
            <v/>
          </cell>
          <cell r="FJ239">
            <v>0</v>
          </cell>
          <cell r="FK239" t="str">
            <v/>
          </cell>
          <cell r="FM239">
            <v>0</v>
          </cell>
          <cell r="FN239" t="str">
            <v/>
          </cell>
          <cell r="FP239">
            <v>0</v>
          </cell>
          <cell r="FQ239" t="str">
            <v/>
          </cell>
          <cell r="FS239">
            <v>0</v>
          </cell>
          <cell r="FT239" t="str">
            <v/>
          </cell>
          <cell r="FV239">
            <v>0</v>
          </cell>
          <cell r="FW239" t="str">
            <v/>
          </cell>
          <cell r="FY239">
            <v>0</v>
          </cell>
          <cell r="FZ239" t="str">
            <v/>
          </cell>
          <cell r="GB239">
            <v>0</v>
          </cell>
          <cell r="GC239" t="str">
            <v/>
          </cell>
          <cell r="GE239">
            <v>0</v>
          </cell>
          <cell r="GF239" t="str">
            <v/>
          </cell>
          <cell r="GH239">
            <v>0</v>
          </cell>
          <cell r="GI239" t="str">
            <v/>
          </cell>
          <cell r="GK239">
            <v>0</v>
          </cell>
          <cell r="GL239" t="str">
            <v/>
          </cell>
          <cell r="GN239">
            <v>0</v>
          </cell>
          <cell r="GO239" t="str">
            <v/>
          </cell>
          <cell r="GQ239">
            <v>0</v>
          </cell>
          <cell r="GR239" t="str">
            <v/>
          </cell>
          <cell r="GT239">
            <v>0</v>
          </cell>
          <cell r="GU239" t="str">
            <v/>
          </cell>
          <cell r="GW239">
            <v>0</v>
          </cell>
          <cell r="GX239" t="str">
            <v/>
          </cell>
          <cell r="GZ239">
            <v>0</v>
          </cell>
          <cell r="HA239" t="str">
            <v/>
          </cell>
          <cell r="HC239">
            <v>5.108E-2</v>
          </cell>
          <cell r="HD239">
            <v>50000</v>
          </cell>
          <cell r="HF239">
            <v>0</v>
          </cell>
          <cell r="HG239" t="str">
            <v/>
          </cell>
          <cell r="HI239">
            <v>0</v>
          </cell>
          <cell r="HJ239" t="str">
            <v/>
          </cell>
          <cell r="HL239">
            <v>6.0000000000000002E-5</v>
          </cell>
          <cell r="HM239">
            <v>50000</v>
          </cell>
          <cell r="HO239">
            <v>0</v>
          </cell>
          <cell r="HP239" t="str">
            <v/>
          </cell>
          <cell r="HR239">
            <v>0</v>
          </cell>
          <cell r="HS239" t="str">
            <v/>
          </cell>
          <cell r="HU239">
            <v>0</v>
          </cell>
          <cell r="HV239" t="str">
            <v/>
          </cell>
        </row>
        <row r="240">
          <cell r="DQ240">
            <v>2.9066666666666699E-2</v>
          </cell>
          <cell r="DR240">
            <v>67499.999999999927</v>
          </cell>
          <cell r="DT240">
            <v>0</v>
          </cell>
          <cell r="DU240" t="str">
            <v/>
          </cell>
          <cell r="DW240">
            <v>0</v>
          </cell>
          <cell r="DX240" t="str">
            <v/>
          </cell>
          <cell r="DZ240">
            <v>2.2120000000000001E-2</v>
          </cell>
          <cell r="EA240">
            <v>50000</v>
          </cell>
          <cell r="EC240">
            <v>0</v>
          </cell>
          <cell r="ED240" t="str">
            <v/>
          </cell>
          <cell r="EF240">
            <v>0</v>
          </cell>
          <cell r="EG240" t="str">
            <v/>
          </cell>
          <cell r="EI240">
            <v>0</v>
          </cell>
          <cell r="EJ240" t="str">
            <v/>
          </cell>
          <cell r="EL240">
            <v>1.448E-2</v>
          </cell>
          <cell r="EM240">
            <v>50000</v>
          </cell>
          <cell r="EO240">
            <v>0</v>
          </cell>
          <cell r="EP240" t="str">
            <v/>
          </cell>
          <cell r="ER240">
            <v>0</v>
          </cell>
          <cell r="ES240" t="str">
            <v/>
          </cell>
          <cell r="EU240">
            <v>0</v>
          </cell>
          <cell r="EV240" t="str">
            <v/>
          </cell>
          <cell r="EX240">
            <v>0</v>
          </cell>
          <cell r="EY240" t="str">
            <v/>
          </cell>
          <cell r="FA240">
            <v>0</v>
          </cell>
          <cell r="FB240" t="str">
            <v/>
          </cell>
          <cell r="FD240">
            <v>0</v>
          </cell>
          <cell r="FE240" t="str">
            <v/>
          </cell>
          <cell r="FG240">
            <v>0</v>
          </cell>
          <cell r="FH240" t="str">
            <v/>
          </cell>
          <cell r="FJ240">
            <v>0</v>
          </cell>
          <cell r="FK240" t="str">
            <v/>
          </cell>
          <cell r="FM240">
            <v>0</v>
          </cell>
          <cell r="FN240" t="str">
            <v/>
          </cell>
          <cell r="FP240">
            <v>0</v>
          </cell>
          <cell r="FQ240" t="str">
            <v/>
          </cell>
          <cell r="FS240">
            <v>0</v>
          </cell>
          <cell r="FT240" t="str">
            <v/>
          </cell>
          <cell r="FV240">
            <v>0</v>
          </cell>
          <cell r="FW240" t="str">
            <v/>
          </cell>
          <cell r="FY240">
            <v>0</v>
          </cell>
          <cell r="FZ240" t="str">
            <v/>
          </cell>
          <cell r="GB240">
            <v>0</v>
          </cell>
          <cell r="GC240" t="str">
            <v/>
          </cell>
          <cell r="GE240">
            <v>0</v>
          </cell>
          <cell r="GF240" t="str">
            <v/>
          </cell>
          <cell r="GH240">
            <v>0</v>
          </cell>
          <cell r="GI240" t="str">
            <v/>
          </cell>
          <cell r="GK240">
            <v>0</v>
          </cell>
          <cell r="GL240" t="str">
            <v/>
          </cell>
          <cell r="GN240">
            <v>0</v>
          </cell>
          <cell r="GO240" t="str">
            <v/>
          </cell>
          <cell r="GQ240">
            <v>0</v>
          </cell>
          <cell r="GR240" t="str">
            <v/>
          </cell>
          <cell r="GT240">
            <v>0</v>
          </cell>
          <cell r="GU240" t="str">
            <v/>
          </cell>
          <cell r="GW240">
            <v>0</v>
          </cell>
          <cell r="GX240" t="str">
            <v/>
          </cell>
          <cell r="GZ240">
            <v>0</v>
          </cell>
          <cell r="HA240" t="str">
            <v/>
          </cell>
          <cell r="HC240">
            <v>0.2792</v>
          </cell>
          <cell r="HD240">
            <v>50000</v>
          </cell>
          <cell r="HF240">
            <v>0</v>
          </cell>
          <cell r="HG240" t="str">
            <v/>
          </cell>
          <cell r="HI240">
            <v>0</v>
          </cell>
          <cell r="HJ240" t="str">
            <v/>
          </cell>
          <cell r="HL240">
            <v>3.2000000000000003E-4</v>
          </cell>
          <cell r="HM240">
            <v>49999.999999999993</v>
          </cell>
          <cell r="HO240">
            <v>0</v>
          </cell>
          <cell r="HP240" t="str">
            <v/>
          </cell>
          <cell r="HR240">
            <v>0</v>
          </cell>
          <cell r="HS240" t="str">
            <v/>
          </cell>
          <cell r="HU240">
            <v>0</v>
          </cell>
          <cell r="HV240" t="str">
            <v/>
          </cell>
        </row>
        <row r="241">
          <cell r="DQ241">
            <v>5.91111111111111E-2</v>
          </cell>
          <cell r="DR241">
            <v>67500.000000000015</v>
          </cell>
          <cell r="DT241">
            <v>0</v>
          </cell>
          <cell r="DU241" t="str">
            <v/>
          </cell>
          <cell r="DW241">
            <v>0</v>
          </cell>
          <cell r="DX241" t="str">
            <v/>
          </cell>
          <cell r="DZ241">
            <v>4.5019999999999998E-2</v>
          </cell>
          <cell r="EA241">
            <v>50000</v>
          </cell>
          <cell r="EC241">
            <v>0</v>
          </cell>
          <cell r="ED241" t="str">
            <v/>
          </cell>
          <cell r="EF241">
            <v>0</v>
          </cell>
          <cell r="EG241" t="str">
            <v/>
          </cell>
          <cell r="EI241">
            <v>0</v>
          </cell>
          <cell r="EJ241" t="str">
            <v/>
          </cell>
          <cell r="EL241">
            <v>2.9440000000000001E-2</v>
          </cell>
          <cell r="EM241">
            <v>50000</v>
          </cell>
          <cell r="EO241">
            <v>0</v>
          </cell>
          <cell r="EP241" t="str">
            <v/>
          </cell>
          <cell r="ER241">
            <v>0</v>
          </cell>
          <cell r="ES241" t="str">
            <v/>
          </cell>
          <cell r="EU241">
            <v>0</v>
          </cell>
          <cell r="EV241" t="str">
            <v/>
          </cell>
          <cell r="EX241">
            <v>0</v>
          </cell>
          <cell r="EY241" t="str">
            <v/>
          </cell>
          <cell r="FA241">
            <v>0</v>
          </cell>
          <cell r="FB241" t="str">
            <v/>
          </cell>
          <cell r="FD241">
            <v>0</v>
          </cell>
          <cell r="FE241" t="str">
            <v/>
          </cell>
          <cell r="FG241">
            <v>0</v>
          </cell>
          <cell r="FH241" t="str">
            <v/>
          </cell>
          <cell r="FJ241">
            <v>0</v>
          </cell>
          <cell r="FK241" t="str">
            <v/>
          </cell>
          <cell r="FM241">
            <v>0</v>
          </cell>
          <cell r="FN241" t="str">
            <v/>
          </cell>
          <cell r="FP241">
            <v>0</v>
          </cell>
          <cell r="FQ241" t="str">
            <v/>
          </cell>
          <cell r="FS241">
            <v>0</v>
          </cell>
          <cell r="FT241" t="str">
            <v/>
          </cell>
          <cell r="FV241">
            <v>0</v>
          </cell>
          <cell r="FW241" t="str">
            <v/>
          </cell>
          <cell r="FY241">
            <v>0</v>
          </cell>
          <cell r="FZ241" t="str">
            <v/>
          </cell>
          <cell r="GB241">
            <v>0</v>
          </cell>
          <cell r="GC241" t="str">
            <v/>
          </cell>
          <cell r="GE241">
            <v>0</v>
          </cell>
          <cell r="GF241" t="str">
            <v/>
          </cell>
          <cell r="GH241">
            <v>0</v>
          </cell>
          <cell r="GI241" t="str">
            <v/>
          </cell>
          <cell r="GK241">
            <v>0</v>
          </cell>
          <cell r="GL241" t="str">
            <v/>
          </cell>
          <cell r="GN241">
            <v>0</v>
          </cell>
          <cell r="GO241" t="str">
            <v/>
          </cell>
          <cell r="GQ241">
            <v>0</v>
          </cell>
          <cell r="GR241" t="str">
            <v/>
          </cell>
          <cell r="GT241">
            <v>0</v>
          </cell>
          <cell r="GU241" t="str">
            <v/>
          </cell>
          <cell r="GW241">
            <v>0</v>
          </cell>
          <cell r="GX241" t="str">
            <v/>
          </cell>
          <cell r="GZ241">
            <v>0</v>
          </cell>
          <cell r="HA241" t="str">
            <v/>
          </cell>
          <cell r="HC241">
            <v>0.56794</v>
          </cell>
          <cell r="HD241">
            <v>50000</v>
          </cell>
          <cell r="HF241">
            <v>0</v>
          </cell>
          <cell r="HG241" t="str">
            <v/>
          </cell>
          <cell r="HI241">
            <v>0</v>
          </cell>
          <cell r="HJ241" t="str">
            <v/>
          </cell>
          <cell r="HL241">
            <v>6.4000000000000005E-4</v>
          </cell>
          <cell r="HM241">
            <v>49999.999999999993</v>
          </cell>
          <cell r="HO241">
            <v>0</v>
          </cell>
          <cell r="HP241" t="str">
            <v/>
          </cell>
          <cell r="HR241">
            <v>0</v>
          </cell>
          <cell r="HS241" t="str">
            <v/>
          </cell>
          <cell r="HU241">
            <v>0</v>
          </cell>
          <cell r="HV241" t="str">
            <v/>
          </cell>
        </row>
        <row r="242">
          <cell r="DQ242">
            <v>1.4814814814814801E-4</v>
          </cell>
          <cell r="DR242">
            <v>67500.000000000058</v>
          </cell>
          <cell r="DT242">
            <v>0</v>
          </cell>
          <cell r="DU242" t="str">
            <v/>
          </cell>
          <cell r="DW242">
            <v>0</v>
          </cell>
          <cell r="DX242" t="str">
            <v/>
          </cell>
          <cell r="DZ242">
            <v>1.2E-4</v>
          </cell>
          <cell r="EA242">
            <v>50000</v>
          </cell>
          <cell r="EC242">
            <v>0</v>
          </cell>
          <cell r="ED242" t="str">
            <v/>
          </cell>
          <cell r="EF242">
            <v>0</v>
          </cell>
          <cell r="EG242" t="str">
            <v/>
          </cell>
          <cell r="EI242">
            <v>0</v>
          </cell>
          <cell r="EJ242" t="str">
            <v/>
          </cell>
          <cell r="EL242">
            <v>8.0000000000000007E-5</v>
          </cell>
          <cell r="EM242">
            <v>49999.999999999993</v>
          </cell>
          <cell r="EO242">
            <v>0</v>
          </cell>
          <cell r="EP242" t="str">
            <v/>
          </cell>
          <cell r="ER242">
            <v>0</v>
          </cell>
          <cell r="ES242" t="str">
            <v/>
          </cell>
          <cell r="EU242">
            <v>0</v>
          </cell>
          <cell r="EV242" t="str">
            <v/>
          </cell>
          <cell r="EX242">
            <v>0</v>
          </cell>
          <cell r="EY242" t="str">
            <v/>
          </cell>
          <cell r="FA242">
            <v>0</v>
          </cell>
          <cell r="FB242" t="str">
            <v/>
          </cell>
          <cell r="FD242">
            <v>0</v>
          </cell>
          <cell r="FE242" t="str">
            <v/>
          </cell>
          <cell r="FG242">
            <v>0</v>
          </cell>
          <cell r="FH242" t="str">
            <v/>
          </cell>
          <cell r="FJ242">
            <v>0</v>
          </cell>
          <cell r="FK242" t="str">
            <v/>
          </cell>
          <cell r="FM242">
            <v>0</v>
          </cell>
          <cell r="FN242" t="str">
            <v/>
          </cell>
          <cell r="FP242">
            <v>0</v>
          </cell>
          <cell r="FQ242" t="str">
            <v/>
          </cell>
          <cell r="FS242">
            <v>0</v>
          </cell>
          <cell r="FT242" t="str">
            <v/>
          </cell>
          <cell r="FV242">
            <v>0</v>
          </cell>
          <cell r="FW242" t="str">
            <v/>
          </cell>
          <cell r="FY242">
            <v>0</v>
          </cell>
          <cell r="FZ242" t="str">
            <v/>
          </cell>
          <cell r="GB242">
            <v>0</v>
          </cell>
          <cell r="GC242" t="str">
            <v/>
          </cell>
          <cell r="GE242">
            <v>0</v>
          </cell>
          <cell r="GF242" t="str">
            <v/>
          </cell>
          <cell r="GH242">
            <v>0</v>
          </cell>
          <cell r="GI242" t="str">
            <v/>
          </cell>
          <cell r="GK242">
            <v>0</v>
          </cell>
          <cell r="GL242" t="str">
            <v/>
          </cell>
          <cell r="GN242">
            <v>0</v>
          </cell>
          <cell r="GO242" t="str">
            <v/>
          </cell>
          <cell r="GQ242">
            <v>0</v>
          </cell>
          <cell r="GR242" t="str">
            <v/>
          </cell>
          <cell r="GT242">
            <v>0</v>
          </cell>
          <cell r="GU242" t="str">
            <v/>
          </cell>
          <cell r="GW242">
            <v>0</v>
          </cell>
          <cell r="GX242" t="str">
            <v/>
          </cell>
          <cell r="GZ242">
            <v>0</v>
          </cell>
          <cell r="HA242" t="str">
            <v/>
          </cell>
          <cell r="HC242">
            <v>1.3799999999999999E-3</v>
          </cell>
          <cell r="HD242">
            <v>50000</v>
          </cell>
          <cell r="HF242">
            <v>0</v>
          </cell>
          <cell r="HG242" t="str">
            <v/>
          </cell>
          <cell r="HI242">
            <v>0</v>
          </cell>
          <cell r="HJ242" t="str">
            <v/>
          </cell>
          <cell r="HL242">
            <v>0</v>
          </cell>
          <cell r="HM242" t="str">
            <v/>
          </cell>
          <cell r="HO242">
            <v>0</v>
          </cell>
          <cell r="HP242" t="str">
            <v/>
          </cell>
          <cell r="HR242">
            <v>0</v>
          </cell>
          <cell r="HS242" t="str">
            <v/>
          </cell>
          <cell r="HU242">
            <v>0</v>
          </cell>
          <cell r="HV242" t="str">
            <v/>
          </cell>
        </row>
        <row r="243">
          <cell r="DQ243">
            <v>3.3096296296296297E-2</v>
          </cell>
          <cell r="DR243">
            <v>67500</v>
          </cell>
          <cell r="DT243">
            <v>0</v>
          </cell>
          <cell r="DU243" t="str">
            <v/>
          </cell>
          <cell r="DW243">
            <v>0</v>
          </cell>
          <cell r="DX243" t="str">
            <v/>
          </cell>
          <cell r="DZ243">
            <v>2.52E-2</v>
          </cell>
          <cell r="EA243">
            <v>50000</v>
          </cell>
          <cell r="EC243">
            <v>0</v>
          </cell>
          <cell r="ED243" t="str">
            <v/>
          </cell>
          <cell r="EF243">
            <v>0</v>
          </cell>
          <cell r="EG243" t="str">
            <v/>
          </cell>
          <cell r="EI243">
            <v>0</v>
          </cell>
          <cell r="EJ243" t="str">
            <v/>
          </cell>
          <cell r="EL243">
            <v>1.6480000000000002E-2</v>
          </cell>
          <cell r="EM243">
            <v>49999.999999999993</v>
          </cell>
          <cell r="EO243">
            <v>0</v>
          </cell>
          <cell r="EP243" t="str">
            <v/>
          </cell>
          <cell r="ER243">
            <v>0</v>
          </cell>
          <cell r="ES243" t="str">
            <v/>
          </cell>
          <cell r="EU243">
            <v>0</v>
          </cell>
          <cell r="EV243" t="str">
            <v/>
          </cell>
          <cell r="EX243">
            <v>0</v>
          </cell>
          <cell r="EY243" t="str">
            <v/>
          </cell>
          <cell r="FA243">
            <v>0</v>
          </cell>
          <cell r="FB243" t="str">
            <v/>
          </cell>
          <cell r="FD243">
            <v>0</v>
          </cell>
          <cell r="FE243" t="str">
            <v/>
          </cell>
          <cell r="FG243">
            <v>0</v>
          </cell>
          <cell r="FH243" t="str">
            <v/>
          </cell>
          <cell r="FJ243">
            <v>0</v>
          </cell>
          <cell r="FK243" t="str">
            <v/>
          </cell>
          <cell r="FM243">
            <v>0</v>
          </cell>
          <cell r="FN243" t="str">
            <v/>
          </cell>
          <cell r="FP243">
            <v>0</v>
          </cell>
          <cell r="FQ243" t="str">
            <v/>
          </cell>
          <cell r="FS243">
            <v>0</v>
          </cell>
          <cell r="FT243" t="str">
            <v/>
          </cell>
          <cell r="FV243">
            <v>0</v>
          </cell>
          <cell r="FW243" t="str">
            <v/>
          </cell>
          <cell r="FY243">
            <v>0</v>
          </cell>
          <cell r="FZ243" t="str">
            <v/>
          </cell>
          <cell r="GB243">
            <v>0</v>
          </cell>
          <cell r="GC243" t="str">
            <v/>
          </cell>
          <cell r="GE243">
            <v>0</v>
          </cell>
          <cell r="GF243" t="str">
            <v/>
          </cell>
          <cell r="GH243">
            <v>0</v>
          </cell>
          <cell r="GI243" t="str">
            <v/>
          </cell>
          <cell r="GK243">
            <v>0</v>
          </cell>
          <cell r="GL243" t="str">
            <v/>
          </cell>
          <cell r="GN243">
            <v>0</v>
          </cell>
          <cell r="GO243" t="str">
            <v/>
          </cell>
          <cell r="GQ243">
            <v>0</v>
          </cell>
          <cell r="GR243" t="str">
            <v/>
          </cell>
          <cell r="GT243">
            <v>0</v>
          </cell>
          <cell r="GU243" t="str">
            <v/>
          </cell>
          <cell r="GW243">
            <v>0</v>
          </cell>
          <cell r="GX243" t="str">
            <v/>
          </cell>
          <cell r="GZ243">
            <v>0</v>
          </cell>
          <cell r="HA243" t="str">
            <v/>
          </cell>
          <cell r="HC243">
            <v>0.31796000000000002</v>
          </cell>
          <cell r="HD243">
            <v>50000</v>
          </cell>
          <cell r="HF243">
            <v>0</v>
          </cell>
          <cell r="HG243" t="str">
            <v/>
          </cell>
          <cell r="HI243">
            <v>0</v>
          </cell>
          <cell r="HJ243" t="str">
            <v/>
          </cell>
          <cell r="HL243">
            <v>3.6000000000000002E-4</v>
          </cell>
          <cell r="HM243">
            <v>50000</v>
          </cell>
          <cell r="HO243">
            <v>0</v>
          </cell>
          <cell r="HP243" t="str">
            <v/>
          </cell>
          <cell r="HR243">
            <v>0</v>
          </cell>
          <cell r="HS243" t="str">
            <v/>
          </cell>
          <cell r="HU243">
            <v>0</v>
          </cell>
          <cell r="HV243" t="str">
            <v/>
          </cell>
        </row>
        <row r="244">
          <cell r="DQ244">
            <v>8.1081481481481504E-2</v>
          </cell>
          <cell r="DR244">
            <v>67499.999999999985</v>
          </cell>
          <cell r="DT244">
            <v>0</v>
          </cell>
          <cell r="DU244" t="str">
            <v/>
          </cell>
          <cell r="DW244">
            <v>0</v>
          </cell>
          <cell r="DX244" t="str">
            <v/>
          </cell>
          <cell r="DZ244">
            <v>6.1740000000000003E-2</v>
          </cell>
          <cell r="EA244">
            <v>50000</v>
          </cell>
          <cell r="EC244">
            <v>0</v>
          </cell>
          <cell r="ED244" t="str">
            <v/>
          </cell>
          <cell r="EF244">
            <v>0</v>
          </cell>
          <cell r="EG244" t="str">
            <v/>
          </cell>
          <cell r="EI244">
            <v>0</v>
          </cell>
          <cell r="EJ244" t="str">
            <v/>
          </cell>
          <cell r="EL244">
            <v>4.0379999999999999E-2</v>
          </cell>
          <cell r="EM244">
            <v>50000</v>
          </cell>
          <cell r="EO244">
            <v>0</v>
          </cell>
          <cell r="EP244" t="str">
            <v/>
          </cell>
          <cell r="ER244">
            <v>0</v>
          </cell>
          <cell r="ES244" t="str">
            <v/>
          </cell>
          <cell r="EU244">
            <v>0</v>
          </cell>
          <cell r="EV244" t="str">
            <v/>
          </cell>
          <cell r="EX244">
            <v>0</v>
          </cell>
          <cell r="EY244" t="str">
            <v/>
          </cell>
          <cell r="FA244">
            <v>0</v>
          </cell>
          <cell r="FB244" t="str">
            <v/>
          </cell>
          <cell r="FD244">
            <v>0</v>
          </cell>
          <cell r="FE244" t="str">
            <v/>
          </cell>
          <cell r="FG244">
            <v>0</v>
          </cell>
          <cell r="FH244" t="str">
            <v/>
          </cell>
          <cell r="FJ244">
            <v>0</v>
          </cell>
          <cell r="FK244" t="str">
            <v/>
          </cell>
          <cell r="FM244">
            <v>0</v>
          </cell>
          <cell r="FN244" t="str">
            <v/>
          </cell>
          <cell r="FP244">
            <v>0</v>
          </cell>
          <cell r="FQ244" t="str">
            <v/>
          </cell>
          <cell r="FS244">
            <v>0</v>
          </cell>
          <cell r="FT244" t="str">
            <v/>
          </cell>
          <cell r="FV244">
            <v>0</v>
          </cell>
          <cell r="FW244" t="str">
            <v/>
          </cell>
          <cell r="FY244">
            <v>0</v>
          </cell>
          <cell r="FZ244" t="str">
            <v/>
          </cell>
          <cell r="GB244">
            <v>0</v>
          </cell>
          <cell r="GC244" t="str">
            <v/>
          </cell>
          <cell r="GE244">
            <v>0</v>
          </cell>
          <cell r="GF244" t="str">
            <v/>
          </cell>
          <cell r="GH244">
            <v>0</v>
          </cell>
          <cell r="GI244" t="str">
            <v/>
          </cell>
          <cell r="GK244">
            <v>0</v>
          </cell>
          <cell r="GL244" t="str">
            <v/>
          </cell>
          <cell r="GN244">
            <v>0</v>
          </cell>
          <cell r="GO244" t="str">
            <v/>
          </cell>
          <cell r="GQ244">
            <v>0</v>
          </cell>
          <cell r="GR244" t="str">
            <v/>
          </cell>
          <cell r="GT244">
            <v>0</v>
          </cell>
          <cell r="GU244" t="str">
            <v/>
          </cell>
          <cell r="GW244">
            <v>0</v>
          </cell>
          <cell r="GX244" t="str">
            <v/>
          </cell>
          <cell r="GZ244">
            <v>0</v>
          </cell>
          <cell r="HA244" t="str">
            <v/>
          </cell>
          <cell r="HC244">
            <v>0.77890000000000004</v>
          </cell>
          <cell r="HD244">
            <v>50000</v>
          </cell>
          <cell r="HF244">
            <v>0</v>
          </cell>
          <cell r="HG244" t="str">
            <v/>
          </cell>
          <cell r="HI244">
            <v>0</v>
          </cell>
          <cell r="HJ244" t="str">
            <v/>
          </cell>
          <cell r="HL244">
            <v>8.5999999999999998E-4</v>
          </cell>
          <cell r="HM244">
            <v>50000</v>
          </cell>
          <cell r="HO244">
            <v>0</v>
          </cell>
          <cell r="HP244" t="str">
            <v/>
          </cell>
          <cell r="HR244">
            <v>0</v>
          </cell>
          <cell r="HS244" t="str">
            <v/>
          </cell>
          <cell r="HU244">
            <v>0</v>
          </cell>
          <cell r="HV244" t="str">
            <v/>
          </cell>
        </row>
        <row r="245">
          <cell r="DQ245">
            <v>4.7407407407407398E-3</v>
          </cell>
          <cell r="DR245">
            <v>67500.000000000015</v>
          </cell>
          <cell r="DT245">
            <v>0</v>
          </cell>
          <cell r="DU245" t="str">
            <v/>
          </cell>
          <cell r="DW245">
            <v>0</v>
          </cell>
          <cell r="DX245" t="str">
            <v/>
          </cell>
          <cell r="DZ245">
            <v>3.5999999999999999E-3</v>
          </cell>
          <cell r="EA245">
            <v>50000</v>
          </cell>
          <cell r="EC245">
            <v>0</v>
          </cell>
          <cell r="ED245" t="str">
            <v/>
          </cell>
          <cell r="EF245">
            <v>0</v>
          </cell>
          <cell r="EG245" t="str">
            <v/>
          </cell>
          <cell r="EI245">
            <v>0</v>
          </cell>
          <cell r="EJ245" t="str">
            <v/>
          </cell>
          <cell r="EL245">
            <v>2.3600000000000001E-3</v>
          </cell>
          <cell r="EM245">
            <v>50000</v>
          </cell>
          <cell r="EO245">
            <v>0</v>
          </cell>
          <cell r="EP245" t="str">
            <v/>
          </cell>
          <cell r="ER245">
            <v>0</v>
          </cell>
          <cell r="ES245" t="str">
            <v/>
          </cell>
          <cell r="EU245">
            <v>0</v>
          </cell>
          <cell r="EV245" t="str">
            <v/>
          </cell>
          <cell r="EX245">
            <v>0</v>
          </cell>
          <cell r="EY245" t="str">
            <v/>
          </cell>
          <cell r="FA245">
            <v>0</v>
          </cell>
          <cell r="FB245" t="str">
            <v/>
          </cell>
          <cell r="FD245">
            <v>0</v>
          </cell>
          <cell r="FE245" t="str">
            <v/>
          </cell>
          <cell r="FG245">
            <v>0</v>
          </cell>
          <cell r="FH245" t="str">
            <v/>
          </cell>
          <cell r="FJ245">
            <v>0</v>
          </cell>
          <cell r="FK245" t="str">
            <v/>
          </cell>
          <cell r="FM245">
            <v>0</v>
          </cell>
          <cell r="FN245" t="str">
            <v/>
          </cell>
          <cell r="FP245">
            <v>0</v>
          </cell>
          <cell r="FQ245" t="str">
            <v/>
          </cell>
          <cell r="FS245">
            <v>0</v>
          </cell>
          <cell r="FT245" t="str">
            <v/>
          </cell>
          <cell r="FV245">
            <v>0</v>
          </cell>
          <cell r="FW245" t="str">
            <v/>
          </cell>
          <cell r="FY245">
            <v>0</v>
          </cell>
          <cell r="FZ245" t="str">
            <v/>
          </cell>
          <cell r="GB245">
            <v>0</v>
          </cell>
          <cell r="GC245" t="str">
            <v/>
          </cell>
          <cell r="GE245">
            <v>0</v>
          </cell>
          <cell r="GF245" t="str">
            <v/>
          </cell>
          <cell r="GH245">
            <v>0</v>
          </cell>
          <cell r="GI245" t="str">
            <v/>
          </cell>
          <cell r="GK245">
            <v>0</v>
          </cell>
          <cell r="GL245" t="str">
            <v/>
          </cell>
          <cell r="GN245">
            <v>0</v>
          </cell>
          <cell r="GO245" t="str">
            <v/>
          </cell>
          <cell r="GQ245">
            <v>0</v>
          </cell>
          <cell r="GR245" t="str">
            <v/>
          </cell>
          <cell r="GT245">
            <v>0</v>
          </cell>
          <cell r="GU245" t="str">
            <v/>
          </cell>
          <cell r="GW245">
            <v>0</v>
          </cell>
          <cell r="GX245" t="str">
            <v/>
          </cell>
          <cell r="GZ245">
            <v>0</v>
          </cell>
          <cell r="HA245" t="str">
            <v/>
          </cell>
          <cell r="HC245">
            <v>4.5539999999999997E-2</v>
          </cell>
          <cell r="HD245">
            <v>50000</v>
          </cell>
          <cell r="HF245">
            <v>0</v>
          </cell>
          <cell r="HG245" t="str">
            <v/>
          </cell>
          <cell r="HI245">
            <v>0</v>
          </cell>
          <cell r="HJ245" t="str">
            <v/>
          </cell>
          <cell r="HL245">
            <v>6.0000000000000002E-5</v>
          </cell>
          <cell r="HM245">
            <v>50000</v>
          </cell>
          <cell r="HO245">
            <v>0</v>
          </cell>
          <cell r="HP245" t="str">
            <v/>
          </cell>
          <cell r="HR245">
            <v>0</v>
          </cell>
          <cell r="HS245" t="str">
            <v/>
          </cell>
          <cell r="HU245">
            <v>0</v>
          </cell>
          <cell r="HV245" t="str">
            <v/>
          </cell>
        </row>
        <row r="246">
          <cell r="DQ246">
            <v>0</v>
          </cell>
          <cell r="DR246" t="str">
            <v/>
          </cell>
          <cell r="DT246">
            <v>0</v>
          </cell>
          <cell r="DU246" t="str">
            <v/>
          </cell>
          <cell r="DW246">
            <v>0</v>
          </cell>
          <cell r="DX246" t="str">
            <v/>
          </cell>
          <cell r="DZ246">
            <v>0</v>
          </cell>
          <cell r="EA246" t="str">
            <v/>
          </cell>
          <cell r="EC246">
            <v>0</v>
          </cell>
          <cell r="ED246" t="str">
            <v/>
          </cell>
          <cell r="EF246">
            <v>0</v>
          </cell>
          <cell r="EG246" t="str">
            <v/>
          </cell>
          <cell r="EI246">
            <v>0</v>
          </cell>
          <cell r="EJ246" t="str">
            <v/>
          </cell>
          <cell r="EL246">
            <v>0</v>
          </cell>
          <cell r="EM246" t="str">
            <v/>
          </cell>
          <cell r="EO246">
            <v>0</v>
          </cell>
          <cell r="EP246" t="str">
            <v/>
          </cell>
          <cell r="ER246">
            <v>0</v>
          </cell>
          <cell r="ES246" t="str">
            <v/>
          </cell>
          <cell r="EU246">
            <v>0</v>
          </cell>
          <cell r="EV246" t="str">
            <v/>
          </cell>
          <cell r="EX246">
            <v>0</v>
          </cell>
          <cell r="EY246" t="str">
            <v/>
          </cell>
          <cell r="FA246">
            <v>0</v>
          </cell>
          <cell r="FB246" t="str">
            <v/>
          </cell>
          <cell r="FD246">
            <v>0</v>
          </cell>
          <cell r="FE246" t="str">
            <v/>
          </cell>
          <cell r="FG246">
            <v>0</v>
          </cell>
          <cell r="FH246" t="str">
            <v/>
          </cell>
          <cell r="FJ246">
            <v>0</v>
          </cell>
          <cell r="FK246" t="str">
            <v/>
          </cell>
          <cell r="FM246">
            <v>0</v>
          </cell>
          <cell r="FN246" t="str">
            <v/>
          </cell>
          <cell r="FP246">
            <v>0</v>
          </cell>
          <cell r="FQ246" t="str">
            <v/>
          </cell>
          <cell r="FS246">
            <v>0</v>
          </cell>
          <cell r="FT246" t="str">
            <v/>
          </cell>
          <cell r="FV246">
            <v>0</v>
          </cell>
          <cell r="FW246" t="str">
            <v/>
          </cell>
          <cell r="FY246">
            <v>0</v>
          </cell>
          <cell r="FZ246" t="str">
            <v/>
          </cell>
          <cell r="GB246">
            <v>0</v>
          </cell>
          <cell r="GC246" t="str">
            <v/>
          </cell>
          <cell r="GE246">
            <v>0</v>
          </cell>
          <cell r="GF246" t="str">
            <v/>
          </cell>
          <cell r="GH246">
            <v>0</v>
          </cell>
          <cell r="GI246" t="str">
            <v/>
          </cell>
          <cell r="GK246">
            <v>0</v>
          </cell>
          <cell r="GL246" t="str">
            <v/>
          </cell>
          <cell r="GN246">
            <v>0</v>
          </cell>
          <cell r="GO246" t="str">
            <v/>
          </cell>
          <cell r="GQ246">
            <v>0</v>
          </cell>
          <cell r="GR246" t="str">
            <v/>
          </cell>
          <cell r="GT246">
            <v>0</v>
          </cell>
          <cell r="GU246" t="str">
            <v/>
          </cell>
          <cell r="GW246">
            <v>0</v>
          </cell>
          <cell r="GX246" t="str">
            <v/>
          </cell>
          <cell r="GZ246">
            <v>0</v>
          </cell>
          <cell r="HA246" t="str">
            <v/>
          </cell>
          <cell r="HC246">
            <v>0.125925715744971</v>
          </cell>
          <cell r="HD246">
            <v>35242.999999999898</v>
          </cell>
          <cell r="HF246">
            <v>0</v>
          </cell>
          <cell r="HG246" t="str">
            <v/>
          </cell>
          <cell r="HI246">
            <v>0</v>
          </cell>
          <cell r="HJ246" t="str">
            <v/>
          </cell>
          <cell r="HL246">
            <v>0</v>
          </cell>
          <cell r="HM246" t="str">
            <v/>
          </cell>
          <cell r="HO246">
            <v>0</v>
          </cell>
          <cell r="HP246" t="str">
            <v/>
          </cell>
          <cell r="HR246">
            <v>0</v>
          </cell>
          <cell r="HS246" t="str">
            <v/>
          </cell>
          <cell r="HU246">
            <v>0</v>
          </cell>
          <cell r="HV246" t="str">
            <v/>
          </cell>
        </row>
        <row r="247">
          <cell r="DQ247">
            <v>0.89739999999999998</v>
          </cell>
          <cell r="DR247">
            <v>61762.870514820592</v>
          </cell>
          <cell r="DT247">
            <v>0.32640000000000002</v>
          </cell>
          <cell r="DU247">
            <v>100312.5</v>
          </cell>
          <cell r="DW247">
            <v>0.18379999999999999</v>
          </cell>
          <cell r="DX247">
            <v>48890.097932535369</v>
          </cell>
          <cell r="DZ247">
            <v>0</v>
          </cell>
          <cell r="EA247" t="str">
            <v/>
          </cell>
          <cell r="EC247">
            <v>0</v>
          </cell>
          <cell r="ED247" t="str">
            <v/>
          </cell>
          <cell r="EF247">
            <v>0</v>
          </cell>
          <cell r="EG247" t="str">
            <v/>
          </cell>
          <cell r="EI247">
            <v>0</v>
          </cell>
          <cell r="EJ247" t="str">
            <v/>
          </cell>
          <cell r="EL247">
            <v>8.5400000000000004E-2</v>
          </cell>
          <cell r="EM247">
            <v>75316.159250585479</v>
          </cell>
          <cell r="EO247">
            <v>0</v>
          </cell>
          <cell r="EP247" t="str">
            <v/>
          </cell>
          <cell r="ER247">
            <v>0</v>
          </cell>
          <cell r="ES247" t="str">
            <v/>
          </cell>
          <cell r="EU247">
            <v>0</v>
          </cell>
          <cell r="EV247" t="str">
            <v/>
          </cell>
          <cell r="EX247">
            <v>0</v>
          </cell>
          <cell r="EY247" t="str">
            <v/>
          </cell>
          <cell r="FA247">
            <v>0</v>
          </cell>
          <cell r="FB247" t="str">
            <v/>
          </cell>
          <cell r="FD247">
            <v>0</v>
          </cell>
          <cell r="FE247" t="str">
            <v/>
          </cell>
          <cell r="FG247">
            <v>0</v>
          </cell>
          <cell r="FH247" t="str">
            <v/>
          </cell>
          <cell r="FJ247">
            <v>0</v>
          </cell>
          <cell r="FK247" t="str">
            <v/>
          </cell>
          <cell r="FM247">
            <v>0</v>
          </cell>
          <cell r="FN247" t="str">
            <v/>
          </cell>
          <cell r="FP247">
            <v>0</v>
          </cell>
          <cell r="FQ247" t="str">
            <v/>
          </cell>
          <cell r="FS247">
            <v>0</v>
          </cell>
          <cell r="FT247" t="str">
            <v/>
          </cell>
          <cell r="FV247">
            <v>0</v>
          </cell>
          <cell r="FW247" t="str">
            <v/>
          </cell>
          <cell r="FY247">
            <v>0</v>
          </cell>
          <cell r="FZ247" t="str">
            <v/>
          </cell>
          <cell r="GB247">
            <v>0</v>
          </cell>
          <cell r="GC247" t="str">
            <v/>
          </cell>
          <cell r="GE247">
            <v>0</v>
          </cell>
          <cell r="GF247" t="str">
            <v/>
          </cell>
          <cell r="GH247">
            <v>0</v>
          </cell>
          <cell r="GI247" t="str">
            <v/>
          </cell>
          <cell r="GK247">
            <v>0</v>
          </cell>
          <cell r="GL247" t="str">
            <v/>
          </cell>
          <cell r="GN247">
            <v>0</v>
          </cell>
          <cell r="GO247" t="str">
            <v/>
          </cell>
          <cell r="GQ247">
            <v>0</v>
          </cell>
          <cell r="GR247" t="str">
            <v/>
          </cell>
          <cell r="GT247">
            <v>0</v>
          </cell>
          <cell r="GU247" t="str">
            <v/>
          </cell>
          <cell r="GW247">
            <v>0</v>
          </cell>
          <cell r="GX247" t="str">
            <v/>
          </cell>
          <cell r="GZ247">
            <v>5.5864000000000003</v>
          </cell>
          <cell r="HA247">
            <v>34669.554632679363</v>
          </cell>
          <cell r="HC247">
            <v>0</v>
          </cell>
          <cell r="HD247" t="str">
            <v/>
          </cell>
          <cell r="HF247">
            <v>0</v>
          </cell>
          <cell r="HG247" t="str">
            <v/>
          </cell>
          <cell r="HI247">
            <v>3.9685999999999999</v>
          </cell>
          <cell r="HJ247">
            <v>30387.038250264577</v>
          </cell>
          <cell r="HL247">
            <v>0</v>
          </cell>
          <cell r="HM247" t="str">
            <v/>
          </cell>
          <cell r="HO247">
            <v>0</v>
          </cell>
          <cell r="HP247" t="str">
            <v/>
          </cell>
          <cell r="HR247">
            <v>0.1666</v>
          </cell>
          <cell r="HS247">
            <v>45150.060024009603</v>
          </cell>
          <cell r="HU247">
            <v>0</v>
          </cell>
          <cell r="HV247" t="str">
            <v/>
          </cell>
        </row>
        <row r="248">
          <cell r="DQ248">
            <v>0.04</v>
          </cell>
          <cell r="DR248">
            <v>102375</v>
          </cell>
          <cell r="DT248">
            <v>0</v>
          </cell>
          <cell r="DU248" t="str">
            <v/>
          </cell>
          <cell r="DW248">
            <v>0</v>
          </cell>
          <cell r="DX248" t="str">
            <v/>
          </cell>
          <cell r="DZ248">
            <v>0</v>
          </cell>
          <cell r="EA248" t="str">
            <v/>
          </cell>
          <cell r="EC248">
            <v>0</v>
          </cell>
          <cell r="ED248" t="str">
            <v/>
          </cell>
          <cell r="EF248">
            <v>0</v>
          </cell>
          <cell r="EG248" t="str">
            <v/>
          </cell>
          <cell r="EI248">
            <v>0</v>
          </cell>
          <cell r="EJ248" t="str">
            <v/>
          </cell>
          <cell r="EL248">
            <v>0</v>
          </cell>
          <cell r="EM248" t="str">
            <v/>
          </cell>
          <cell r="EO248">
            <v>0</v>
          </cell>
          <cell r="EP248" t="str">
            <v/>
          </cell>
          <cell r="ER248">
            <v>0</v>
          </cell>
          <cell r="ES248" t="str">
            <v/>
          </cell>
          <cell r="EU248">
            <v>0</v>
          </cell>
          <cell r="EV248" t="str">
            <v/>
          </cell>
          <cell r="EX248">
            <v>0</v>
          </cell>
          <cell r="EY248" t="str">
            <v/>
          </cell>
          <cell r="FA248">
            <v>0</v>
          </cell>
          <cell r="FB248" t="str">
            <v/>
          </cell>
          <cell r="FD248">
            <v>0</v>
          </cell>
          <cell r="FE248" t="str">
            <v/>
          </cell>
          <cell r="FG248">
            <v>0</v>
          </cell>
          <cell r="FH248" t="str">
            <v/>
          </cell>
          <cell r="FJ248">
            <v>0</v>
          </cell>
          <cell r="FK248" t="str">
            <v/>
          </cell>
          <cell r="FM248">
            <v>0</v>
          </cell>
          <cell r="FN248" t="str">
            <v/>
          </cell>
          <cell r="FP248">
            <v>0</v>
          </cell>
          <cell r="FQ248" t="str">
            <v/>
          </cell>
          <cell r="FS248">
            <v>0</v>
          </cell>
          <cell r="FT248" t="str">
            <v/>
          </cell>
          <cell r="FV248">
            <v>0</v>
          </cell>
          <cell r="FW248" t="str">
            <v/>
          </cell>
          <cell r="FY248">
            <v>0</v>
          </cell>
          <cell r="FZ248" t="str">
            <v/>
          </cell>
          <cell r="GB248">
            <v>0</v>
          </cell>
          <cell r="GC248" t="str">
            <v/>
          </cell>
          <cell r="GE248">
            <v>0</v>
          </cell>
          <cell r="GF248" t="str">
            <v/>
          </cell>
          <cell r="GH248">
            <v>0</v>
          </cell>
          <cell r="GI248" t="str">
            <v/>
          </cell>
          <cell r="GK248">
            <v>0</v>
          </cell>
          <cell r="GL248" t="str">
            <v/>
          </cell>
          <cell r="GN248">
            <v>0</v>
          </cell>
          <cell r="GO248" t="str">
            <v/>
          </cell>
          <cell r="GQ248">
            <v>0</v>
          </cell>
          <cell r="GR248" t="str">
            <v/>
          </cell>
          <cell r="GT248">
            <v>0</v>
          </cell>
          <cell r="GU248" t="str">
            <v/>
          </cell>
          <cell r="GW248">
            <v>0</v>
          </cell>
          <cell r="GX248" t="str">
            <v/>
          </cell>
          <cell r="GZ248">
            <v>0</v>
          </cell>
          <cell r="HA248" t="str">
            <v/>
          </cell>
          <cell r="HC248">
            <v>1.68</v>
          </cell>
          <cell r="HD248">
            <v>45623.21428571429</v>
          </cell>
          <cell r="HF248">
            <v>0</v>
          </cell>
          <cell r="HG248" t="str">
            <v/>
          </cell>
          <cell r="HI248">
            <v>0.35</v>
          </cell>
          <cell r="HJ248">
            <v>37442.857142857145</v>
          </cell>
          <cell r="HL248">
            <v>1E-4</v>
          </cell>
          <cell r="HM248">
            <v>50000</v>
          </cell>
          <cell r="HO248">
            <v>0</v>
          </cell>
          <cell r="HP248" t="str">
            <v/>
          </cell>
          <cell r="HR248">
            <v>0</v>
          </cell>
          <cell r="HS248" t="str">
            <v/>
          </cell>
          <cell r="HU248">
            <v>0</v>
          </cell>
          <cell r="HV248" t="str">
            <v/>
          </cell>
        </row>
        <row r="249">
          <cell r="DQ249">
            <v>3</v>
          </cell>
          <cell r="DR249">
            <v>69126</v>
          </cell>
          <cell r="DT249">
            <v>0</v>
          </cell>
          <cell r="DU249" t="str">
            <v/>
          </cell>
          <cell r="DW249">
            <v>0</v>
          </cell>
          <cell r="DX249" t="str">
            <v/>
          </cell>
          <cell r="DZ249">
            <v>0</v>
          </cell>
          <cell r="EA249" t="str">
            <v/>
          </cell>
          <cell r="EC249">
            <v>0</v>
          </cell>
          <cell r="ED249" t="str">
            <v/>
          </cell>
          <cell r="EF249">
            <v>0</v>
          </cell>
          <cell r="EG249" t="str">
            <v/>
          </cell>
          <cell r="EI249">
            <v>0</v>
          </cell>
          <cell r="EJ249" t="str">
            <v/>
          </cell>
          <cell r="EL249">
            <v>0.02</v>
          </cell>
          <cell r="EM249">
            <v>81800</v>
          </cell>
          <cell r="EO249">
            <v>0</v>
          </cell>
          <cell r="EP249" t="str">
            <v/>
          </cell>
          <cell r="ER249">
            <v>0</v>
          </cell>
          <cell r="ES249" t="str">
            <v/>
          </cell>
          <cell r="EU249">
            <v>0</v>
          </cell>
          <cell r="EV249" t="str">
            <v/>
          </cell>
          <cell r="EX249">
            <v>0</v>
          </cell>
          <cell r="EY249" t="str">
            <v/>
          </cell>
          <cell r="FA249">
            <v>0</v>
          </cell>
          <cell r="FB249" t="str">
            <v/>
          </cell>
          <cell r="FD249">
            <v>0</v>
          </cell>
          <cell r="FE249" t="str">
            <v/>
          </cell>
          <cell r="FG249">
            <v>0</v>
          </cell>
          <cell r="FH249" t="str">
            <v/>
          </cell>
          <cell r="FJ249">
            <v>0</v>
          </cell>
          <cell r="FK249" t="str">
            <v/>
          </cell>
          <cell r="FM249">
            <v>0</v>
          </cell>
          <cell r="FN249" t="str">
            <v/>
          </cell>
          <cell r="FP249">
            <v>0</v>
          </cell>
          <cell r="FQ249" t="str">
            <v/>
          </cell>
          <cell r="FS249">
            <v>0</v>
          </cell>
          <cell r="FT249" t="str">
            <v/>
          </cell>
          <cell r="FV249">
            <v>0</v>
          </cell>
          <cell r="FW249" t="str">
            <v/>
          </cell>
          <cell r="FY249">
            <v>0</v>
          </cell>
          <cell r="FZ249" t="str">
            <v/>
          </cell>
          <cell r="GB249">
            <v>0</v>
          </cell>
          <cell r="GC249" t="str">
            <v/>
          </cell>
          <cell r="GE249">
            <v>0</v>
          </cell>
          <cell r="GF249" t="str">
            <v/>
          </cell>
          <cell r="GH249">
            <v>0</v>
          </cell>
          <cell r="GI249" t="str">
            <v/>
          </cell>
          <cell r="GK249">
            <v>0</v>
          </cell>
          <cell r="GL249" t="str">
            <v/>
          </cell>
          <cell r="GN249">
            <v>0</v>
          </cell>
          <cell r="GO249" t="str">
            <v/>
          </cell>
          <cell r="GQ249">
            <v>0</v>
          </cell>
          <cell r="GR249" t="str">
            <v/>
          </cell>
          <cell r="GT249">
            <v>0</v>
          </cell>
          <cell r="GU249" t="str">
            <v/>
          </cell>
          <cell r="GW249">
            <v>0</v>
          </cell>
          <cell r="GX249" t="str">
            <v/>
          </cell>
          <cell r="GZ249">
            <v>0</v>
          </cell>
          <cell r="HA249" t="str">
            <v/>
          </cell>
          <cell r="HC249">
            <v>22.9</v>
          </cell>
          <cell r="HD249">
            <v>47380.524017467251</v>
          </cell>
          <cell r="HF249">
            <v>0</v>
          </cell>
          <cell r="HG249" t="str">
            <v/>
          </cell>
          <cell r="HI249">
            <v>9.8000000000000007</v>
          </cell>
          <cell r="HJ249">
            <v>49077.959183673469</v>
          </cell>
          <cell r="HL249">
            <v>0.6</v>
          </cell>
          <cell r="HM249">
            <v>32700</v>
          </cell>
          <cell r="HO249">
            <v>0</v>
          </cell>
          <cell r="HP249" t="str">
            <v/>
          </cell>
          <cell r="HR249">
            <v>0.22</v>
          </cell>
          <cell r="HS249">
            <v>22880</v>
          </cell>
          <cell r="HU249">
            <v>0</v>
          </cell>
          <cell r="HV249" t="str">
            <v/>
          </cell>
        </row>
        <row r="250">
          <cell r="DQ250">
            <v>0</v>
          </cell>
          <cell r="DR250" t="str">
            <v/>
          </cell>
          <cell r="DT250">
            <v>0</v>
          </cell>
          <cell r="DU250" t="str">
            <v/>
          </cell>
          <cell r="DW250">
            <v>0</v>
          </cell>
          <cell r="DX250" t="str">
            <v/>
          </cell>
          <cell r="DZ250">
            <v>0</v>
          </cell>
          <cell r="EA250" t="str">
            <v/>
          </cell>
          <cell r="EC250">
            <v>0</v>
          </cell>
          <cell r="ED250" t="str">
            <v/>
          </cell>
          <cell r="EF250">
            <v>0</v>
          </cell>
          <cell r="EG250" t="str">
            <v/>
          </cell>
          <cell r="EI250">
            <v>0</v>
          </cell>
          <cell r="EJ250" t="str">
            <v/>
          </cell>
          <cell r="EL250">
            <v>0.01</v>
          </cell>
          <cell r="EM250">
            <v>91500</v>
          </cell>
          <cell r="EO250">
            <v>0</v>
          </cell>
          <cell r="EP250" t="str">
            <v/>
          </cell>
          <cell r="ER250">
            <v>0</v>
          </cell>
          <cell r="ES250" t="str">
            <v/>
          </cell>
          <cell r="EU250">
            <v>0</v>
          </cell>
          <cell r="EV250" t="str">
            <v/>
          </cell>
          <cell r="EX250">
            <v>0</v>
          </cell>
          <cell r="EY250" t="str">
            <v/>
          </cell>
          <cell r="FA250">
            <v>0</v>
          </cell>
          <cell r="FB250" t="str">
            <v/>
          </cell>
          <cell r="FD250">
            <v>0</v>
          </cell>
          <cell r="FE250" t="str">
            <v/>
          </cell>
          <cell r="FG250">
            <v>0</v>
          </cell>
          <cell r="FH250" t="str">
            <v/>
          </cell>
          <cell r="FJ250">
            <v>0</v>
          </cell>
          <cell r="FK250" t="str">
            <v/>
          </cell>
          <cell r="FM250">
            <v>0</v>
          </cell>
          <cell r="FN250" t="str">
            <v/>
          </cell>
          <cell r="FP250">
            <v>0</v>
          </cell>
          <cell r="FQ250" t="str">
            <v/>
          </cell>
          <cell r="FS250">
            <v>0</v>
          </cell>
          <cell r="FT250" t="str">
            <v/>
          </cell>
          <cell r="FV250">
            <v>0</v>
          </cell>
          <cell r="FW250" t="str">
            <v/>
          </cell>
          <cell r="FY250">
            <v>0</v>
          </cell>
          <cell r="FZ250" t="str">
            <v/>
          </cell>
          <cell r="GB250">
            <v>0</v>
          </cell>
          <cell r="GC250" t="str">
            <v/>
          </cell>
          <cell r="GE250">
            <v>0</v>
          </cell>
          <cell r="GF250" t="str">
            <v/>
          </cell>
          <cell r="GH250">
            <v>0</v>
          </cell>
          <cell r="GI250" t="str">
            <v/>
          </cell>
          <cell r="GK250">
            <v>0</v>
          </cell>
          <cell r="GL250" t="str">
            <v/>
          </cell>
          <cell r="GN250">
            <v>0</v>
          </cell>
          <cell r="GO250" t="str">
            <v/>
          </cell>
          <cell r="GQ250">
            <v>0</v>
          </cell>
          <cell r="GR250" t="str">
            <v/>
          </cell>
          <cell r="GT250">
            <v>0</v>
          </cell>
          <cell r="GU250" t="str">
            <v/>
          </cell>
          <cell r="GW250">
            <v>0</v>
          </cell>
          <cell r="GX250" t="str">
            <v/>
          </cell>
          <cell r="GZ250">
            <v>0</v>
          </cell>
          <cell r="HA250" t="str">
            <v/>
          </cell>
          <cell r="HC250">
            <v>0.7</v>
          </cell>
          <cell r="HD250">
            <v>75778.571428571435</v>
          </cell>
          <cell r="HF250">
            <v>0</v>
          </cell>
          <cell r="HG250" t="str">
            <v/>
          </cell>
          <cell r="HI250">
            <v>0.04</v>
          </cell>
          <cell r="HJ250">
            <v>22880</v>
          </cell>
          <cell r="HL250">
            <v>3.65</v>
          </cell>
          <cell r="HM250">
            <v>35687.397260273974</v>
          </cell>
          <cell r="HO250">
            <v>0</v>
          </cell>
          <cell r="HP250" t="str">
            <v/>
          </cell>
          <cell r="HR250">
            <v>0</v>
          </cell>
          <cell r="HS250" t="str">
            <v/>
          </cell>
          <cell r="HU250">
            <v>0</v>
          </cell>
          <cell r="HV250" t="str">
            <v/>
          </cell>
        </row>
        <row r="251">
          <cell r="DQ251">
            <v>1.6</v>
          </cell>
          <cell r="DR251">
            <v>93912.5</v>
          </cell>
          <cell r="DT251">
            <v>0</v>
          </cell>
          <cell r="DU251" t="str">
            <v/>
          </cell>
          <cell r="DW251">
            <v>0</v>
          </cell>
          <cell r="DX251" t="str">
            <v/>
          </cell>
          <cell r="DZ251">
            <v>0</v>
          </cell>
          <cell r="EA251" t="str">
            <v/>
          </cell>
          <cell r="EC251">
            <v>0</v>
          </cell>
          <cell r="ED251" t="str">
            <v/>
          </cell>
          <cell r="EF251">
            <v>0</v>
          </cell>
          <cell r="EG251" t="str">
            <v/>
          </cell>
          <cell r="EI251">
            <v>0</v>
          </cell>
          <cell r="EJ251" t="str">
            <v/>
          </cell>
          <cell r="EL251">
            <v>0</v>
          </cell>
          <cell r="EM251" t="str">
            <v/>
          </cell>
          <cell r="EO251">
            <v>0</v>
          </cell>
          <cell r="EP251" t="str">
            <v/>
          </cell>
          <cell r="ER251">
            <v>0</v>
          </cell>
          <cell r="ES251" t="str">
            <v/>
          </cell>
          <cell r="EU251">
            <v>0</v>
          </cell>
          <cell r="EV251" t="str">
            <v/>
          </cell>
          <cell r="EX251">
            <v>0</v>
          </cell>
          <cell r="EY251" t="str">
            <v/>
          </cell>
          <cell r="FA251">
            <v>0</v>
          </cell>
          <cell r="FB251" t="str">
            <v/>
          </cell>
          <cell r="FD251">
            <v>0</v>
          </cell>
          <cell r="FE251" t="str">
            <v/>
          </cell>
          <cell r="FG251">
            <v>0</v>
          </cell>
          <cell r="FH251" t="str">
            <v/>
          </cell>
          <cell r="FJ251">
            <v>0</v>
          </cell>
          <cell r="FK251" t="str">
            <v/>
          </cell>
          <cell r="FM251">
            <v>0</v>
          </cell>
          <cell r="FN251" t="str">
            <v/>
          </cell>
          <cell r="FP251">
            <v>0</v>
          </cell>
          <cell r="FQ251" t="str">
            <v/>
          </cell>
          <cell r="FS251">
            <v>0</v>
          </cell>
          <cell r="FT251" t="str">
            <v/>
          </cell>
          <cell r="FV251">
            <v>0</v>
          </cell>
          <cell r="FW251" t="str">
            <v/>
          </cell>
          <cell r="FY251">
            <v>0</v>
          </cell>
          <cell r="FZ251" t="str">
            <v/>
          </cell>
          <cell r="GB251">
            <v>0</v>
          </cell>
          <cell r="GC251" t="str">
            <v/>
          </cell>
          <cell r="GE251">
            <v>0</v>
          </cell>
          <cell r="GF251" t="str">
            <v/>
          </cell>
          <cell r="GH251">
            <v>0</v>
          </cell>
          <cell r="GI251" t="str">
            <v/>
          </cell>
          <cell r="GK251">
            <v>0</v>
          </cell>
          <cell r="GL251" t="str">
            <v/>
          </cell>
          <cell r="GN251">
            <v>0</v>
          </cell>
          <cell r="GO251" t="str">
            <v/>
          </cell>
          <cell r="GQ251">
            <v>0</v>
          </cell>
          <cell r="GR251" t="str">
            <v/>
          </cell>
          <cell r="GT251">
            <v>0</v>
          </cell>
          <cell r="GU251" t="str">
            <v/>
          </cell>
          <cell r="GW251">
            <v>0</v>
          </cell>
          <cell r="GX251" t="str">
            <v/>
          </cell>
          <cell r="GZ251">
            <v>0</v>
          </cell>
          <cell r="HA251" t="str">
            <v/>
          </cell>
          <cell r="HC251">
            <v>12.5</v>
          </cell>
          <cell r="HD251">
            <v>42549.599999999999</v>
          </cell>
          <cell r="HF251">
            <v>0</v>
          </cell>
          <cell r="HG251" t="str">
            <v/>
          </cell>
          <cell r="HI251">
            <v>5</v>
          </cell>
          <cell r="HJ251">
            <v>39784</v>
          </cell>
          <cell r="HL251">
            <v>0</v>
          </cell>
          <cell r="HM251" t="str">
            <v/>
          </cell>
          <cell r="HO251">
            <v>0</v>
          </cell>
          <cell r="HP251" t="str">
            <v/>
          </cell>
          <cell r="HR251">
            <v>0</v>
          </cell>
          <cell r="HS251" t="str">
            <v/>
          </cell>
          <cell r="HU251">
            <v>0</v>
          </cell>
          <cell r="HV251" t="str">
            <v/>
          </cell>
        </row>
        <row r="252">
          <cell r="DQ252">
            <v>0.02</v>
          </cell>
          <cell r="DR252">
            <v>64000</v>
          </cell>
          <cell r="DT252">
            <v>0</v>
          </cell>
          <cell r="DU252" t="str">
            <v/>
          </cell>
          <cell r="DW252">
            <v>0</v>
          </cell>
          <cell r="DX252" t="str">
            <v/>
          </cell>
          <cell r="DZ252">
            <v>0</v>
          </cell>
          <cell r="EA252" t="str">
            <v/>
          </cell>
          <cell r="EC252">
            <v>0</v>
          </cell>
          <cell r="ED252" t="str">
            <v/>
          </cell>
          <cell r="EF252">
            <v>0</v>
          </cell>
          <cell r="EG252" t="str">
            <v/>
          </cell>
          <cell r="EI252">
            <v>0</v>
          </cell>
          <cell r="EJ252" t="str">
            <v/>
          </cell>
          <cell r="EL252">
            <v>0</v>
          </cell>
          <cell r="EM252" t="str">
            <v/>
          </cell>
          <cell r="EO252">
            <v>0</v>
          </cell>
          <cell r="EP252" t="str">
            <v/>
          </cell>
          <cell r="ER252">
            <v>0</v>
          </cell>
          <cell r="ES252" t="str">
            <v/>
          </cell>
          <cell r="EU252">
            <v>0</v>
          </cell>
          <cell r="EV252" t="str">
            <v/>
          </cell>
          <cell r="EX252">
            <v>0</v>
          </cell>
          <cell r="EY252" t="str">
            <v/>
          </cell>
          <cell r="FA252">
            <v>0</v>
          </cell>
          <cell r="FB252" t="str">
            <v/>
          </cell>
          <cell r="FD252">
            <v>0</v>
          </cell>
          <cell r="FE252" t="str">
            <v/>
          </cell>
          <cell r="FG252">
            <v>0</v>
          </cell>
          <cell r="FH252" t="str">
            <v/>
          </cell>
          <cell r="FJ252">
            <v>0</v>
          </cell>
          <cell r="FK252" t="str">
            <v/>
          </cell>
          <cell r="FM252">
            <v>0</v>
          </cell>
          <cell r="FN252" t="str">
            <v/>
          </cell>
          <cell r="FP252">
            <v>0</v>
          </cell>
          <cell r="FQ252" t="str">
            <v/>
          </cell>
          <cell r="FS252">
            <v>0</v>
          </cell>
          <cell r="FT252" t="str">
            <v/>
          </cell>
          <cell r="FV252">
            <v>0</v>
          </cell>
          <cell r="FW252" t="str">
            <v/>
          </cell>
          <cell r="FY252">
            <v>0</v>
          </cell>
          <cell r="FZ252" t="str">
            <v/>
          </cell>
          <cell r="GB252">
            <v>0</v>
          </cell>
          <cell r="GC252" t="str">
            <v/>
          </cell>
          <cell r="GE252">
            <v>0</v>
          </cell>
          <cell r="GF252" t="str">
            <v/>
          </cell>
          <cell r="GH252">
            <v>0</v>
          </cell>
          <cell r="GI252" t="str">
            <v/>
          </cell>
          <cell r="GK252">
            <v>0</v>
          </cell>
          <cell r="GL252" t="str">
            <v/>
          </cell>
          <cell r="GN252">
            <v>0</v>
          </cell>
          <cell r="GO252" t="str">
            <v/>
          </cell>
          <cell r="GQ252">
            <v>0</v>
          </cell>
          <cell r="GR252" t="str">
            <v/>
          </cell>
          <cell r="GT252">
            <v>0</v>
          </cell>
          <cell r="GU252" t="str">
            <v/>
          </cell>
          <cell r="GW252">
            <v>0</v>
          </cell>
          <cell r="GX252" t="str">
            <v/>
          </cell>
          <cell r="GZ252">
            <v>0</v>
          </cell>
          <cell r="HA252" t="str">
            <v/>
          </cell>
          <cell r="HC252">
            <v>2.1800000000000002</v>
          </cell>
          <cell r="HD252">
            <v>44387.15596330275</v>
          </cell>
          <cell r="HF252">
            <v>0</v>
          </cell>
          <cell r="HG252" t="str">
            <v/>
          </cell>
          <cell r="HI252">
            <v>0</v>
          </cell>
          <cell r="HJ252" t="str">
            <v/>
          </cell>
          <cell r="HL252">
            <v>0</v>
          </cell>
          <cell r="HM252" t="str">
            <v/>
          </cell>
          <cell r="HO252">
            <v>0</v>
          </cell>
          <cell r="HP252" t="str">
            <v/>
          </cell>
          <cell r="HR252">
            <v>0</v>
          </cell>
          <cell r="HS252" t="str">
            <v/>
          </cell>
          <cell r="HU252">
            <v>0</v>
          </cell>
          <cell r="HV252" t="str">
            <v/>
          </cell>
        </row>
        <row r="253">
          <cell r="DQ253">
            <v>0</v>
          </cell>
          <cell r="DR253" t="str">
            <v/>
          </cell>
          <cell r="DT253">
            <v>0</v>
          </cell>
          <cell r="DU253" t="str">
            <v/>
          </cell>
          <cell r="DW253">
            <v>0</v>
          </cell>
          <cell r="DX253" t="str">
            <v/>
          </cell>
          <cell r="DZ253">
            <v>0</v>
          </cell>
          <cell r="EA253" t="str">
            <v/>
          </cell>
          <cell r="EC253">
            <v>0</v>
          </cell>
          <cell r="ED253" t="str">
            <v/>
          </cell>
          <cell r="EF253">
            <v>0</v>
          </cell>
          <cell r="EG253" t="str">
            <v/>
          </cell>
          <cell r="EI253">
            <v>0</v>
          </cell>
          <cell r="EJ253" t="str">
            <v/>
          </cell>
          <cell r="EL253">
            <v>0</v>
          </cell>
          <cell r="EM253" t="str">
            <v/>
          </cell>
          <cell r="EO253">
            <v>0</v>
          </cell>
          <cell r="EP253" t="str">
            <v/>
          </cell>
          <cell r="ER253">
            <v>0</v>
          </cell>
          <cell r="ES253" t="str">
            <v/>
          </cell>
          <cell r="EU253">
            <v>0</v>
          </cell>
          <cell r="EV253" t="str">
            <v/>
          </cell>
          <cell r="EX253">
            <v>0</v>
          </cell>
          <cell r="EY253" t="str">
            <v/>
          </cell>
          <cell r="FA253">
            <v>0</v>
          </cell>
          <cell r="FB253" t="str">
            <v/>
          </cell>
          <cell r="FD253">
            <v>0</v>
          </cell>
          <cell r="FE253" t="str">
            <v/>
          </cell>
          <cell r="FG253">
            <v>0</v>
          </cell>
          <cell r="FH253" t="str">
            <v/>
          </cell>
          <cell r="FJ253">
            <v>0</v>
          </cell>
          <cell r="FK253" t="str">
            <v/>
          </cell>
          <cell r="FM253">
            <v>0</v>
          </cell>
          <cell r="FN253" t="str">
            <v/>
          </cell>
          <cell r="FP253">
            <v>0</v>
          </cell>
          <cell r="FQ253" t="str">
            <v/>
          </cell>
          <cell r="FS253">
            <v>0</v>
          </cell>
          <cell r="FT253" t="str">
            <v/>
          </cell>
          <cell r="FV253">
            <v>0</v>
          </cell>
          <cell r="FW253" t="str">
            <v/>
          </cell>
          <cell r="FY253">
            <v>0</v>
          </cell>
          <cell r="FZ253" t="str">
            <v/>
          </cell>
          <cell r="GB253">
            <v>0</v>
          </cell>
          <cell r="GC253" t="str">
            <v/>
          </cell>
          <cell r="GE253">
            <v>0</v>
          </cell>
          <cell r="GF253" t="str">
            <v/>
          </cell>
          <cell r="GH253">
            <v>0</v>
          </cell>
          <cell r="GI253" t="str">
            <v/>
          </cell>
          <cell r="GK253">
            <v>0</v>
          </cell>
          <cell r="GL253" t="str">
            <v/>
          </cell>
          <cell r="GN253">
            <v>0</v>
          </cell>
          <cell r="GO253" t="str">
            <v/>
          </cell>
          <cell r="GQ253">
            <v>0</v>
          </cell>
          <cell r="GR253" t="str">
            <v/>
          </cell>
          <cell r="GT253">
            <v>0</v>
          </cell>
          <cell r="GU253" t="str">
            <v/>
          </cell>
          <cell r="GW253">
            <v>0</v>
          </cell>
          <cell r="GX253" t="str">
            <v/>
          </cell>
          <cell r="GZ253">
            <v>0</v>
          </cell>
          <cell r="HA253" t="str">
            <v/>
          </cell>
          <cell r="HC253">
            <v>2.48</v>
          </cell>
          <cell r="HD253">
            <v>44294.354838709674</v>
          </cell>
          <cell r="HF253">
            <v>0</v>
          </cell>
          <cell r="HG253" t="str">
            <v/>
          </cell>
          <cell r="HI253">
            <v>0</v>
          </cell>
          <cell r="HJ253" t="str">
            <v/>
          </cell>
          <cell r="HL253">
            <v>0</v>
          </cell>
          <cell r="HM253" t="str">
            <v/>
          </cell>
          <cell r="HO253">
            <v>0</v>
          </cell>
          <cell r="HP253" t="str">
            <v/>
          </cell>
          <cell r="HR253">
            <v>0</v>
          </cell>
          <cell r="HS253" t="str">
            <v/>
          </cell>
          <cell r="HU253">
            <v>0</v>
          </cell>
          <cell r="HV253" t="str">
            <v/>
          </cell>
        </row>
        <row r="254">
          <cell r="DQ254">
            <v>0.8</v>
          </cell>
          <cell r="DR254">
            <v>64475</v>
          </cell>
          <cell r="DT254">
            <v>0</v>
          </cell>
          <cell r="DU254" t="str">
            <v/>
          </cell>
          <cell r="DW254">
            <v>0</v>
          </cell>
          <cell r="DX254" t="str">
            <v/>
          </cell>
          <cell r="DZ254">
            <v>0</v>
          </cell>
          <cell r="EA254" t="str">
            <v/>
          </cell>
          <cell r="EC254">
            <v>0</v>
          </cell>
          <cell r="ED254" t="str">
            <v/>
          </cell>
          <cell r="EF254">
            <v>0</v>
          </cell>
          <cell r="EG254" t="str">
            <v/>
          </cell>
          <cell r="EI254">
            <v>0</v>
          </cell>
          <cell r="EJ254" t="str">
            <v/>
          </cell>
          <cell r="EL254">
            <v>0</v>
          </cell>
          <cell r="EM254" t="str">
            <v/>
          </cell>
          <cell r="EO254">
            <v>0</v>
          </cell>
          <cell r="EP254" t="str">
            <v/>
          </cell>
          <cell r="ER254">
            <v>0</v>
          </cell>
          <cell r="ES254" t="str">
            <v/>
          </cell>
          <cell r="EU254">
            <v>0</v>
          </cell>
          <cell r="EV254" t="str">
            <v/>
          </cell>
          <cell r="EX254">
            <v>0</v>
          </cell>
          <cell r="EY254" t="str">
            <v/>
          </cell>
          <cell r="FA254">
            <v>0</v>
          </cell>
          <cell r="FB254" t="str">
            <v/>
          </cell>
          <cell r="FD254">
            <v>0</v>
          </cell>
          <cell r="FE254" t="str">
            <v/>
          </cell>
          <cell r="FG254">
            <v>0</v>
          </cell>
          <cell r="FH254" t="str">
            <v/>
          </cell>
          <cell r="FJ254">
            <v>0</v>
          </cell>
          <cell r="FK254" t="str">
            <v/>
          </cell>
          <cell r="FM254">
            <v>0</v>
          </cell>
          <cell r="FN254" t="str">
            <v/>
          </cell>
          <cell r="FP254">
            <v>0</v>
          </cell>
          <cell r="FQ254" t="str">
            <v/>
          </cell>
          <cell r="FS254">
            <v>0</v>
          </cell>
          <cell r="FT254" t="str">
            <v/>
          </cell>
          <cell r="FV254">
            <v>0</v>
          </cell>
          <cell r="FW254" t="str">
            <v/>
          </cell>
          <cell r="FY254">
            <v>0</v>
          </cell>
          <cell r="FZ254" t="str">
            <v/>
          </cell>
          <cell r="GB254">
            <v>0</v>
          </cell>
          <cell r="GC254" t="str">
            <v/>
          </cell>
          <cell r="GE254">
            <v>0</v>
          </cell>
          <cell r="GF254" t="str">
            <v/>
          </cell>
          <cell r="GH254">
            <v>0</v>
          </cell>
          <cell r="GI254" t="str">
            <v/>
          </cell>
          <cell r="GK254">
            <v>0</v>
          </cell>
          <cell r="GL254" t="str">
            <v/>
          </cell>
          <cell r="GN254">
            <v>0</v>
          </cell>
          <cell r="GO254" t="str">
            <v/>
          </cell>
          <cell r="GQ254">
            <v>0</v>
          </cell>
          <cell r="GR254" t="str">
            <v/>
          </cell>
          <cell r="GT254">
            <v>0</v>
          </cell>
          <cell r="GU254" t="str">
            <v/>
          </cell>
          <cell r="GW254">
            <v>0</v>
          </cell>
          <cell r="GX254" t="str">
            <v/>
          </cell>
          <cell r="GZ254">
            <v>0</v>
          </cell>
          <cell r="HA254" t="str">
            <v/>
          </cell>
          <cell r="HC254">
            <v>7</v>
          </cell>
          <cell r="HD254">
            <v>44417.857142857145</v>
          </cell>
          <cell r="HF254">
            <v>0</v>
          </cell>
          <cell r="HG254" t="str">
            <v/>
          </cell>
          <cell r="HI254">
            <v>0.1</v>
          </cell>
          <cell r="HJ254">
            <v>26900</v>
          </cell>
          <cell r="HL254">
            <v>102.4</v>
          </cell>
          <cell r="HM254">
            <v>30278.076171875</v>
          </cell>
          <cell r="HO254">
            <v>0</v>
          </cell>
          <cell r="HP254" t="str">
            <v/>
          </cell>
          <cell r="HR254">
            <v>0</v>
          </cell>
          <cell r="HS254" t="str">
            <v/>
          </cell>
          <cell r="HU254">
            <v>0</v>
          </cell>
          <cell r="HV254" t="str">
            <v/>
          </cell>
        </row>
        <row r="255">
          <cell r="DQ255">
            <v>0</v>
          </cell>
          <cell r="DR255" t="str">
            <v/>
          </cell>
          <cell r="DT255">
            <v>0</v>
          </cell>
          <cell r="DU255" t="str">
            <v/>
          </cell>
          <cell r="DW255">
            <v>0</v>
          </cell>
          <cell r="DX255" t="str">
            <v/>
          </cell>
          <cell r="DZ255">
            <v>0</v>
          </cell>
          <cell r="EA255" t="str">
            <v/>
          </cell>
          <cell r="EC255">
            <v>0</v>
          </cell>
          <cell r="ED255" t="str">
            <v/>
          </cell>
          <cell r="EF255">
            <v>0</v>
          </cell>
          <cell r="EG255" t="str">
            <v/>
          </cell>
          <cell r="EI255">
            <v>0</v>
          </cell>
          <cell r="EJ255" t="str">
            <v/>
          </cell>
          <cell r="EL255">
            <v>0</v>
          </cell>
          <cell r="EM255" t="str">
            <v/>
          </cell>
          <cell r="EO255">
            <v>0</v>
          </cell>
          <cell r="EP255" t="str">
            <v/>
          </cell>
          <cell r="ER255">
            <v>0</v>
          </cell>
          <cell r="ES255" t="str">
            <v/>
          </cell>
          <cell r="EU255">
            <v>0</v>
          </cell>
          <cell r="EV255" t="str">
            <v/>
          </cell>
          <cell r="EX255">
            <v>0</v>
          </cell>
          <cell r="EY255" t="str">
            <v/>
          </cell>
          <cell r="FA255">
            <v>0</v>
          </cell>
          <cell r="FB255" t="str">
            <v/>
          </cell>
          <cell r="FD255">
            <v>0</v>
          </cell>
          <cell r="FE255" t="str">
            <v/>
          </cell>
          <cell r="FG255">
            <v>0</v>
          </cell>
          <cell r="FH255" t="str">
            <v/>
          </cell>
          <cell r="FJ255">
            <v>0</v>
          </cell>
          <cell r="FK255" t="str">
            <v/>
          </cell>
          <cell r="FM255">
            <v>0</v>
          </cell>
          <cell r="FN255" t="str">
            <v/>
          </cell>
          <cell r="FP255">
            <v>0</v>
          </cell>
          <cell r="FQ255" t="str">
            <v/>
          </cell>
          <cell r="FS255">
            <v>0</v>
          </cell>
          <cell r="FT255" t="str">
            <v/>
          </cell>
          <cell r="FV255">
            <v>0</v>
          </cell>
          <cell r="FW255" t="str">
            <v/>
          </cell>
          <cell r="FY255">
            <v>0</v>
          </cell>
          <cell r="FZ255" t="str">
            <v/>
          </cell>
          <cell r="GB255">
            <v>0</v>
          </cell>
          <cell r="GC255" t="str">
            <v/>
          </cell>
          <cell r="GE255">
            <v>0</v>
          </cell>
          <cell r="GF255" t="str">
            <v/>
          </cell>
          <cell r="GH255">
            <v>0</v>
          </cell>
          <cell r="GI255" t="str">
            <v/>
          </cell>
          <cell r="GK255">
            <v>0</v>
          </cell>
          <cell r="GL255" t="str">
            <v/>
          </cell>
          <cell r="GN255">
            <v>0</v>
          </cell>
          <cell r="GO255" t="str">
            <v/>
          </cell>
          <cell r="GQ255">
            <v>0</v>
          </cell>
          <cell r="GR255" t="str">
            <v/>
          </cell>
          <cell r="GT255">
            <v>0</v>
          </cell>
          <cell r="GU255" t="str">
            <v/>
          </cell>
          <cell r="GW255">
            <v>0</v>
          </cell>
          <cell r="GX255" t="str">
            <v/>
          </cell>
          <cell r="GZ255">
            <v>0</v>
          </cell>
          <cell r="HA255" t="str">
            <v/>
          </cell>
          <cell r="HC255">
            <v>0.01</v>
          </cell>
          <cell r="HD255">
            <v>22880</v>
          </cell>
          <cell r="HF255">
            <v>0</v>
          </cell>
          <cell r="HG255" t="str">
            <v/>
          </cell>
          <cell r="HI255">
            <v>0.05</v>
          </cell>
          <cell r="HJ255">
            <v>31760</v>
          </cell>
          <cell r="HL255">
            <v>20.84</v>
          </cell>
          <cell r="HM255">
            <v>30274.088291746641</v>
          </cell>
          <cell r="HO255">
            <v>0</v>
          </cell>
          <cell r="HP255" t="str">
            <v/>
          </cell>
          <cell r="HR255">
            <v>0</v>
          </cell>
          <cell r="HS255" t="str">
            <v/>
          </cell>
          <cell r="HU255">
            <v>0</v>
          </cell>
          <cell r="HV255" t="str">
            <v/>
          </cell>
        </row>
        <row r="256">
          <cell r="DQ256">
            <v>0</v>
          </cell>
          <cell r="DR256" t="str">
            <v/>
          </cell>
          <cell r="DT256">
            <v>0</v>
          </cell>
          <cell r="DU256" t="str">
            <v/>
          </cell>
          <cell r="DW256">
            <v>0</v>
          </cell>
          <cell r="DX256" t="str">
            <v/>
          </cell>
          <cell r="DZ256">
            <v>0</v>
          </cell>
          <cell r="EA256" t="str">
            <v/>
          </cell>
          <cell r="EC256">
            <v>0</v>
          </cell>
          <cell r="ED256" t="str">
            <v/>
          </cell>
          <cell r="EF256">
            <v>0</v>
          </cell>
          <cell r="EG256" t="str">
            <v/>
          </cell>
          <cell r="EI256">
            <v>0</v>
          </cell>
          <cell r="EJ256" t="str">
            <v/>
          </cell>
          <cell r="EL256">
            <v>0</v>
          </cell>
          <cell r="EM256" t="str">
            <v/>
          </cell>
          <cell r="EO256">
            <v>0</v>
          </cell>
          <cell r="EP256" t="str">
            <v/>
          </cell>
          <cell r="ER256">
            <v>0</v>
          </cell>
          <cell r="ES256" t="str">
            <v/>
          </cell>
          <cell r="EU256">
            <v>0</v>
          </cell>
          <cell r="EV256" t="str">
            <v/>
          </cell>
          <cell r="EX256">
            <v>0</v>
          </cell>
          <cell r="EY256" t="str">
            <v/>
          </cell>
          <cell r="FA256">
            <v>0</v>
          </cell>
          <cell r="FB256" t="str">
            <v/>
          </cell>
          <cell r="FD256">
            <v>0</v>
          </cell>
          <cell r="FE256" t="str">
            <v/>
          </cell>
          <cell r="FG256">
            <v>0</v>
          </cell>
          <cell r="FH256" t="str">
            <v/>
          </cell>
          <cell r="FJ256">
            <v>0</v>
          </cell>
          <cell r="FK256" t="str">
            <v/>
          </cell>
          <cell r="FM256">
            <v>0</v>
          </cell>
          <cell r="FN256" t="str">
            <v/>
          </cell>
          <cell r="FP256">
            <v>0</v>
          </cell>
          <cell r="FQ256" t="str">
            <v/>
          </cell>
          <cell r="FS256">
            <v>0</v>
          </cell>
          <cell r="FT256" t="str">
            <v/>
          </cell>
          <cell r="FV256">
            <v>0</v>
          </cell>
          <cell r="FW256" t="str">
            <v/>
          </cell>
          <cell r="FY256">
            <v>0</v>
          </cell>
          <cell r="FZ256" t="str">
            <v/>
          </cell>
          <cell r="GB256">
            <v>0</v>
          </cell>
          <cell r="GC256" t="str">
            <v/>
          </cell>
          <cell r="GE256">
            <v>0</v>
          </cell>
          <cell r="GF256" t="str">
            <v/>
          </cell>
          <cell r="GH256">
            <v>0</v>
          </cell>
          <cell r="GI256" t="str">
            <v/>
          </cell>
          <cell r="GK256">
            <v>0</v>
          </cell>
          <cell r="GL256" t="str">
            <v/>
          </cell>
          <cell r="GN256">
            <v>0</v>
          </cell>
          <cell r="GO256" t="str">
            <v/>
          </cell>
          <cell r="GQ256">
            <v>0</v>
          </cell>
          <cell r="GR256" t="str">
            <v/>
          </cell>
          <cell r="GT256">
            <v>0</v>
          </cell>
          <cell r="GU256" t="str">
            <v/>
          </cell>
          <cell r="GW256">
            <v>0</v>
          </cell>
          <cell r="GX256" t="str">
            <v/>
          </cell>
          <cell r="GZ256">
            <v>0</v>
          </cell>
          <cell r="HA256" t="str">
            <v/>
          </cell>
          <cell r="HC256">
            <v>0</v>
          </cell>
          <cell r="HD256" t="str">
            <v/>
          </cell>
          <cell r="HF256">
            <v>0</v>
          </cell>
          <cell r="HG256" t="str">
            <v/>
          </cell>
          <cell r="HI256">
            <v>0</v>
          </cell>
          <cell r="HJ256" t="str">
            <v/>
          </cell>
          <cell r="HL256">
            <v>0</v>
          </cell>
          <cell r="HM256" t="str">
            <v/>
          </cell>
          <cell r="HO256">
            <v>0</v>
          </cell>
          <cell r="HP256" t="str">
            <v/>
          </cell>
          <cell r="HR256">
            <v>0</v>
          </cell>
          <cell r="HS256" t="str">
            <v/>
          </cell>
          <cell r="HU256">
            <v>0</v>
          </cell>
          <cell r="HV256" t="str">
            <v/>
          </cell>
        </row>
        <row r="257">
          <cell r="DQ257">
            <v>0</v>
          </cell>
          <cell r="DR257" t="str">
            <v/>
          </cell>
          <cell r="DT257">
            <v>0</v>
          </cell>
          <cell r="DU257" t="str">
            <v/>
          </cell>
          <cell r="DW257">
            <v>0</v>
          </cell>
          <cell r="DX257" t="str">
            <v/>
          </cell>
          <cell r="DZ257">
            <v>0</v>
          </cell>
          <cell r="EA257" t="str">
            <v/>
          </cell>
          <cell r="EC257">
            <v>0</v>
          </cell>
          <cell r="ED257" t="str">
            <v/>
          </cell>
          <cell r="EF257">
            <v>0</v>
          </cell>
          <cell r="EG257" t="str">
            <v/>
          </cell>
          <cell r="EI257">
            <v>0</v>
          </cell>
          <cell r="EJ257" t="str">
            <v/>
          </cell>
          <cell r="EL257">
            <v>0</v>
          </cell>
          <cell r="EM257" t="str">
            <v/>
          </cell>
          <cell r="EO257">
            <v>0</v>
          </cell>
          <cell r="EP257" t="str">
            <v/>
          </cell>
          <cell r="ER257">
            <v>0</v>
          </cell>
          <cell r="ES257" t="str">
            <v/>
          </cell>
          <cell r="EU257">
            <v>0</v>
          </cell>
          <cell r="EV257" t="str">
            <v/>
          </cell>
          <cell r="EX257">
            <v>0</v>
          </cell>
          <cell r="EY257" t="str">
            <v/>
          </cell>
          <cell r="FA257">
            <v>0</v>
          </cell>
          <cell r="FB257" t="str">
            <v/>
          </cell>
          <cell r="FD257">
            <v>0</v>
          </cell>
          <cell r="FE257" t="str">
            <v/>
          </cell>
          <cell r="FG257">
            <v>0</v>
          </cell>
          <cell r="FH257" t="str">
            <v/>
          </cell>
          <cell r="FJ257">
            <v>0</v>
          </cell>
          <cell r="FK257" t="str">
            <v/>
          </cell>
          <cell r="FM257">
            <v>0</v>
          </cell>
          <cell r="FN257" t="str">
            <v/>
          </cell>
          <cell r="FP257">
            <v>0</v>
          </cell>
          <cell r="FQ257" t="str">
            <v/>
          </cell>
          <cell r="FS257">
            <v>0</v>
          </cell>
          <cell r="FT257" t="str">
            <v/>
          </cell>
          <cell r="FV257">
            <v>0</v>
          </cell>
          <cell r="FW257" t="str">
            <v/>
          </cell>
          <cell r="FY257">
            <v>0</v>
          </cell>
          <cell r="FZ257" t="str">
            <v/>
          </cell>
          <cell r="GB257">
            <v>0</v>
          </cell>
          <cell r="GC257" t="str">
            <v/>
          </cell>
          <cell r="GE257">
            <v>0</v>
          </cell>
          <cell r="GF257" t="str">
            <v/>
          </cell>
          <cell r="GH257">
            <v>0</v>
          </cell>
          <cell r="GI257" t="str">
            <v/>
          </cell>
          <cell r="GK257">
            <v>0</v>
          </cell>
          <cell r="GL257" t="str">
            <v/>
          </cell>
          <cell r="GN257">
            <v>0</v>
          </cell>
          <cell r="GO257" t="str">
            <v/>
          </cell>
          <cell r="GQ257">
            <v>0</v>
          </cell>
          <cell r="GR257" t="str">
            <v/>
          </cell>
          <cell r="GT257">
            <v>0</v>
          </cell>
          <cell r="GU257" t="str">
            <v/>
          </cell>
          <cell r="GW257">
            <v>0</v>
          </cell>
          <cell r="GX257" t="str">
            <v/>
          </cell>
          <cell r="GZ257">
            <v>0</v>
          </cell>
          <cell r="HA257" t="str">
            <v/>
          </cell>
          <cell r="HC257">
            <v>0</v>
          </cell>
          <cell r="HD257" t="str">
            <v/>
          </cell>
          <cell r="HF257">
            <v>0</v>
          </cell>
          <cell r="HG257" t="str">
            <v/>
          </cell>
          <cell r="HI257">
            <v>0</v>
          </cell>
          <cell r="HJ257" t="str">
            <v/>
          </cell>
          <cell r="HL257">
            <v>0</v>
          </cell>
          <cell r="HM257" t="str">
            <v/>
          </cell>
          <cell r="HO257">
            <v>0</v>
          </cell>
          <cell r="HP257" t="str">
            <v/>
          </cell>
          <cell r="HR257">
            <v>0</v>
          </cell>
          <cell r="HS257" t="str">
            <v/>
          </cell>
          <cell r="HU257">
            <v>0</v>
          </cell>
          <cell r="HV257" t="str">
            <v/>
          </cell>
        </row>
        <row r="258">
          <cell r="DQ258">
            <v>0</v>
          </cell>
          <cell r="DR258" t="str">
            <v/>
          </cell>
          <cell r="DT258">
            <v>0</v>
          </cell>
          <cell r="DU258" t="str">
            <v/>
          </cell>
          <cell r="DW258">
            <v>0</v>
          </cell>
          <cell r="DX258" t="str">
            <v/>
          </cell>
          <cell r="DZ258">
            <v>0</v>
          </cell>
          <cell r="EA258" t="str">
            <v/>
          </cell>
          <cell r="EC258">
            <v>0</v>
          </cell>
          <cell r="ED258" t="str">
            <v/>
          </cell>
          <cell r="EF258">
            <v>0</v>
          </cell>
          <cell r="EG258" t="str">
            <v/>
          </cell>
          <cell r="EI258">
            <v>0</v>
          </cell>
          <cell r="EJ258" t="str">
            <v/>
          </cell>
          <cell r="EL258">
            <v>0</v>
          </cell>
          <cell r="EM258" t="str">
            <v/>
          </cell>
          <cell r="EO258">
            <v>0</v>
          </cell>
          <cell r="EP258" t="str">
            <v/>
          </cell>
          <cell r="ER258">
            <v>0</v>
          </cell>
          <cell r="ES258" t="str">
            <v/>
          </cell>
          <cell r="EU258">
            <v>0</v>
          </cell>
          <cell r="EV258" t="str">
            <v/>
          </cell>
          <cell r="EX258">
            <v>0</v>
          </cell>
          <cell r="EY258" t="str">
            <v/>
          </cell>
          <cell r="FA258">
            <v>0</v>
          </cell>
          <cell r="FB258" t="str">
            <v/>
          </cell>
          <cell r="FD258">
            <v>0</v>
          </cell>
          <cell r="FE258" t="str">
            <v/>
          </cell>
          <cell r="FG258">
            <v>0</v>
          </cell>
          <cell r="FH258" t="str">
            <v/>
          </cell>
          <cell r="FJ258">
            <v>0</v>
          </cell>
          <cell r="FK258" t="str">
            <v/>
          </cell>
          <cell r="FM258">
            <v>0</v>
          </cell>
          <cell r="FN258" t="str">
            <v/>
          </cell>
          <cell r="FP258">
            <v>0</v>
          </cell>
          <cell r="FQ258" t="str">
            <v/>
          </cell>
          <cell r="FS258">
            <v>0</v>
          </cell>
          <cell r="FT258" t="str">
            <v/>
          </cell>
          <cell r="FV258">
            <v>0</v>
          </cell>
          <cell r="FW258" t="str">
            <v/>
          </cell>
          <cell r="FY258">
            <v>0</v>
          </cell>
          <cell r="FZ258" t="str">
            <v/>
          </cell>
          <cell r="GB258">
            <v>0</v>
          </cell>
          <cell r="GC258" t="str">
            <v/>
          </cell>
          <cell r="GE258">
            <v>0</v>
          </cell>
          <cell r="GF258" t="str">
            <v/>
          </cell>
          <cell r="GH258">
            <v>0</v>
          </cell>
          <cell r="GI258" t="str">
            <v/>
          </cell>
          <cell r="GK258">
            <v>0</v>
          </cell>
          <cell r="GL258" t="str">
            <v/>
          </cell>
          <cell r="GN258">
            <v>0</v>
          </cell>
          <cell r="GO258" t="str">
            <v/>
          </cell>
          <cell r="GQ258">
            <v>0</v>
          </cell>
          <cell r="GR258" t="str">
            <v/>
          </cell>
          <cell r="GT258">
            <v>0</v>
          </cell>
          <cell r="GU258" t="str">
            <v/>
          </cell>
          <cell r="GW258">
            <v>0</v>
          </cell>
          <cell r="GX258" t="str">
            <v/>
          </cell>
          <cell r="GZ258">
            <v>0</v>
          </cell>
          <cell r="HA258" t="str">
            <v/>
          </cell>
          <cell r="HC258">
            <v>0</v>
          </cell>
          <cell r="HD258" t="str">
            <v/>
          </cell>
          <cell r="HF258">
            <v>0</v>
          </cell>
          <cell r="HG258" t="str">
            <v/>
          </cell>
          <cell r="HI258">
            <v>0</v>
          </cell>
          <cell r="HJ258" t="str">
            <v/>
          </cell>
          <cell r="HL258">
            <v>0</v>
          </cell>
          <cell r="HM258" t="str">
            <v/>
          </cell>
          <cell r="HO258">
            <v>0</v>
          </cell>
          <cell r="HP258" t="str">
            <v/>
          </cell>
          <cell r="HR258">
            <v>0</v>
          </cell>
          <cell r="HS258" t="str">
            <v/>
          </cell>
          <cell r="HU258">
            <v>0</v>
          </cell>
          <cell r="HV258" t="str">
            <v/>
          </cell>
        </row>
        <row r="259">
          <cell r="DQ259">
            <v>0.2</v>
          </cell>
          <cell r="DR259">
            <v>63280</v>
          </cell>
          <cell r="DT259">
            <v>0</v>
          </cell>
          <cell r="DU259" t="str">
            <v/>
          </cell>
          <cell r="DW259">
            <v>0</v>
          </cell>
          <cell r="DX259" t="str">
            <v/>
          </cell>
          <cell r="DZ259">
            <v>0</v>
          </cell>
          <cell r="EA259" t="str">
            <v/>
          </cell>
          <cell r="EC259">
            <v>0</v>
          </cell>
          <cell r="ED259" t="str">
            <v/>
          </cell>
          <cell r="EF259">
            <v>0</v>
          </cell>
          <cell r="EG259" t="str">
            <v/>
          </cell>
          <cell r="EI259">
            <v>0</v>
          </cell>
          <cell r="EJ259" t="str">
            <v/>
          </cell>
          <cell r="EL259">
            <v>0</v>
          </cell>
          <cell r="EM259" t="str">
            <v/>
          </cell>
          <cell r="EO259">
            <v>0</v>
          </cell>
          <cell r="EP259" t="str">
            <v/>
          </cell>
          <cell r="ER259">
            <v>0</v>
          </cell>
          <cell r="ES259" t="str">
            <v/>
          </cell>
          <cell r="EU259">
            <v>0</v>
          </cell>
          <cell r="EV259" t="str">
            <v/>
          </cell>
          <cell r="EX259">
            <v>0</v>
          </cell>
          <cell r="EY259" t="str">
            <v/>
          </cell>
          <cell r="FA259">
            <v>0</v>
          </cell>
          <cell r="FB259" t="str">
            <v/>
          </cell>
          <cell r="FD259">
            <v>0</v>
          </cell>
          <cell r="FE259" t="str">
            <v/>
          </cell>
          <cell r="FG259">
            <v>0</v>
          </cell>
          <cell r="FH259" t="str">
            <v/>
          </cell>
          <cell r="FJ259">
            <v>0</v>
          </cell>
          <cell r="FK259" t="str">
            <v/>
          </cell>
          <cell r="FM259">
            <v>0</v>
          </cell>
          <cell r="FN259" t="str">
            <v/>
          </cell>
          <cell r="FP259">
            <v>0</v>
          </cell>
          <cell r="FQ259" t="str">
            <v/>
          </cell>
          <cell r="FS259">
            <v>0</v>
          </cell>
          <cell r="FT259" t="str">
            <v/>
          </cell>
          <cell r="FV259">
            <v>0</v>
          </cell>
          <cell r="FW259" t="str">
            <v/>
          </cell>
          <cell r="FY259">
            <v>0</v>
          </cell>
          <cell r="FZ259" t="str">
            <v/>
          </cell>
          <cell r="GB259">
            <v>0</v>
          </cell>
          <cell r="GC259" t="str">
            <v/>
          </cell>
          <cell r="GE259">
            <v>0</v>
          </cell>
          <cell r="GF259" t="str">
            <v/>
          </cell>
          <cell r="GH259">
            <v>0</v>
          </cell>
          <cell r="GI259" t="str">
            <v/>
          </cell>
          <cell r="GK259">
            <v>0</v>
          </cell>
          <cell r="GL259" t="str">
            <v/>
          </cell>
          <cell r="GN259">
            <v>0</v>
          </cell>
          <cell r="GO259" t="str">
            <v/>
          </cell>
          <cell r="GQ259">
            <v>0</v>
          </cell>
          <cell r="GR259" t="str">
            <v/>
          </cell>
          <cell r="GT259">
            <v>0</v>
          </cell>
          <cell r="GU259" t="str">
            <v/>
          </cell>
          <cell r="GW259">
            <v>0</v>
          </cell>
          <cell r="GX259" t="str">
            <v/>
          </cell>
          <cell r="GZ259">
            <v>0</v>
          </cell>
          <cell r="HA259" t="str">
            <v/>
          </cell>
          <cell r="HC259">
            <v>4.04</v>
          </cell>
          <cell r="HD259">
            <v>44503.960396039605</v>
          </cell>
          <cell r="HF259">
            <v>0</v>
          </cell>
          <cell r="HG259" t="str">
            <v/>
          </cell>
          <cell r="HI259">
            <v>2.86</v>
          </cell>
          <cell r="HJ259">
            <v>37311.188811188811</v>
          </cell>
          <cell r="HL259">
            <v>0.86</v>
          </cell>
          <cell r="HM259">
            <v>30272.093023255813</v>
          </cell>
          <cell r="HO259">
            <v>0</v>
          </cell>
          <cell r="HP259" t="str">
            <v/>
          </cell>
          <cell r="HR259">
            <v>0</v>
          </cell>
          <cell r="HS259" t="str">
            <v/>
          </cell>
          <cell r="HU259">
            <v>0</v>
          </cell>
          <cell r="HV259" t="str">
            <v/>
          </cell>
        </row>
        <row r="260">
          <cell r="DQ260">
            <v>0</v>
          </cell>
          <cell r="DR260" t="str">
            <v/>
          </cell>
          <cell r="DT260">
            <v>0</v>
          </cell>
          <cell r="DU260" t="str">
            <v/>
          </cell>
          <cell r="DW260">
            <v>0</v>
          </cell>
          <cell r="DX260" t="str">
            <v/>
          </cell>
          <cell r="DZ260">
            <v>0</v>
          </cell>
          <cell r="EA260" t="str">
            <v/>
          </cell>
          <cell r="EC260">
            <v>0</v>
          </cell>
          <cell r="ED260" t="str">
            <v/>
          </cell>
          <cell r="EF260">
            <v>0</v>
          </cell>
          <cell r="EG260" t="str">
            <v/>
          </cell>
          <cell r="EI260">
            <v>0</v>
          </cell>
          <cell r="EJ260" t="str">
            <v/>
          </cell>
          <cell r="EL260">
            <v>0</v>
          </cell>
          <cell r="EM260" t="str">
            <v/>
          </cell>
          <cell r="EO260">
            <v>0</v>
          </cell>
          <cell r="EP260" t="str">
            <v/>
          </cell>
          <cell r="ER260">
            <v>0</v>
          </cell>
          <cell r="ES260" t="str">
            <v/>
          </cell>
          <cell r="EU260">
            <v>0</v>
          </cell>
          <cell r="EV260" t="str">
            <v/>
          </cell>
          <cell r="EX260">
            <v>0</v>
          </cell>
          <cell r="EY260" t="str">
            <v/>
          </cell>
          <cell r="FA260">
            <v>0</v>
          </cell>
          <cell r="FB260" t="str">
            <v/>
          </cell>
          <cell r="FD260">
            <v>0</v>
          </cell>
          <cell r="FE260" t="str">
            <v/>
          </cell>
          <cell r="FG260">
            <v>0</v>
          </cell>
          <cell r="FH260" t="str">
            <v/>
          </cell>
          <cell r="FJ260">
            <v>0</v>
          </cell>
          <cell r="FK260" t="str">
            <v/>
          </cell>
          <cell r="FM260">
            <v>0</v>
          </cell>
          <cell r="FN260" t="str">
            <v/>
          </cell>
          <cell r="FP260">
            <v>0</v>
          </cell>
          <cell r="FQ260" t="str">
            <v/>
          </cell>
          <cell r="FS260">
            <v>0</v>
          </cell>
          <cell r="FT260" t="str">
            <v/>
          </cell>
          <cell r="FV260">
            <v>0</v>
          </cell>
          <cell r="FW260" t="str">
            <v/>
          </cell>
          <cell r="FY260">
            <v>0</v>
          </cell>
          <cell r="FZ260" t="str">
            <v/>
          </cell>
          <cell r="GB260">
            <v>0</v>
          </cell>
          <cell r="GC260" t="str">
            <v/>
          </cell>
          <cell r="GE260">
            <v>0</v>
          </cell>
          <cell r="GF260" t="str">
            <v/>
          </cell>
          <cell r="GH260">
            <v>0</v>
          </cell>
          <cell r="GI260" t="str">
            <v/>
          </cell>
          <cell r="GK260">
            <v>0</v>
          </cell>
          <cell r="GL260" t="str">
            <v/>
          </cell>
          <cell r="GN260">
            <v>0</v>
          </cell>
          <cell r="GO260" t="str">
            <v/>
          </cell>
          <cell r="GQ260">
            <v>0</v>
          </cell>
          <cell r="GR260" t="str">
            <v/>
          </cell>
          <cell r="GT260">
            <v>0</v>
          </cell>
          <cell r="GU260" t="str">
            <v/>
          </cell>
          <cell r="GW260">
            <v>0</v>
          </cell>
          <cell r="GX260" t="str">
            <v/>
          </cell>
          <cell r="GZ260">
            <v>0</v>
          </cell>
          <cell r="HA260" t="str">
            <v/>
          </cell>
          <cell r="HC260">
            <v>7.0000000000000001E-3</v>
          </cell>
          <cell r="HD260">
            <v>22880</v>
          </cell>
          <cell r="HF260">
            <v>8.82</v>
          </cell>
          <cell r="HG260">
            <v>30250.113378684808</v>
          </cell>
          <cell r="HI260">
            <v>0</v>
          </cell>
          <cell r="HJ260" t="str">
            <v/>
          </cell>
          <cell r="HL260">
            <v>0</v>
          </cell>
          <cell r="HM260" t="str">
            <v/>
          </cell>
          <cell r="HO260">
            <v>0</v>
          </cell>
          <cell r="HP260" t="str">
            <v/>
          </cell>
          <cell r="HR260">
            <v>0</v>
          </cell>
          <cell r="HS260" t="str">
            <v/>
          </cell>
          <cell r="HU260">
            <v>0</v>
          </cell>
          <cell r="HV260" t="str">
            <v/>
          </cell>
        </row>
        <row r="261">
          <cell r="DQ261">
            <v>0</v>
          </cell>
          <cell r="DR261" t="str">
            <v/>
          </cell>
          <cell r="DT261">
            <v>0</v>
          </cell>
          <cell r="DU261" t="str">
            <v/>
          </cell>
          <cell r="DW261">
            <v>0</v>
          </cell>
          <cell r="DX261" t="str">
            <v/>
          </cell>
          <cell r="DZ261">
            <v>0</v>
          </cell>
          <cell r="EA261" t="str">
            <v/>
          </cell>
          <cell r="EC261">
            <v>0</v>
          </cell>
          <cell r="ED261" t="str">
            <v/>
          </cell>
          <cell r="EF261">
            <v>0</v>
          </cell>
          <cell r="EG261" t="str">
            <v/>
          </cell>
          <cell r="EI261">
            <v>0</v>
          </cell>
          <cell r="EJ261" t="str">
            <v/>
          </cell>
          <cell r="EL261">
            <v>0</v>
          </cell>
          <cell r="EM261" t="str">
            <v/>
          </cell>
          <cell r="EO261">
            <v>0</v>
          </cell>
          <cell r="EP261" t="str">
            <v/>
          </cell>
          <cell r="ER261">
            <v>0</v>
          </cell>
          <cell r="ES261" t="str">
            <v/>
          </cell>
          <cell r="EU261">
            <v>0</v>
          </cell>
          <cell r="EV261" t="str">
            <v/>
          </cell>
          <cell r="EX261">
            <v>0</v>
          </cell>
          <cell r="EY261" t="str">
            <v/>
          </cell>
          <cell r="FA261">
            <v>0</v>
          </cell>
          <cell r="FB261" t="str">
            <v/>
          </cell>
          <cell r="FD261">
            <v>0</v>
          </cell>
          <cell r="FE261" t="str">
            <v/>
          </cell>
          <cell r="FG261">
            <v>0</v>
          </cell>
          <cell r="FH261" t="str">
            <v/>
          </cell>
          <cell r="FJ261">
            <v>0</v>
          </cell>
          <cell r="FK261" t="str">
            <v/>
          </cell>
          <cell r="FM261">
            <v>0</v>
          </cell>
          <cell r="FN261" t="str">
            <v/>
          </cell>
          <cell r="FP261">
            <v>0</v>
          </cell>
          <cell r="FQ261" t="str">
            <v/>
          </cell>
          <cell r="FS261">
            <v>0</v>
          </cell>
          <cell r="FT261" t="str">
            <v/>
          </cell>
          <cell r="FV261">
            <v>0</v>
          </cell>
          <cell r="FW261" t="str">
            <v/>
          </cell>
          <cell r="FY261">
            <v>0</v>
          </cell>
          <cell r="FZ261" t="str">
            <v/>
          </cell>
          <cell r="GB261">
            <v>0</v>
          </cell>
          <cell r="GC261" t="str">
            <v/>
          </cell>
          <cell r="GE261">
            <v>0</v>
          </cell>
          <cell r="GF261" t="str">
            <v/>
          </cell>
          <cell r="GH261">
            <v>0</v>
          </cell>
          <cell r="GI261" t="str">
            <v/>
          </cell>
          <cell r="GK261">
            <v>0</v>
          </cell>
          <cell r="GL261" t="str">
            <v/>
          </cell>
          <cell r="GN261">
            <v>0</v>
          </cell>
          <cell r="GO261" t="str">
            <v/>
          </cell>
          <cell r="GQ261">
            <v>0</v>
          </cell>
          <cell r="GR261" t="str">
            <v/>
          </cell>
          <cell r="GT261">
            <v>0</v>
          </cell>
          <cell r="GU261" t="str">
            <v/>
          </cell>
          <cell r="GW261">
            <v>0</v>
          </cell>
          <cell r="GX261" t="str">
            <v/>
          </cell>
          <cell r="GZ261">
            <v>0</v>
          </cell>
          <cell r="HA261" t="str">
            <v/>
          </cell>
          <cell r="HC261">
            <v>3.7800000000000002</v>
          </cell>
          <cell r="HD261">
            <v>44441.269841269837</v>
          </cell>
          <cell r="HF261">
            <v>0</v>
          </cell>
          <cell r="HG261" t="str">
            <v/>
          </cell>
          <cell r="HI261">
            <v>0</v>
          </cell>
          <cell r="HJ261" t="str">
            <v/>
          </cell>
          <cell r="HL261">
            <v>0.03</v>
          </cell>
          <cell r="HM261">
            <v>22880</v>
          </cell>
          <cell r="HO261">
            <v>0</v>
          </cell>
          <cell r="HP261" t="str">
            <v/>
          </cell>
          <cell r="HR261">
            <v>0</v>
          </cell>
          <cell r="HS261" t="str">
            <v/>
          </cell>
          <cell r="HU261">
            <v>0</v>
          </cell>
          <cell r="HV261" t="str">
            <v/>
          </cell>
        </row>
        <row r="262">
          <cell r="DQ262">
            <v>0</v>
          </cell>
          <cell r="DR262" t="str">
            <v/>
          </cell>
          <cell r="DT262">
            <v>0</v>
          </cell>
          <cell r="DU262" t="str">
            <v/>
          </cell>
          <cell r="DW262">
            <v>0</v>
          </cell>
          <cell r="DX262" t="str">
            <v/>
          </cell>
          <cell r="DZ262">
            <v>0</v>
          </cell>
          <cell r="EA262" t="str">
            <v/>
          </cell>
          <cell r="EC262">
            <v>0</v>
          </cell>
          <cell r="ED262" t="str">
            <v/>
          </cell>
          <cell r="EF262">
            <v>0</v>
          </cell>
          <cell r="EG262" t="str">
            <v/>
          </cell>
          <cell r="EI262">
            <v>0</v>
          </cell>
          <cell r="EJ262" t="str">
            <v/>
          </cell>
          <cell r="EL262">
            <v>0</v>
          </cell>
          <cell r="EM262" t="str">
            <v/>
          </cell>
          <cell r="EO262">
            <v>0</v>
          </cell>
          <cell r="EP262" t="str">
            <v/>
          </cell>
          <cell r="ER262">
            <v>0</v>
          </cell>
          <cell r="ES262" t="str">
            <v/>
          </cell>
          <cell r="EU262">
            <v>0</v>
          </cell>
          <cell r="EV262" t="str">
            <v/>
          </cell>
          <cell r="EX262">
            <v>0</v>
          </cell>
          <cell r="EY262" t="str">
            <v/>
          </cell>
          <cell r="FA262">
            <v>0</v>
          </cell>
          <cell r="FB262" t="str">
            <v/>
          </cell>
          <cell r="FD262">
            <v>0</v>
          </cell>
          <cell r="FE262" t="str">
            <v/>
          </cell>
          <cell r="FG262">
            <v>0</v>
          </cell>
          <cell r="FH262" t="str">
            <v/>
          </cell>
          <cell r="FJ262">
            <v>0</v>
          </cell>
          <cell r="FK262" t="str">
            <v/>
          </cell>
          <cell r="FM262">
            <v>0</v>
          </cell>
          <cell r="FN262" t="str">
            <v/>
          </cell>
          <cell r="FP262">
            <v>0</v>
          </cell>
          <cell r="FQ262" t="str">
            <v/>
          </cell>
          <cell r="FS262">
            <v>0</v>
          </cell>
          <cell r="FT262" t="str">
            <v/>
          </cell>
          <cell r="FV262">
            <v>0</v>
          </cell>
          <cell r="FW262" t="str">
            <v/>
          </cell>
          <cell r="FY262">
            <v>0</v>
          </cell>
          <cell r="FZ262" t="str">
            <v/>
          </cell>
          <cell r="GB262">
            <v>0</v>
          </cell>
          <cell r="GC262" t="str">
            <v/>
          </cell>
          <cell r="GE262">
            <v>0</v>
          </cell>
          <cell r="GF262" t="str">
            <v/>
          </cell>
          <cell r="GH262">
            <v>0</v>
          </cell>
          <cell r="GI262" t="str">
            <v/>
          </cell>
          <cell r="GK262">
            <v>0</v>
          </cell>
          <cell r="GL262" t="str">
            <v/>
          </cell>
          <cell r="GN262">
            <v>0</v>
          </cell>
          <cell r="GO262" t="str">
            <v/>
          </cell>
          <cell r="GQ262">
            <v>0</v>
          </cell>
          <cell r="GR262" t="str">
            <v/>
          </cell>
          <cell r="GT262">
            <v>0</v>
          </cell>
          <cell r="GU262" t="str">
            <v/>
          </cell>
          <cell r="GW262">
            <v>0</v>
          </cell>
          <cell r="GX262" t="str">
            <v/>
          </cell>
          <cell r="GZ262">
            <v>0</v>
          </cell>
          <cell r="HA262" t="str">
            <v/>
          </cell>
          <cell r="HC262">
            <v>0</v>
          </cell>
          <cell r="HD262" t="str">
            <v/>
          </cell>
          <cell r="HF262">
            <v>0</v>
          </cell>
          <cell r="HG262" t="str">
            <v/>
          </cell>
          <cell r="HI262">
            <v>0</v>
          </cell>
          <cell r="HJ262" t="str">
            <v/>
          </cell>
          <cell r="HL262">
            <v>4.1999999999999993</v>
          </cell>
          <cell r="HM262">
            <v>30615.000000000004</v>
          </cell>
          <cell r="HO262">
            <v>0</v>
          </cell>
          <cell r="HP262" t="str">
            <v/>
          </cell>
          <cell r="HR262">
            <v>0</v>
          </cell>
          <cell r="HS262" t="str">
            <v/>
          </cell>
          <cell r="HU262">
            <v>0</v>
          </cell>
          <cell r="HV262" t="str">
            <v/>
          </cell>
        </row>
        <row r="263">
          <cell r="DQ263">
            <v>0</v>
          </cell>
          <cell r="DR263" t="str">
            <v/>
          </cell>
          <cell r="DT263">
            <v>0</v>
          </cell>
          <cell r="DU263" t="str">
            <v/>
          </cell>
          <cell r="DW263">
            <v>0</v>
          </cell>
          <cell r="DX263" t="str">
            <v/>
          </cell>
          <cell r="DZ263">
            <v>0</v>
          </cell>
          <cell r="EA263" t="str">
            <v/>
          </cell>
          <cell r="EC263">
            <v>0</v>
          </cell>
          <cell r="ED263" t="str">
            <v/>
          </cell>
          <cell r="EF263">
            <v>0</v>
          </cell>
          <cell r="EG263" t="str">
            <v/>
          </cell>
          <cell r="EI263">
            <v>0</v>
          </cell>
          <cell r="EJ263" t="str">
            <v/>
          </cell>
          <cell r="EL263">
            <v>0</v>
          </cell>
          <cell r="EM263" t="str">
            <v/>
          </cell>
          <cell r="EO263">
            <v>0</v>
          </cell>
          <cell r="EP263" t="str">
            <v/>
          </cell>
          <cell r="ER263">
            <v>0</v>
          </cell>
          <cell r="ES263" t="str">
            <v/>
          </cell>
          <cell r="EU263">
            <v>0</v>
          </cell>
          <cell r="EV263" t="str">
            <v/>
          </cell>
          <cell r="EX263">
            <v>0</v>
          </cell>
          <cell r="EY263" t="str">
            <v/>
          </cell>
          <cell r="FA263">
            <v>0</v>
          </cell>
          <cell r="FB263" t="str">
            <v/>
          </cell>
          <cell r="FD263">
            <v>0</v>
          </cell>
          <cell r="FE263" t="str">
            <v/>
          </cell>
          <cell r="FG263">
            <v>0</v>
          </cell>
          <cell r="FH263" t="str">
            <v/>
          </cell>
          <cell r="FJ263">
            <v>0</v>
          </cell>
          <cell r="FK263" t="str">
            <v/>
          </cell>
          <cell r="FM263">
            <v>0</v>
          </cell>
          <cell r="FN263" t="str">
            <v/>
          </cell>
          <cell r="FP263">
            <v>0</v>
          </cell>
          <cell r="FQ263" t="str">
            <v/>
          </cell>
          <cell r="FS263">
            <v>0</v>
          </cell>
          <cell r="FT263" t="str">
            <v/>
          </cell>
          <cell r="FV263">
            <v>0</v>
          </cell>
          <cell r="FW263" t="str">
            <v/>
          </cell>
          <cell r="FY263">
            <v>0</v>
          </cell>
          <cell r="FZ263" t="str">
            <v/>
          </cell>
          <cell r="GB263">
            <v>0</v>
          </cell>
          <cell r="GC263" t="str">
            <v/>
          </cell>
          <cell r="GE263">
            <v>0</v>
          </cell>
          <cell r="GF263" t="str">
            <v/>
          </cell>
          <cell r="GH263">
            <v>0</v>
          </cell>
          <cell r="GI263" t="str">
            <v/>
          </cell>
          <cell r="GK263">
            <v>0</v>
          </cell>
          <cell r="GL263" t="str">
            <v/>
          </cell>
          <cell r="GN263">
            <v>0</v>
          </cell>
          <cell r="GO263" t="str">
            <v/>
          </cell>
          <cell r="GQ263">
            <v>0</v>
          </cell>
          <cell r="GR263" t="str">
            <v/>
          </cell>
          <cell r="GT263">
            <v>0</v>
          </cell>
          <cell r="GU263" t="str">
            <v/>
          </cell>
          <cell r="GW263">
            <v>0</v>
          </cell>
          <cell r="GX263" t="str">
            <v/>
          </cell>
          <cell r="GZ263">
            <v>0</v>
          </cell>
          <cell r="HA263" t="str">
            <v/>
          </cell>
          <cell r="HC263">
            <v>0</v>
          </cell>
          <cell r="HD263" t="str">
            <v/>
          </cell>
          <cell r="HF263">
            <v>0</v>
          </cell>
          <cell r="HG263" t="str">
            <v/>
          </cell>
          <cell r="HI263">
            <v>7.0000000000000007E-2</v>
          </cell>
          <cell r="HJ263">
            <v>37871.428571428565</v>
          </cell>
          <cell r="HL263">
            <v>2.87</v>
          </cell>
          <cell r="HM263">
            <v>30228.222996515677</v>
          </cell>
          <cell r="HO263">
            <v>0</v>
          </cell>
          <cell r="HP263" t="str">
            <v/>
          </cell>
          <cell r="HR263">
            <v>0</v>
          </cell>
          <cell r="HS263" t="str">
            <v/>
          </cell>
          <cell r="HU263">
            <v>0</v>
          </cell>
          <cell r="HV263" t="str">
            <v/>
          </cell>
        </row>
        <row r="264">
          <cell r="DQ264">
            <v>0.1</v>
          </cell>
          <cell r="DR264">
            <v>53740</v>
          </cell>
          <cell r="DT264">
            <v>0</v>
          </cell>
          <cell r="DU264" t="str">
            <v/>
          </cell>
          <cell r="DW264">
            <v>0</v>
          </cell>
          <cell r="DX264" t="str">
            <v/>
          </cell>
          <cell r="DZ264">
            <v>0</v>
          </cell>
          <cell r="EA264" t="str">
            <v/>
          </cell>
          <cell r="EC264">
            <v>0</v>
          </cell>
          <cell r="ED264" t="str">
            <v/>
          </cell>
          <cell r="EF264">
            <v>0</v>
          </cell>
          <cell r="EG264" t="str">
            <v/>
          </cell>
          <cell r="EI264">
            <v>0</v>
          </cell>
          <cell r="EJ264" t="str">
            <v/>
          </cell>
          <cell r="EL264">
            <v>0</v>
          </cell>
          <cell r="EM264" t="str">
            <v/>
          </cell>
          <cell r="EO264">
            <v>0</v>
          </cell>
          <cell r="EP264" t="str">
            <v/>
          </cell>
          <cell r="ER264">
            <v>0</v>
          </cell>
          <cell r="ES264" t="str">
            <v/>
          </cell>
          <cell r="EU264">
            <v>0</v>
          </cell>
          <cell r="EV264" t="str">
            <v/>
          </cell>
          <cell r="EX264">
            <v>0</v>
          </cell>
          <cell r="EY264" t="str">
            <v/>
          </cell>
          <cell r="FA264">
            <v>0</v>
          </cell>
          <cell r="FB264" t="str">
            <v/>
          </cell>
          <cell r="FD264">
            <v>0</v>
          </cell>
          <cell r="FE264" t="str">
            <v/>
          </cell>
          <cell r="FG264">
            <v>0</v>
          </cell>
          <cell r="FH264" t="str">
            <v/>
          </cell>
          <cell r="FJ264">
            <v>0</v>
          </cell>
          <cell r="FK264" t="str">
            <v/>
          </cell>
          <cell r="FM264">
            <v>0</v>
          </cell>
          <cell r="FN264" t="str">
            <v/>
          </cell>
          <cell r="FP264">
            <v>0</v>
          </cell>
          <cell r="FQ264" t="str">
            <v/>
          </cell>
          <cell r="FS264">
            <v>0</v>
          </cell>
          <cell r="FT264" t="str">
            <v/>
          </cell>
          <cell r="FV264">
            <v>0</v>
          </cell>
          <cell r="FW264" t="str">
            <v/>
          </cell>
          <cell r="FY264">
            <v>0</v>
          </cell>
          <cell r="FZ264" t="str">
            <v/>
          </cell>
          <cell r="GB264">
            <v>0</v>
          </cell>
          <cell r="GC264" t="str">
            <v/>
          </cell>
          <cell r="GE264">
            <v>0</v>
          </cell>
          <cell r="GF264" t="str">
            <v/>
          </cell>
          <cell r="GH264">
            <v>0</v>
          </cell>
          <cell r="GI264" t="str">
            <v/>
          </cell>
          <cell r="GK264">
            <v>0</v>
          </cell>
          <cell r="GL264" t="str">
            <v/>
          </cell>
          <cell r="GN264">
            <v>0</v>
          </cell>
          <cell r="GO264" t="str">
            <v/>
          </cell>
          <cell r="GQ264">
            <v>0</v>
          </cell>
          <cell r="GR264" t="str">
            <v/>
          </cell>
          <cell r="GT264">
            <v>0</v>
          </cell>
          <cell r="GU264" t="str">
            <v/>
          </cell>
          <cell r="GW264">
            <v>0</v>
          </cell>
          <cell r="GX264" t="str">
            <v/>
          </cell>
          <cell r="GZ264">
            <v>0</v>
          </cell>
          <cell r="HA264" t="str">
            <v/>
          </cell>
          <cell r="HC264">
            <v>0.34</v>
          </cell>
          <cell r="HD264">
            <v>42411.76470588235</v>
          </cell>
          <cell r="HF264">
            <v>0</v>
          </cell>
          <cell r="HG264" t="str">
            <v/>
          </cell>
          <cell r="HI264">
            <v>6.0000000000000001E-3</v>
          </cell>
          <cell r="HJ264">
            <v>22880</v>
          </cell>
          <cell r="HL264">
            <v>0.76</v>
          </cell>
          <cell r="HM264">
            <v>30286.842105263157</v>
          </cell>
          <cell r="HO264">
            <v>0</v>
          </cell>
          <cell r="HP264" t="str">
            <v/>
          </cell>
          <cell r="HR264">
            <v>0</v>
          </cell>
          <cell r="HS264" t="str">
            <v/>
          </cell>
          <cell r="HU264">
            <v>0</v>
          </cell>
          <cell r="HV264" t="str">
            <v/>
          </cell>
        </row>
        <row r="265">
          <cell r="DQ265">
            <v>0</v>
          </cell>
          <cell r="DR265" t="str">
            <v/>
          </cell>
          <cell r="DT265">
            <v>0</v>
          </cell>
          <cell r="DU265" t="str">
            <v/>
          </cell>
          <cell r="DW265">
            <v>0</v>
          </cell>
          <cell r="DX265" t="str">
            <v/>
          </cell>
          <cell r="DZ265">
            <v>0</v>
          </cell>
          <cell r="EA265" t="str">
            <v/>
          </cell>
          <cell r="EC265">
            <v>0</v>
          </cell>
          <cell r="ED265" t="str">
            <v/>
          </cell>
          <cell r="EF265">
            <v>0</v>
          </cell>
          <cell r="EG265" t="str">
            <v/>
          </cell>
          <cell r="EI265">
            <v>0</v>
          </cell>
          <cell r="EJ265" t="str">
            <v/>
          </cell>
          <cell r="EL265">
            <v>0</v>
          </cell>
          <cell r="EM265" t="str">
            <v/>
          </cell>
          <cell r="EO265">
            <v>0</v>
          </cell>
          <cell r="EP265" t="str">
            <v/>
          </cell>
          <cell r="ER265">
            <v>0</v>
          </cell>
          <cell r="ES265" t="str">
            <v/>
          </cell>
          <cell r="EU265">
            <v>0</v>
          </cell>
          <cell r="EV265" t="str">
            <v/>
          </cell>
          <cell r="EX265">
            <v>0</v>
          </cell>
          <cell r="EY265" t="str">
            <v/>
          </cell>
          <cell r="FA265">
            <v>0</v>
          </cell>
          <cell r="FB265" t="str">
            <v/>
          </cell>
          <cell r="FD265">
            <v>0</v>
          </cell>
          <cell r="FE265" t="str">
            <v/>
          </cell>
          <cell r="FG265">
            <v>0</v>
          </cell>
          <cell r="FH265" t="str">
            <v/>
          </cell>
          <cell r="FJ265">
            <v>0</v>
          </cell>
          <cell r="FK265" t="str">
            <v/>
          </cell>
          <cell r="FM265">
            <v>0</v>
          </cell>
          <cell r="FN265" t="str">
            <v/>
          </cell>
          <cell r="FP265">
            <v>0</v>
          </cell>
          <cell r="FQ265" t="str">
            <v/>
          </cell>
          <cell r="FS265">
            <v>0</v>
          </cell>
          <cell r="FT265" t="str">
            <v/>
          </cell>
          <cell r="FV265">
            <v>0</v>
          </cell>
          <cell r="FW265" t="str">
            <v/>
          </cell>
          <cell r="FY265">
            <v>0</v>
          </cell>
          <cell r="FZ265" t="str">
            <v/>
          </cell>
          <cell r="GB265">
            <v>0</v>
          </cell>
          <cell r="GC265" t="str">
            <v/>
          </cell>
          <cell r="GE265">
            <v>0</v>
          </cell>
          <cell r="GF265" t="str">
            <v/>
          </cell>
          <cell r="GH265">
            <v>0</v>
          </cell>
          <cell r="GI265" t="str">
            <v/>
          </cell>
          <cell r="GK265">
            <v>0</v>
          </cell>
          <cell r="GL265" t="str">
            <v/>
          </cell>
          <cell r="GN265">
            <v>0</v>
          </cell>
          <cell r="GO265" t="str">
            <v/>
          </cell>
          <cell r="GQ265">
            <v>0</v>
          </cell>
          <cell r="GR265" t="str">
            <v/>
          </cell>
          <cell r="GT265">
            <v>0</v>
          </cell>
          <cell r="GU265" t="str">
            <v/>
          </cell>
          <cell r="GW265">
            <v>0</v>
          </cell>
          <cell r="GX265" t="str">
            <v/>
          </cell>
          <cell r="GZ265">
            <v>0</v>
          </cell>
          <cell r="HA265" t="str">
            <v/>
          </cell>
          <cell r="HC265">
            <v>0</v>
          </cell>
          <cell r="HD265" t="str">
            <v/>
          </cell>
          <cell r="HF265">
            <v>0</v>
          </cell>
          <cell r="HG265" t="str">
            <v/>
          </cell>
          <cell r="HI265">
            <v>0</v>
          </cell>
          <cell r="HJ265" t="str">
            <v/>
          </cell>
          <cell r="HL265">
            <v>1.45</v>
          </cell>
          <cell r="HM265">
            <v>30192.413793103449</v>
          </cell>
          <cell r="HO265">
            <v>0</v>
          </cell>
          <cell r="HP265" t="str">
            <v/>
          </cell>
          <cell r="HR265">
            <v>0</v>
          </cell>
          <cell r="HS265" t="str">
            <v/>
          </cell>
          <cell r="HU265">
            <v>0</v>
          </cell>
          <cell r="HV265" t="str">
            <v/>
          </cell>
        </row>
        <row r="266">
          <cell r="DQ266">
            <v>0</v>
          </cell>
          <cell r="DR266" t="str">
            <v/>
          </cell>
          <cell r="DT266">
            <v>0</v>
          </cell>
          <cell r="DU266" t="str">
            <v/>
          </cell>
          <cell r="DW266">
            <v>0</v>
          </cell>
          <cell r="DX266" t="str">
            <v/>
          </cell>
          <cell r="DZ266">
            <v>0</v>
          </cell>
          <cell r="EA266" t="str">
            <v/>
          </cell>
          <cell r="EC266">
            <v>0</v>
          </cell>
          <cell r="ED266" t="str">
            <v/>
          </cell>
          <cell r="EF266">
            <v>0</v>
          </cell>
          <cell r="EG266" t="str">
            <v/>
          </cell>
          <cell r="EI266">
            <v>0</v>
          </cell>
          <cell r="EJ266" t="str">
            <v/>
          </cell>
          <cell r="EL266">
            <v>0</v>
          </cell>
          <cell r="EM266" t="str">
            <v/>
          </cell>
          <cell r="EO266">
            <v>0</v>
          </cell>
          <cell r="EP266" t="str">
            <v/>
          </cell>
          <cell r="ER266">
            <v>0</v>
          </cell>
          <cell r="ES266" t="str">
            <v/>
          </cell>
          <cell r="EU266">
            <v>0</v>
          </cell>
          <cell r="EV266" t="str">
            <v/>
          </cell>
          <cell r="EX266">
            <v>0</v>
          </cell>
          <cell r="EY266" t="str">
            <v/>
          </cell>
          <cell r="FA266">
            <v>0</v>
          </cell>
          <cell r="FB266" t="str">
            <v/>
          </cell>
          <cell r="FD266">
            <v>0</v>
          </cell>
          <cell r="FE266" t="str">
            <v/>
          </cell>
          <cell r="FG266">
            <v>0</v>
          </cell>
          <cell r="FH266" t="str">
            <v/>
          </cell>
          <cell r="FJ266">
            <v>0</v>
          </cell>
          <cell r="FK266" t="str">
            <v/>
          </cell>
          <cell r="FM266">
            <v>0</v>
          </cell>
          <cell r="FN266" t="str">
            <v/>
          </cell>
          <cell r="FP266">
            <v>0</v>
          </cell>
          <cell r="FQ266" t="str">
            <v/>
          </cell>
          <cell r="FS266">
            <v>0</v>
          </cell>
          <cell r="FT266" t="str">
            <v/>
          </cell>
          <cell r="FV266">
            <v>0</v>
          </cell>
          <cell r="FW266" t="str">
            <v/>
          </cell>
          <cell r="FY266">
            <v>0</v>
          </cell>
          <cell r="FZ266" t="str">
            <v/>
          </cell>
          <cell r="GB266">
            <v>0</v>
          </cell>
          <cell r="GC266" t="str">
            <v/>
          </cell>
          <cell r="GE266">
            <v>0</v>
          </cell>
          <cell r="GF266" t="str">
            <v/>
          </cell>
          <cell r="GH266">
            <v>0</v>
          </cell>
          <cell r="GI266" t="str">
            <v/>
          </cell>
          <cell r="GK266">
            <v>0</v>
          </cell>
          <cell r="GL266" t="str">
            <v/>
          </cell>
          <cell r="GN266">
            <v>0</v>
          </cell>
          <cell r="GO266" t="str">
            <v/>
          </cell>
          <cell r="GQ266">
            <v>0</v>
          </cell>
          <cell r="GR266" t="str">
            <v/>
          </cell>
          <cell r="GT266">
            <v>0</v>
          </cell>
          <cell r="GU266" t="str">
            <v/>
          </cell>
          <cell r="GW266">
            <v>0</v>
          </cell>
          <cell r="GX266" t="str">
            <v/>
          </cell>
          <cell r="GZ266">
            <v>0</v>
          </cell>
          <cell r="HA266" t="str">
            <v/>
          </cell>
          <cell r="HC266">
            <v>0</v>
          </cell>
          <cell r="HD266" t="str">
            <v/>
          </cell>
          <cell r="HF266">
            <v>0</v>
          </cell>
          <cell r="HG266" t="str">
            <v/>
          </cell>
          <cell r="HI266">
            <v>0</v>
          </cell>
          <cell r="HJ266" t="str">
            <v/>
          </cell>
          <cell r="HL266">
            <v>0.02</v>
          </cell>
          <cell r="HM266">
            <v>22880</v>
          </cell>
          <cell r="HO266">
            <v>0</v>
          </cell>
          <cell r="HP266" t="str">
            <v/>
          </cell>
          <cell r="HR266">
            <v>0</v>
          </cell>
          <cell r="HS266" t="str">
            <v/>
          </cell>
          <cell r="HU266">
            <v>0</v>
          </cell>
          <cell r="HV266" t="str">
            <v/>
          </cell>
        </row>
        <row r="267">
          <cell r="DQ267">
            <v>0.02</v>
          </cell>
          <cell r="DR267">
            <v>43450</v>
          </cell>
          <cell r="DT267">
            <v>0</v>
          </cell>
          <cell r="DU267" t="str">
            <v/>
          </cell>
          <cell r="DW267">
            <v>0</v>
          </cell>
          <cell r="DX267" t="str">
            <v/>
          </cell>
          <cell r="DZ267">
            <v>0</v>
          </cell>
          <cell r="EA267" t="str">
            <v/>
          </cell>
          <cell r="EC267">
            <v>0</v>
          </cell>
          <cell r="ED267" t="str">
            <v/>
          </cell>
          <cell r="EF267">
            <v>0</v>
          </cell>
          <cell r="EG267" t="str">
            <v/>
          </cell>
          <cell r="EI267">
            <v>0</v>
          </cell>
          <cell r="EJ267" t="str">
            <v/>
          </cell>
          <cell r="EL267">
            <v>0</v>
          </cell>
          <cell r="EM267" t="str">
            <v/>
          </cell>
          <cell r="EO267">
            <v>0</v>
          </cell>
          <cell r="EP267" t="str">
            <v/>
          </cell>
          <cell r="ER267">
            <v>0</v>
          </cell>
          <cell r="ES267" t="str">
            <v/>
          </cell>
          <cell r="EU267">
            <v>0</v>
          </cell>
          <cell r="EV267" t="str">
            <v/>
          </cell>
          <cell r="EX267">
            <v>0</v>
          </cell>
          <cell r="EY267" t="str">
            <v/>
          </cell>
          <cell r="FA267">
            <v>0</v>
          </cell>
          <cell r="FB267" t="str">
            <v/>
          </cell>
          <cell r="FD267">
            <v>0</v>
          </cell>
          <cell r="FE267" t="str">
            <v/>
          </cell>
          <cell r="FG267">
            <v>0</v>
          </cell>
          <cell r="FH267" t="str">
            <v/>
          </cell>
          <cell r="FJ267">
            <v>0</v>
          </cell>
          <cell r="FK267" t="str">
            <v/>
          </cell>
          <cell r="FM267">
            <v>0</v>
          </cell>
          <cell r="FN267" t="str">
            <v/>
          </cell>
          <cell r="FP267">
            <v>0</v>
          </cell>
          <cell r="FQ267" t="str">
            <v/>
          </cell>
          <cell r="FS267">
            <v>0</v>
          </cell>
          <cell r="FT267" t="str">
            <v/>
          </cell>
          <cell r="FV267">
            <v>0</v>
          </cell>
          <cell r="FW267" t="str">
            <v/>
          </cell>
          <cell r="FY267">
            <v>0</v>
          </cell>
          <cell r="FZ267" t="str">
            <v/>
          </cell>
          <cell r="GB267">
            <v>0</v>
          </cell>
          <cell r="GC267" t="str">
            <v/>
          </cell>
          <cell r="GE267">
            <v>0.02</v>
          </cell>
          <cell r="GF267">
            <v>28400</v>
          </cell>
          <cell r="GH267">
            <v>0</v>
          </cell>
          <cell r="GI267" t="str">
            <v/>
          </cell>
          <cell r="GK267">
            <v>0</v>
          </cell>
          <cell r="GL267" t="str">
            <v/>
          </cell>
          <cell r="GN267">
            <v>0</v>
          </cell>
          <cell r="GO267" t="str">
            <v/>
          </cell>
          <cell r="GQ267">
            <v>0</v>
          </cell>
          <cell r="GR267" t="str">
            <v/>
          </cell>
          <cell r="GT267">
            <v>0.21</v>
          </cell>
          <cell r="GU267">
            <v>27528.571428571431</v>
          </cell>
          <cell r="GW267">
            <v>0</v>
          </cell>
          <cell r="GX267" t="str">
            <v/>
          </cell>
          <cell r="GZ267">
            <v>0</v>
          </cell>
          <cell r="HA267" t="str">
            <v/>
          </cell>
          <cell r="HC267">
            <v>0</v>
          </cell>
          <cell r="HD267" t="str">
            <v/>
          </cell>
          <cell r="HF267">
            <v>0</v>
          </cell>
          <cell r="HG267" t="str">
            <v/>
          </cell>
          <cell r="HI267">
            <v>0</v>
          </cell>
          <cell r="HJ267" t="str">
            <v/>
          </cell>
          <cell r="HL267">
            <v>0</v>
          </cell>
          <cell r="HM267" t="str">
            <v/>
          </cell>
          <cell r="HO267">
            <v>0</v>
          </cell>
          <cell r="HP267" t="str">
            <v/>
          </cell>
          <cell r="HR267">
            <v>0</v>
          </cell>
          <cell r="HS267" t="str">
            <v/>
          </cell>
          <cell r="HU267">
            <v>0</v>
          </cell>
          <cell r="HV267" t="str">
            <v/>
          </cell>
        </row>
        <row r="268">
          <cell r="DQ268">
            <v>0.2</v>
          </cell>
          <cell r="DR268">
            <v>53050</v>
          </cell>
          <cell r="DT268">
            <v>0</v>
          </cell>
          <cell r="DU268" t="str">
            <v/>
          </cell>
          <cell r="DW268">
            <v>0</v>
          </cell>
          <cell r="DX268" t="str">
            <v/>
          </cell>
          <cell r="DZ268">
            <v>0</v>
          </cell>
          <cell r="EA268" t="str">
            <v/>
          </cell>
          <cell r="EC268">
            <v>0</v>
          </cell>
          <cell r="ED268" t="str">
            <v/>
          </cell>
          <cell r="EF268">
            <v>0</v>
          </cell>
          <cell r="EG268" t="str">
            <v/>
          </cell>
          <cell r="EI268">
            <v>0</v>
          </cell>
          <cell r="EJ268" t="str">
            <v/>
          </cell>
          <cell r="EL268">
            <v>0</v>
          </cell>
          <cell r="EM268" t="str">
            <v/>
          </cell>
          <cell r="EO268">
            <v>0</v>
          </cell>
          <cell r="EP268" t="str">
            <v/>
          </cell>
          <cell r="ER268">
            <v>0</v>
          </cell>
          <cell r="ES268" t="str">
            <v/>
          </cell>
          <cell r="EU268">
            <v>0</v>
          </cell>
          <cell r="EV268" t="str">
            <v/>
          </cell>
          <cell r="EX268">
            <v>0</v>
          </cell>
          <cell r="EY268" t="str">
            <v/>
          </cell>
          <cell r="FA268">
            <v>0</v>
          </cell>
          <cell r="FB268" t="str">
            <v/>
          </cell>
          <cell r="FD268">
            <v>0</v>
          </cell>
          <cell r="FE268" t="str">
            <v/>
          </cell>
          <cell r="FG268">
            <v>0</v>
          </cell>
          <cell r="FH268" t="str">
            <v/>
          </cell>
          <cell r="FJ268">
            <v>0</v>
          </cell>
          <cell r="FK268" t="str">
            <v/>
          </cell>
          <cell r="FM268">
            <v>0</v>
          </cell>
          <cell r="FN268" t="str">
            <v/>
          </cell>
          <cell r="FP268">
            <v>0</v>
          </cell>
          <cell r="FQ268" t="str">
            <v/>
          </cell>
          <cell r="FS268">
            <v>0</v>
          </cell>
          <cell r="FT268" t="str">
            <v/>
          </cell>
          <cell r="FV268">
            <v>0</v>
          </cell>
          <cell r="FW268" t="str">
            <v/>
          </cell>
          <cell r="FY268">
            <v>0</v>
          </cell>
          <cell r="FZ268" t="str">
            <v/>
          </cell>
          <cell r="GB268">
            <v>0</v>
          </cell>
          <cell r="GC268" t="str">
            <v/>
          </cell>
          <cell r="GE268">
            <v>0.2</v>
          </cell>
          <cell r="GF268">
            <v>34650</v>
          </cell>
          <cell r="GH268">
            <v>0</v>
          </cell>
          <cell r="GI268" t="str">
            <v/>
          </cell>
          <cell r="GK268">
            <v>0</v>
          </cell>
          <cell r="GL268" t="str">
            <v/>
          </cell>
          <cell r="GN268">
            <v>0</v>
          </cell>
          <cell r="GO268" t="str">
            <v/>
          </cell>
          <cell r="GQ268">
            <v>0</v>
          </cell>
          <cell r="GR268" t="str">
            <v/>
          </cell>
          <cell r="GT268">
            <v>2.5</v>
          </cell>
          <cell r="GU268">
            <v>28010.400000000001</v>
          </cell>
          <cell r="GW268">
            <v>0.02</v>
          </cell>
          <cell r="GX268">
            <v>22880</v>
          </cell>
          <cell r="GZ268">
            <v>0</v>
          </cell>
          <cell r="HA268" t="str">
            <v/>
          </cell>
          <cell r="HC268">
            <v>0</v>
          </cell>
          <cell r="HD268" t="str">
            <v/>
          </cell>
          <cell r="HF268">
            <v>0</v>
          </cell>
          <cell r="HG268" t="str">
            <v/>
          </cell>
          <cell r="HI268">
            <v>0</v>
          </cell>
          <cell r="HJ268" t="str">
            <v/>
          </cell>
          <cell r="HL268">
            <v>0</v>
          </cell>
          <cell r="HM268" t="str">
            <v/>
          </cell>
          <cell r="HO268">
            <v>0</v>
          </cell>
          <cell r="HP268" t="str">
            <v/>
          </cell>
          <cell r="HR268">
            <v>0</v>
          </cell>
          <cell r="HS268" t="str">
            <v/>
          </cell>
          <cell r="HU268">
            <v>0</v>
          </cell>
          <cell r="HV268" t="str">
            <v/>
          </cell>
        </row>
        <row r="269">
          <cell r="DQ269">
            <v>0.01</v>
          </cell>
          <cell r="DR269">
            <v>39800</v>
          </cell>
          <cell r="DT269">
            <v>0</v>
          </cell>
          <cell r="DU269" t="str">
            <v/>
          </cell>
          <cell r="DW269">
            <v>0</v>
          </cell>
          <cell r="DX269" t="str">
            <v/>
          </cell>
          <cell r="DZ269">
            <v>0</v>
          </cell>
          <cell r="EA269" t="str">
            <v/>
          </cell>
          <cell r="EC269">
            <v>0</v>
          </cell>
          <cell r="ED269" t="str">
            <v/>
          </cell>
          <cell r="EF269">
            <v>0</v>
          </cell>
          <cell r="EG269" t="str">
            <v/>
          </cell>
          <cell r="EI269">
            <v>0</v>
          </cell>
          <cell r="EJ269" t="str">
            <v/>
          </cell>
          <cell r="EL269">
            <v>0</v>
          </cell>
          <cell r="EM269" t="str">
            <v/>
          </cell>
          <cell r="EO269">
            <v>0</v>
          </cell>
          <cell r="EP269" t="str">
            <v/>
          </cell>
          <cell r="ER269">
            <v>0</v>
          </cell>
          <cell r="ES269" t="str">
            <v/>
          </cell>
          <cell r="EU269">
            <v>0</v>
          </cell>
          <cell r="EV269" t="str">
            <v/>
          </cell>
          <cell r="EX269">
            <v>0</v>
          </cell>
          <cell r="EY269" t="str">
            <v/>
          </cell>
          <cell r="FA269">
            <v>0</v>
          </cell>
          <cell r="FB269" t="str">
            <v/>
          </cell>
          <cell r="FD269">
            <v>0</v>
          </cell>
          <cell r="FE269" t="str">
            <v/>
          </cell>
          <cell r="FG269">
            <v>0</v>
          </cell>
          <cell r="FH269" t="str">
            <v/>
          </cell>
          <cell r="FJ269">
            <v>0</v>
          </cell>
          <cell r="FK269" t="str">
            <v/>
          </cell>
          <cell r="FM269">
            <v>0</v>
          </cell>
          <cell r="FN269" t="str">
            <v/>
          </cell>
          <cell r="FP269">
            <v>0</v>
          </cell>
          <cell r="FQ269" t="str">
            <v/>
          </cell>
          <cell r="FS269">
            <v>0</v>
          </cell>
          <cell r="FT269" t="str">
            <v/>
          </cell>
          <cell r="FV269">
            <v>0</v>
          </cell>
          <cell r="FW269" t="str">
            <v/>
          </cell>
          <cell r="FY269">
            <v>0</v>
          </cell>
          <cell r="FZ269" t="str">
            <v/>
          </cell>
          <cell r="GB269">
            <v>0</v>
          </cell>
          <cell r="GC269" t="str">
            <v/>
          </cell>
          <cell r="GE269">
            <v>0.01</v>
          </cell>
          <cell r="GF269">
            <v>26000</v>
          </cell>
          <cell r="GH269">
            <v>0</v>
          </cell>
          <cell r="GI269" t="str">
            <v/>
          </cell>
          <cell r="GK269">
            <v>0</v>
          </cell>
          <cell r="GL269" t="str">
            <v/>
          </cell>
          <cell r="GN269">
            <v>0</v>
          </cell>
          <cell r="GO269" t="str">
            <v/>
          </cell>
          <cell r="GQ269">
            <v>0</v>
          </cell>
          <cell r="GR269" t="str">
            <v/>
          </cell>
          <cell r="GT269">
            <v>0.09</v>
          </cell>
          <cell r="GU269">
            <v>29377.777777777777</v>
          </cell>
          <cell r="GW269">
            <v>0</v>
          </cell>
          <cell r="GX269" t="str">
            <v/>
          </cell>
          <cell r="GZ269">
            <v>0</v>
          </cell>
          <cell r="HA269" t="str">
            <v/>
          </cell>
          <cell r="HC269">
            <v>0</v>
          </cell>
          <cell r="HD269" t="str">
            <v/>
          </cell>
          <cell r="HF269">
            <v>0</v>
          </cell>
          <cell r="HG269" t="str">
            <v/>
          </cell>
          <cell r="HI269">
            <v>0</v>
          </cell>
          <cell r="HJ269" t="str">
            <v/>
          </cell>
          <cell r="HL269">
            <v>0</v>
          </cell>
          <cell r="HM269" t="str">
            <v/>
          </cell>
          <cell r="HO269">
            <v>0</v>
          </cell>
          <cell r="HP269" t="str">
            <v/>
          </cell>
          <cell r="HR269">
            <v>0</v>
          </cell>
          <cell r="HS269" t="str">
            <v/>
          </cell>
          <cell r="HU269">
            <v>0</v>
          </cell>
          <cell r="HV269" t="str">
            <v/>
          </cell>
        </row>
        <row r="270">
          <cell r="DQ270">
            <v>0.02</v>
          </cell>
          <cell r="DR270">
            <v>22880</v>
          </cell>
          <cell r="DT270">
            <v>0</v>
          </cell>
          <cell r="DU270" t="str">
            <v/>
          </cell>
          <cell r="DW270">
            <v>0</v>
          </cell>
          <cell r="DX270" t="str">
            <v/>
          </cell>
          <cell r="DZ270">
            <v>0</v>
          </cell>
          <cell r="EA270" t="str">
            <v/>
          </cell>
          <cell r="EC270">
            <v>0</v>
          </cell>
          <cell r="ED270" t="str">
            <v/>
          </cell>
          <cell r="EF270">
            <v>0</v>
          </cell>
          <cell r="EG270" t="str">
            <v/>
          </cell>
          <cell r="EI270">
            <v>0</v>
          </cell>
          <cell r="EJ270" t="str">
            <v/>
          </cell>
          <cell r="EL270">
            <v>0</v>
          </cell>
          <cell r="EM270" t="str">
            <v/>
          </cell>
          <cell r="EO270">
            <v>0</v>
          </cell>
          <cell r="EP270" t="str">
            <v/>
          </cell>
          <cell r="ER270">
            <v>0</v>
          </cell>
          <cell r="ES270" t="str">
            <v/>
          </cell>
          <cell r="EU270">
            <v>0</v>
          </cell>
          <cell r="EV270" t="str">
            <v/>
          </cell>
          <cell r="EX270">
            <v>0</v>
          </cell>
          <cell r="EY270" t="str">
            <v/>
          </cell>
          <cell r="FA270">
            <v>0</v>
          </cell>
          <cell r="FB270" t="str">
            <v/>
          </cell>
          <cell r="FD270">
            <v>0</v>
          </cell>
          <cell r="FE270" t="str">
            <v/>
          </cell>
          <cell r="FG270">
            <v>0</v>
          </cell>
          <cell r="FH270" t="str">
            <v/>
          </cell>
          <cell r="FJ270">
            <v>0</v>
          </cell>
          <cell r="FK270" t="str">
            <v/>
          </cell>
          <cell r="FM270">
            <v>0</v>
          </cell>
          <cell r="FN270" t="str">
            <v/>
          </cell>
          <cell r="FP270">
            <v>0</v>
          </cell>
          <cell r="FQ270" t="str">
            <v/>
          </cell>
          <cell r="FS270">
            <v>0</v>
          </cell>
          <cell r="FT270" t="str">
            <v/>
          </cell>
          <cell r="FV270">
            <v>0</v>
          </cell>
          <cell r="FW270" t="str">
            <v/>
          </cell>
          <cell r="FY270">
            <v>0</v>
          </cell>
          <cell r="FZ270" t="str">
            <v/>
          </cell>
          <cell r="GB270">
            <v>0</v>
          </cell>
          <cell r="GC270" t="str">
            <v/>
          </cell>
          <cell r="GE270">
            <v>0.01</v>
          </cell>
          <cell r="GF270">
            <v>22880</v>
          </cell>
          <cell r="GH270">
            <v>0</v>
          </cell>
          <cell r="GI270" t="str">
            <v/>
          </cell>
          <cell r="GK270">
            <v>0</v>
          </cell>
          <cell r="GL270" t="str">
            <v/>
          </cell>
          <cell r="GN270">
            <v>0</v>
          </cell>
          <cell r="GO270" t="str">
            <v/>
          </cell>
          <cell r="GQ270">
            <v>0</v>
          </cell>
          <cell r="GR270" t="str">
            <v/>
          </cell>
          <cell r="GT270">
            <v>0.06</v>
          </cell>
          <cell r="GU270">
            <v>23866.666666666668</v>
          </cell>
          <cell r="GW270">
            <v>0</v>
          </cell>
          <cell r="GX270" t="str">
            <v/>
          </cell>
          <cell r="GZ270">
            <v>0</v>
          </cell>
          <cell r="HA270" t="str">
            <v/>
          </cell>
          <cell r="HC270">
            <v>0</v>
          </cell>
          <cell r="HD270" t="str">
            <v/>
          </cell>
          <cell r="HF270">
            <v>0</v>
          </cell>
          <cell r="HG270" t="str">
            <v/>
          </cell>
          <cell r="HI270">
            <v>0</v>
          </cell>
          <cell r="HJ270" t="str">
            <v/>
          </cell>
          <cell r="HL270">
            <v>0</v>
          </cell>
          <cell r="HM270" t="str">
            <v/>
          </cell>
          <cell r="HO270">
            <v>0</v>
          </cell>
          <cell r="HP270" t="str">
            <v/>
          </cell>
          <cell r="HR270">
            <v>0</v>
          </cell>
          <cell r="HS270" t="str">
            <v/>
          </cell>
          <cell r="HU270">
            <v>0</v>
          </cell>
          <cell r="HV270" t="str">
            <v/>
          </cell>
        </row>
        <row r="271">
          <cell r="DQ271">
            <v>0.87</v>
          </cell>
          <cell r="DR271">
            <v>53000</v>
          </cell>
          <cell r="DT271">
            <v>0</v>
          </cell>
          <cell r="DU271" t="str">
            <v/>
          </cell>
          <cell r="DW271">
            <v>0</v>
          </cell>
          <cell r="DX271" t="str">
            <v/>
          </cell>
          <cell r="DZ271">
            <v>1</v>
          </cell>
          <cell r="EA271">
            <v>44615</v>
          </cell>
          <cell r="EC271">
            <v>0</v>
          </cell>
          <cell r="ED271" t="str">
            <v/>
          </cell>
          <cell r="EF271">
            <v>0</v>
          </cell>
          <cell r="EG271" t="str">
            <v/>
          </cell>
          <cell r="EI271">
            <v>0</v>
          </cell>
          <cell r="EJ271" t="str">
            <v/>
          </cell>
          <cell r="EL271">
            <v>0</v>
          </cell>
          <cell r="EM271" t="str">
            <v/>
          </cell>
          <cell r="EO271">
            <v>0</v>
          </cell>
          <cell r="EP271" t="str">
            <v/>
          </cell>
          <cell r="ER271">
            <v>0</v>
          </cell>
          <cell r="ES271" t="str">
            <v/>
          </cell>
          <cell r="EU271">
            <v>0</v>
          </cell>
          <cell r="EV271" t="str">
            <v/>
          </cell>
          <cell r="EX271">
            <v>0</v>
          </cell>
          <cell r="EY271" t="str">
            <v/>
          </cell>
          <cell r="FA271">
            <v>0</v>
          </cell>
          <cell r="FB271" t="str">
            <v/>
          </cell>
          <cell r="FD271">
            <v>0</v>
          </cell>
          <cell r="FE271" t="str">
            <v/>
          </cell>
          <cell r="FG271">
            <v>0</v>
          </cell>
          <cell r="FH271" t="str">
            <v/>
          </cell>
          <cell r="FJ271">
            <v>0</v>
          </cell>
          <cell r="FK271" t="str">
            <v/>
          </cell>
          <cell r="FM271">
            <v>0</v>
          </cell>
          <cell r="FN271" t="str">
            <v/>
          </cell>
          <cell r="FP271">
            <v>0</v>
          </cell>
          <cell r="FQ271" t="str">
            <v/>
          </cell>
          <cell r="FS271">
            <v>0</v>
          </cell>
          <cell r="FT271" t="str">
            <v/>
          </cell>
          <cell r="FV271">
            <v>0</v>
          </cell>
          <cell r="FW271" t="str">
            <v/>
          </cell>
          <cell r="FY271">
            <v>0</v>
          </cell>
          <cell r="FZ271" t="str">
            <v/>
          </cell>
          <cell r="GB271">
            <v>0</v>
          </cell>
          <cell r="GC271" t="str">
            <v/>
          </cell>
          <cell r="GE271">
            <v>0.87</v>
          </cell>
          <cell r="GF271">
            <v>34616.091954022988</v>
          </cell>
          <cell r="GH271">
            <v>0</v>
          </cell>
          <cell r="GI271" t="str">
            <v/>
          </cell>
          <cell r="GK271">
            <v>0</v>
          </cell>
          <cell r="GL271" t="str">
            <v/>
          </cell>
          <cell r="GN271">
            <v>0</v>
          </cell>
          <cell r="GO271" t="str">
            <v/>
          </cell>
          <cell r="GQ271">
            <v>0</v>
          </cell>
          <cell r="GR271" t="str">
            <v/>
          </cell>
          <cell r="GT271">
            <v>8</v>
          </cell>
          <cell r="GU271">
            <v>32263.5</v>
          </cell>
          <cell r="GW271">
            <v>0</v>
          </cell>
          <cell r="GX271" t="str">
            <v/>
          </cell>
          <cell r="GZ271">
            <v>0.03</v>
          </cell>
          <cell r="HA271">
            <v>39333.333333333336</v>
          </cell>
          <cell r="HC271">
            <v>0</v>
          </cell>
          <cell r="HD271" t="str">
            <v/>
          </cell>
          <cell r="HF271">
            <v>0</v>
          </cell>
          <cell r="HG271" t="str">
            <v/>
          </cell>
          <cell r="HI271">
            <v>0</v>
          </cell>
          <cell r="HJ271" t="str">
            <v/>
          </cell>
          <cell r="HL271">
            <v>0</v>
          </cell>
          <cell r="HM271" t="str">
            <v/>
          </cell>
          <cell r="HO271">
            <v>0</v>
          </cell>
          <cell r="HP271" t="str">
            <v/>
          </cell>
          <cell r="HR271">
            <v>0</v>
          </cell>
          <cell r="HS271" t="str">
            <v/>
          </cell>
          <cell r="HU271">
            <v>0</v>
          </cell>
          <cell r="HV271" t="str">
            <v/>
          </cell>
        </row>
        <row r="272">
          <cell r="DQ272">
            <v>0</v>
          </cell>
          <cell r="DR272" t="str">
            <v/>
          </cell>
          <cell r="DT272">
            <v>0</v>
          </cell>
          <cell r="DU272" t="str">
            <v/>
          </cell>
          <cell r="DW272">
            <v>0</v>
          </cell>
          <cell r="DX272" t="str">
            <v/>
          </cell>
          <cell r="DZ272">
            <v>0</v>
          </cell>
          <cell r="EA272" t="str">
            <v/>
          </cell>
          <cell r="EC272">
            <v>0</v>
          </cell>
          <cell r="ED272" t="str">
            <v/>
          </cell>
          <cell r="EF272">
            <v>0</v>
          </cell>
          <cell r="EG272" t="str">
            <v/>
          </cell>
          <cell r="EI272">
            <v>0</v>
          </cell>
          <cell r="EJ272" t="str">
            <v/>
          </cell>
          <cell r="EL272">
            <v>0</v>
          </cell>
          <cell r="EM272" t="str">
            <v/>
          </cell>
          <cell r="EO272">
            <v>0</v>
          </cell>
          <cell r="EP272" t="str">
            <v/>
          </cell>
          <cell r="ER272">
            <v>0</v>
          </cell>
          <cell r="ES272" t="str">
            <v/>
          </cell>
          <cell r="EU272">
            <v>0</v>
          </cell>
          <cell r="EV272" t="str">
            <v/>
          </cell>
          <cell r="EX272">
            <v>0</v>
          </cell>
          <cell r="EY272" t="str">
            <v/>
          </cell>
          <cell r="FA272">
            <v>0</v>
          </cell>
          <cell r="FB272" t="str">
            <v/>
          </cell>
          <cell r="FD272">
            <v>0</v>
          </cell>
          <cell r="FE272" t="str">
            <v/>
          </cell>
          <cell r="FG272">
            <v>0</v>
          </cell>
          <cell r="FH272" t="str">
            <v/>
          </cell>
          <cell r="FJ272">
            <v>0</v>
          </cell>
          <cell r="FK272" t="str">
            <v/>
          </cell>
          <cell r="FM272">
            <v>0</v>
          </cell>
          <cell r="FN272" t="str">
            <v/>
          </cell>
          <cell r="FP272">
            <v>0</v>
          </cell>
          <cell r="FQ272" t="str">
            <v/>
          </cell>
          <cell r="FS272">
            <v>0</v>
          </cell>
          <cell r="FT272" t="str">
            <v/>
          </cell>
          <cell r="FV272">
            <v>0</v>
          </cell>
          <cell r="FW272" t="str">
            <v/>
          </cell>
          <cell r="FY272">
            <v>0</v>
          </cell>
          <cell r="FZ272" t="str">
            <v/>
          </cell>
          <cell r="GB272">
            <v>0</v>
          </cell>
          <cell r="GC272" t="str">
            <v/>
          </cell>
          <cell r="GE272">
            <v>0</v>
          </cell>
          <cell r="GF272" t="str">
            <v/>
          </cell>
          <cell r="GH272">
            <v>0</v>
          </cell>
          <cell r="GI272" t="str">
            <v/>
          </cell>
          <cell r="GK272">
            <v>0</v>
          </cell>
          <cell r="GL272" t="str">
            <v/>
          </cell>
          <cell r="GN272">
            <v>0</v>
          </cell>
          <cell r="GO272" t="str">
            <v/>
          </cell>
          <cell r="GQ272">
            <v>0</v>
          </cell>
          <cell r="GR272" t="str">
            <v/>
          </cell>
          <cell r="GT272">
            <v>23.7</v>
          </cell>
          <cell r="GU272">
            <v>31339.071729957806</v>
          </cell>
          <cell r="GW272">
            <v>0</v>
          </cell>
          <cell r="GX272" t="str">
            <v/>
          </cell>
          <cell r="GZ272">
            <v>0</v>
          </cell>
          <cell r="HA272" t="str">
            <v/>
          </cell>
          <cell r="HC272">
            <v>0</v>
          </cell>
          <cell r="HD272" t="str">
            <v/>
          </cell>
          <cell r="HF272">
            <v>0</v>
          </cell>
          <cell r="HG272" t="str">
            <v/>
          </cell>
          <cell r="HI272">
            <v>0</v>
          </cell>
          <cell r="HJ272" t="str">
            <v/>
          </cell>
          <cell r="HL272">
            <v>0</v>
          </cell>
          <cell r="HM272" t="str">
            <v/>
          </cell>
          <cell r="HO272">
            <v>0</v>
          </cell>
          <cell r="HP272" t="str">
            <v/>
          </cell>
          <cell r="HR272">
            <v>0</v>
          </cell>
          <cell r="HS272" t="str">
            <v/>
          </cell>
          <cell r="HU272">
            <v>0</v>
          </cell>
          <cell r="HV272" t="str">
            <v/>
          </cell>
        </row>
        <row r="273">
          <cell r="DQ273">
            <v>1</v>
          </cell>
          <cell r="DR273">
            <v>64000</v>
          </cell>
          <cell r="DT273">
            <v>0</v>
          </cell>
          <cell r="DU273" t="str">
            <v/>
          </cell>
          <cell r="DW273">
            <v>0</v>
          </cell>
          <cell r="DX273" t="str">
            <v/>
          </cell>
          <cell r="DZ273">
            <v>1</v>
          </cell>
          <cell r="EA273">
            <v>36650</v>
          </cell>
          <cell r="EC273">
            <v>0</v>
          </cell>
          <cell r="ED273" t="str">
            <v/>
          </cell>
          <cell r="EF273">
            <v>0</v>
          </cell>
          <cell r="EG273" t="str">
            <v/>
          </cell>
          <cell r="EI273">
            <v>0</v>
          </cell>
          <cell r="EJ273" t="str">
            <v/>
          </cell>
          <cell r="EL273">
            <v>0</v>
          </cell>
          <cell r="EM273" t="str">
            <v/>
          </cell>
          <cell r="EO273">
            <v>0</v>
          </cell>
          <cell r="EP273" t="str">
            <v/>
          </cell>
          <cell r="ER273">
            <v>0</v>
          </cell>
          <cell r="ES273" t="str">
            <v/>
          </cell>
          <cell r="EU273">
            <v>0</v>
          </cell>
          <cell r="EV273" t="str">
            <v/>
          </cell>
          <cell r="EX273">
            <v>0</v>
          </cell>
          <cell r="EY273" t="str">
            <v/>
          </cell>
          <cell r="FA273">
            <v>0</v>
          </cell>
          <cell r="FB273" t="str">
            <v/>
          </cell>
          <cell r="FD273">
            <v>0</v>
          </cell>
          <cell r="FE273" t="str">
            <v/>
          </cell>
          <cell r="FG273">
            <v>0</v>
          </cell>
          <cell r="FH273" t="str">
            <v/>
          </cell>
          <cell r="FJ273">
            <v>0</v>
          </cell>
          <cell r="FK273" t="str">
            <v/>
          </cell>
          <cell r="FM273">
            <v>0</v>
          </cell>
          <cell r="FN273" t="str">
            <v/>
          </cell>
          <cell r="FP273">
            <v>0</v>
          </cell>
          <cell r="FQ273" t="str">
            <v/>
          </cell>
          <cell r="FS273">
            <v>0</v>
          </cell>
          <cell r="FT273" t="str">
            <v/>
          </cell>
          <cell r="FV273">
            <v>0</v>
          </cell>
          <cell r="FW273" t="str">
            <v/>
          </cell>
          <cell r="FY273">
            <v>0</v>
          </cell>
          <cell r="FZ273" t="str">
            <v/>
          </cell>
          <cell r="GB273">
            <v>0</v>
          </cell>
          <cell r="GC273" t="str">
            <v/>
          </cell>
          <cell r="GE273">
            <v>0</v>
          </cell>
          <cell r="GF273" t="str">
            <v/>
          </cell>
          <cell r="GH273">
            <v>0</v>
          </cell>
          <cell r="GI273" t="str">
            <v/>
          </cell>
          <cell r="GK273">
            <v>0</v>
          </cell>
          <cell r="GL273" t="str">
            <v/>
          </cell>
          <cell r="GN273">
            <v>0</v>
          </cell>
          <cell r="GO273" t="str">
            <v/>
          </cell>
          <cell r="GQ273">
            <v>0</v>
          </cell>
          <cell r="GR273" t="str">
            <v/>
          </cell>
          <cell r="GT273">
            <v>0</v>
          </cell>
          <cell r="GU273" t="str">
            <v/>
          </cell>
          <cell r="GW273">
            <v>0</v>
          </cell>
          <cell r="GX273" t="str">
            <v/>
          </cell>
          <cell r="GZ273">
            <v>0</v>
          </cell>
          <cell r="HA273" t="str">
            <v/>
          </cell>
          <cell r="HC273">
            <v>0</v>
          </cell>
          <cell r="HD273" t="str">
            <v/>
          </cell>
          <cell r="HF273">
            <v>0</v>
          </cell>
          <cell r="HG273" t="str">
            <v/>
          </cell>
          <cell r="HI273">
            <v>9.5</v>
          </cell>
          <cell r="HJ273">
            <v>28943.894736842107</v>
          </cell>
          <cell r="HL273">
            <v>0</v>
          </cell>
          <cell r="HM273" t="str">
            <v/>
          </cell>
          <cell r="HO273">
            <v>0</v>
          </cell>
          <cell r="HP273" t="str">
            <v/>
          </cell>
          <cell r="HR273">
            <v>0</v>
          </cell>
          <cell r="HS273" t="str">
            <v/>
          </cell>
          <cell r="HU273">
            <v>0</v>
          </cell>
          <cell r="HV273" t="str">
            <v/>
          </cell>
        </row>
        <row r="274">
          <cell r="DQ274">
            <v>0.6</v>
          </cell>
          <cell r="DR274">
            <v>78993.333333333343</v>
          </cell>
          <cell r="DT274">
            <v>0.16</v>
          </cell>
          <cell r="DU274">
            <v>79787.5</v>
          </cell>
          <cell r="DW274">
            <v>0.66</v>
          </cell>
          <cell r="DX274">
            <v>39121.21212121212</v>
          </cell>
          <cell r="DZ274">
            <v>0.16</v>
          </cell>
          <cell r="EA274">
            <v>68225</v>
          </cell>
          <cell r="EC274">
            <v>0</v>
          </cell>
          <cell r="ED274" t="str">
            <v/>
          </cell>
          <cell r="EF274">
            <v>0</v>
          </cell>
          <cell r="EG274" t="str">
            <v/>
          </cell>
          <cell r="EI274">
            <v>0</v>
          </cell>
          <cell r="EJ274" t="str">
            <v/>
          </cell>
          <cell r="EL274">
            <v>0</v>
          </cell>
          <cell r="EM274" t="str">
            <v/>
          </cell>
          <cell r="EO274">
            <v>0</v>
          </cell>
          <cell r="EP274" t="str">
            <v/>
          </cell>
          <cell r="ER274">
            <v>0</v>
          </cell>
          <cell r="ES274" t="str">
            <v/>
          </cell>
          <cell r="EU274">
            <v>0</v>
          </cell>
          <cell r="EV274" t="str">
            <v/>
          </cell>
          <cell r="EX274">
            <v>0</v>
          </cell>
          <cell r="EY274" t="str">
            <v/>
          </cell>
          <cell r="FA274">
            <v>0</v>
          </cell>
          <cell r="FB274" t="str">
            <v/>
          </cell>
          <cell r="FD274">
            <v>0</v>
          </cell>
          <cell r="FE274" t="str">
            <v/>
          </cell>
          <cell r="FG274">
            <v>0</v>
          </cell>
          <cell r="FH274" t="str">
            <v/>
          </cell>
          <cell r="FJ274">
            <v>0</v>
          </cell>
          <cell r="FK274" t="str">
            <v/>
          </cell>
          <cell r="FM274">
            <v>0</v>
          </cell>
          <cell r="FN274" t="str">
            <v/>
          </cell>
          <cell r="FP274">
            <v>0</v>
          </cell>
          <cell r="FQ274" t="str">
            <v/>
          </cell>
          <cell r="FS274">
            <v>0</v>
          </cell>
          <cell r="FT274" t="str">
            <v/>
          </cell>
          <cell r="FV274">
            <v>0</v>
          </cell>
          <cell r="FW274" t="str">
            <v/>
          </cell>
          <cell r="FY274">
            <v>0</v>
          </cell>
          <cell r="FZ274" t="str">
            <v/>
          </cell>
          <cell r="GB274">
            <v>0</v>
          </cell>
          <cell r="GC274" t="str">
            <v/>
          </cell>
          <cell r="GE274">
            <v>0</v>
          </cell>
          <cell r="GF274" t="str">
            <v/>
          </cell>
          <cell r="GH274">
            <v>0</v>
          </cell>
          <cell r="GI274" t="str">
            <v/>
          </cell>
          <cell r="GK274">
            <v>0</v>
          </cell>
          <cell r="GL274" t="str">
            <v/>
          </cell>
          <cell r="GN274">
            <v>0</v>
          </cell>
          <cell r="GO274" t="str">
            <v/>
          </cell>
          <cell r="GQ274">
            <v>0</v>
          </cell>
          <cell r="GR274" t="str">
            <v/>
          </cell>
          <cell r="GT274">
            <v>0</v>
          </cell>
          <cell r="GU274" t="str">
            <v/>
          </cell>
          <cell r="GW274">
            <v>2.5</v>
          </cell>
          <cell r="GX274">
            <v>48873.599999999999</v>
          </cell>
          <cell r="GZ274">
            <v>0.32</v>
          </cell>
          <cell r="HA274">
            <v>39537.5</v>
          </cell>
          <cell r="HC274">
            <v>0</v>
          </cell>
          <cell r="HD274" t="str">
            <v/>
          </cell>
          <cell r="HF274">
            <v>1.5</v>
          </cell>
          <cell r="HG274">
            <v>45217.333333333336</v>
          </cell>
          <cell r="HI274">
            <v>0.28000000000000003</v>
          </cell>
          <cell r="HJ274">
            <v>29271.428571428569</v>
          </cell>
          <cell r="HL274">
            <v>0</v>
          </cell>
          <cell r="HM274" t="str">
            <v/>
          </cell>
          <cell r="HO274">
            <v>0</v>
          </cell>
          <cell r="HP274" t="str">
            <v/>
          </cell>
          <cell r="HR274">
            <v>0</v>
          </cell>
          <cell r="HS274" t="str">
            <v/>
          </cell>
          <cell r="HU274">
            <v>0</v>
          </cell>
          <cell r="HV274" t="str">
            <v/>
          </cell>
        </row>
        <row r="275">
          <cell r="DQ275">
            <v>1</v>
          </cell>
          <cell r="DR275">
            <v>55000</v>
          </cell>
          <cell r="DT275">
            <v>0.08</v>
          </cell>
          <cell r="DU275">
            <v>68600</v>
          </cell>
          <cell r="DW275">
            <v>1</v>
          </cell>
          <cell r="DX275">
            <v>48000</v>
          </cell>
          <cell r="DZ275">
            <v>0</v>
          </cell>
          <cell r="EA275" t="str">
            <v/>
          </cell>
          <cell r="EC275">
            <v>0</v>
          </cell>
          <cell r="ED275" t="str">
            <v/>
          </cell>
          <cell r="EF275">
            <v>0</v>
          </cell>
          <cell r="EG275" t="str">
            <v/>
          </cell>
          <cell r="EI275">
            <v>0</v>
          </cell>
          <cell r="EJ275" t="str">
            <v/>
          </cell>
          <cell r="EL275">
            <v>0</v>
          </cell>
          <cell r="EM275" t="str">
            <v/>
          </cell>
          <cell r="EO275">
            <v>0</v>
          </cell>
          <cell r="EP275" t="str">
            <v/>
          </cell>
          <cell r="ER275">
            <v>0</v>
          </cell>
          <cell r="ES275" t="str">
            <v/>
          </cell>
          <cell r="EU275">
            <v>0</v>
          </cell>
          <cell r="EV275" t="str">
            <v/>
          </cell>
          <cell r="EX275">
            <v>0</v>
          </cell>
          <cell r="EY275" t="str">
            <v/>
          </cell>
          <cell r="FA275">
            <v>0</v>
          </cell>
          <cell r="FB275" t="str">
            <v/>
          </cell>
          <cell r="FD275">
            <v>0</v>
          </cell>
          <cell r="FE275" t="str">
            <v/>
          </cell>
          <cell r="FG275">
            <v>0</v>
          </cell>
          <cell r="FH275" t="str">
            <v/>
          </cell>
          <cell r="FJ275">
            <v>0</v>
          </cell>
          <cell r="FK275" t="str">
            <v/>
          </cell>
          <cell r="FM275">
            <v>0</v>
          </cell>
          <cell r="FN275" t="str">
            <v/>
          </cell>
          <cell r="FP275">
            <v>0</v>
          </cell>
          <cell r="FQ275" t="str">
            <v/>
          </cell>
          <cell r="FS275">
            <v>0</v>
          </cell>
          <cell r="FT275" t="str">
            <v/>
          </cell>
          <cell r="FV275">
            <v>0</v>
          </cell>
          <cell r="FW275" t="str">
            <v/>
          </cell>
          <cell r="FY275">
            <v>0</v>
          </cell>
          <cell r="FZ275" t="str">
            <v/>
          </cell>
          <cell r="GB275">
            <v>0</v>
          </cell>
          <cell r="GC275" t="str">
            <v/>
          </cell>
          <cell r="GE275">
            <v>0</v>
          </cell>
          <cell r="GF275" t="str">
            <v/>
          </cell>
          <cell r="GH275">
            <v>0</v>
          </cell>
          <cell r="GI275" t="str">
            <v/>
          </cell>
          <cell r="GK275">
            <v>0</v>
          </cell>
          <cell r="GL275" t="str">
            <v/>
          </cell>
          <cell r="GN275">
            <v>0</v>
          </cell>
          <cell r="GO275" t="str">
            <v/>
          </cell>
          <cell r="GQ275">
            <v>0</v>
          </cell>
          <cell r="GR275" t="str">
            <v/>
          </cell>
          <cell r="GT275">
            <v>0</v>
          </cell>
          <cell r="GU275" t="str">
            <v/>
          </cell>
          <cell r="GW275">
            <v>0</v>
          </cell>
          <cell r="GX275" t="str">
            <v/>
          </cell>
          <cell r="GZ275">
            <v>1.9</v>
          </cell>
          <cell r="HA275">
            <v>36460</v>
          </cell>
          <cell r="HC275">
            <v>0</v>
          </cell>
          <cell r="HD275" t="str">
            <v/>
          </cell>
          <cell r="HF275">
            <v>1</v>
          </cell>
          <cell r="HG275">
            <v>42925</v>
          </cell>
          <cell r="HI275">
            <v>0</v>
          </cell>
          <cell r="HJ275" t="str">
            <v/>
          </cell>
          <cell r="HL275">
            <v>0</v>
          </cell>
          <cell r="HM275" t="str">
            <v/>
          </cell>
          <cell r="HO275">
            <v>0.4</v>
          </cell>
          <cell r="HP275">
            <v>25970</v>
          </cell>
          <cell r="HR275">
            <v>0</v>
          </cell>
          <cell r="HS275" t="str">
            <v/>
          </cell>
          <cell r="HU275">
            <v>0</v>
          </cell>
          <cell r="HV275" t="str">
            <v/>
          </cell>
        </row>
        <row r="276">
          <cell r="DQ276">
            <v>0</v>
          </cell>
          <cell r="DR276" t="str">
            <v/>
          </cell>
          <cell r="DT276">
            <v>0</v>
          </cell>
          <cell r="DU276" t="str">
            <v/>
          </cell>
          <cell r="DW276">
            <v>0</v>
          </cell>
          <cell r="DX276" t="str">
            <v/>
          </cell>
          <cell r="DZ276">
            <v>0</v>
          </cell>
          <cell r="EA276" t="str">
            <v/>
          </cell>
          <cell r="EC276">
            <v>0</v>
          </cell>
          <cell r="ED276" t="str">
            <v/>
          </cell>
          <cell r="EF276">
            <v>0</v>
          </cell>
          <cell r="EG276" t="str">
            <v/>
          </cell>
          <cell r="EI276">
            <v>0</v>
          </cell>
          <cell r="EJ276" t="str">
            <v/>
          </cell>
          <cell r="EL276">
            <v>0</v>
          </cell>
          <cell r="EM276" t="str">
            <v/>
          </cell>
          <cell r="EO276">
            <v>0</v>
          </cell>
          <cell r="EP276" t="str">
            <v/>
          </cell>
          <cell r="ER276">
            <v>0</v>
          </cell>
          <cell r="ES276" t="str">
            <v/>
          </cell>
          <cell r="EU276">
            <v>0</v>
          </cell>
          <cell r="EV276" t="str">
            <v/>
          </cell>
          <cell r="EX276">
            <v>0</v>
          </cell>
          <cell r="EY276" t="str">
            <v/>
          </cell>
          <cell r="FA276">
            <v>0</v>
          </cell>
          <cell r="FB276" t="str">
            <v/>
          </cell>
          <cell r="FD276">
            <v>0</v>
          </cell>
          <cell r="FE276" t="str">
            <v/>
          </cell>
          <cell r="FG276">
            <v>0</v>
          </cell>
          <cell r="FH276" t="str">
            <v/>
          </cell>
          <cell r="FJ276">
            <v>0</v>
          </cell>
          <cell r="FK276" t="str">
            <v/>
          </cell>
          <cell r="FM276">
            <v>0</v>
          </cell>
          <cell r="FN276" t="str">
            <v/>
          </cell>
          <cell r="FP276">
            <v>0</v>
          </cell>
          <cell r="FQ276" t="str">
            <v/>
          </cell>
          <cell r="FS276">
            <v>0</v>
          </cell>
          <cell r="FT276" t="str">
            <v/>
          </cell>
          <cell r="FV276">
            <v>0</v>
          </cell>
          <cell r="FW276" t="str">
            <v/>
          </cell>
          <cell r="FY276">
            <v>0</v>
          </cell>
          <cell r="FZ276" t="str">
            <v/>
          </cell>
          <cell r="GB276">
            <v>0</v>
          </cell>
          <cell r="GC276" t="str">
            <v/>
          </cell>
          <cell r="GE276">
            <v>0</v>
          </cell>
          <cell r="GF276" t="str">
            <v/>
          </cell>
          <cell r="GH276">
            <v>0</v>
          </cell>
          <cell r="GI276" t="str">
            <v/>
          </cell>
          <cell r="GK276">
            <v>0</v>
          </cell>
          <cell r="GL276" t="str">
            <v/>
          </cell>
          <cell r="GN276">
            <v>0</v>
          </cell>
          <cell r="GO276" t="str">
            <v/>
          </cell>
          <cell r="GQ276">
            <v>0</v>
          </cell>
          <cell r="GR276" t="str">
            <v/>
          </cell>
          <cell r="GT276">
            <v>0</v>
          </cell>
          <cell r="GU276" t="str">
            <v/>
          </cell>
          <cell r="GW276">
            <v>0</v>
          </cell>
          <cell r="GX276" t="str">
            <v/>
          </cell>
          <cell r="GZ276">
            <v>0</v>
          </cell>
          <cell r="HA276" t="str">
            <v/>
          </cell>
          <cell r="HC276">
            <v>0</v>
          </cell>
          <cell r="HD276" t="str">
            <v/>
          </cell>
          <cell r="HF276">
            <v>0</v>
          </cell>
          <cell r="HG276" t="str">
            <v/>
          </cell>
          <cell r="HI276">
            <v>0</v>
          </cell>
          <cell r="HJ276" t="str">
            <v/>
          </cell>
          <cell r="HL276">
            <v>0</v>
          </cell>
          <cell r="HM276" t="str">
            <v/>
          </cell>
          <cell r="HO276">
            <v>0</v>
          </cell>
          <cell r="HP276" t="str">
            <v/>
          </cell>
          <cell r="HR276">
            <v>0</v>
          </cell>
          <cell r="HS276" t="str">
            <v/>
          </cell>
          <cell r="HU276">
            <v>0</v>
          </cell>
          <cell r="HV276" t="str">
            <v/>
          </cell>
        </row>
        <row r="277">
          <cell r="DQ277">
            <v>0</v>
          </cell>
          <cell r="DR277" t="str">
            <v/>
          </cell>
          <cell r="DT277">
            <v>0</v>
          </cell>
          <cell r="DU277" t="str">
            <v/>
          </cell>
          <cell r="DW277">
            <v>0</v>
          </cell>
          <cell r="DX277" t="str">
            <v/>
          </cell>
          <cell r="DZ277">
            <v>0</v>
          </cell>
          <cell r="EA277" t="str">
            <v/>
          </cell>
          <cell r="EC277">
            <v>0</v>
          </cell>
          <cell r="ED277" t="str">
            <v/>
          </cell>
          <cell r="EF277">
            <v>0</v>
          </cell>
          <cell r="EG277" t="str">
            <v/>
          </cell>
          <cell r="EI277">
            <v>0</v>
          </cell>
          <cell r="EJ277" t="str">
            <v/>
          </cell>
          <cell r="EL277">
            <v>0</v>
          </cell>
          <cell r="EM277" t="str">
            <v/>
          </cell>
          <cell r="EO277">
            <v>0</v>
          </cell>
          <cell r="EP277" t="str">
            <v/>
          </cell>
          <cell r="ER277">
            <v>0</v>
          </cell>
          <cell r="ES277" t="str">
            <v/>
          </cell>
          <cell r="EU277">
            <v>0</v>
          </cell>
          <cell r="EV277" t="str">
            <v/>
          </cell>
          <cell r="EX277">
            <v>0</v>
          </cell>
          <cell r="EY277" t="str">
            <v/>
          </cell>
          <cell r="FA277">
            <v>0</v>
          </cell>
          <cell r="FB277" t="str">
            <v/>
          </cell>
          <cell r="FD277">
            <v>0</v>
          </cell>
          <cell r="FE277" t="str">
            <v/>
          </cell>
          <cell r="FG277">
            <v>0</v>
          </cell>
          <cell r="FH277" t="str">
            <v/>
          </cell>
          <cell r="FJ277">
            <v>0</v>
          </cell>
          <cell r="FK277" t="str">
            <v/>
          </cell>
          <cell r="FM277">
            <v>0</v>
          </cell>
          <cell r="FN277" t="str">
            <v/>
          </cell>
          <cell r="FP277">
            <v>0</v>
          </cell>
          <cell r="FQ277" t="str">
            <v/>
          </cell>
          <cell r="FS277">
            <v>0</v>
          </cell>
          <cell r="FT277" t="str">
            <v/>
          </cell>
          <cell r="FV277">
            <v>0</v>
          </cell>
          <cell r="FW277" t="str">
            <v/>
          </cell>
          <cell r="FY277">
            <v>0</v>
          </cell>
          <cell r="FZ277" t="str">
            <v/>
          </cell>
          <cell r="GB277">
            <v>0</v>
          </cell>
          <cell r="GC277" t="str">
            <v/>
          </cell>
          <cell r="GE277">
            <v>0</v>
          </cell>
          <cell r="GF277" t="str">
            <v/>
          </cell>
          <cell r="GH277">
            <v>0</v>
          </cell>
          <cell r="GI277" t="str">
            <v/>
          </cell>
          <cell r="GK277">
            <v>0</v>
          </cell>
          <cell r="GL277" t="str">
            <v/>
          </cell>
          <cell r="GN277">
            <v>0</v>
          </cell>
          <cell r="GO277" t="str">
            <v/>
          </cell>
          <cell r="GQ277">
            <v>0</v>
          </cell>
          <cell r="GR277" t="str">
            <v/>
          </cell>
          <cell r="GT277">
            <v>0</v>
          </cell>
          <cell r="GU277" t="str">
            <v/>
          </cell>
          <cell r="GW277">
            <v>0</v>
          </cell>
          <cell r="GX277" t="str">
            <v/>
          </cell>
          <cell r="GZ277">
            <v>0</v>
          </cell>
          <cell r="HA277" t="str">
            <v/>
          </cell>
          <cell r="HC277">
            <v>0</v>
          </cell>
          <cell r="HD277" t="str">
            <v/>
          </cell>
          <cell r="HF277">
            <v>0</v>
          </cell>
          <cell r="HG277" t="str">
            <v/>
          </cell>
          <cell r="HI277">
            <v>0</v>
          </cell>
          <cell r="HJ277" t="str">
            <v/>
          </cell>
          <cell r="HL277">
            <v>0</v>
          </cell>
          <cell r="HM277" t="str">
            <v/>
          </cell>
          <cell r="HO277">
            <v>0</v>
          </cell>
          <cell r="HP277" t="str">
            <v/>
          </cell>
          <cell r="HR277">
            <v>0</v>
          </cell>
          <cell r="HS277" t="str">
            <v/>
          </cell>
          <cell r="HU277">
            <v>0</v>
          </cell>
          <cell r="HV277" t="str">
            <v/>
          </cell>
        </row>
        <row r="278">
          <cell r="DQ278">
            <v>1.81</v>
          </cell>
          <cell r="DR278">
            <v>81277.348066298335</v>
          </cell>
          <cell r="DT278">
            <v>0</v>
          </cell>
          <cell r="DU278" t="str">
            <v/>
          </cell>
          <cell r="DW278">
            <v>1.51</v>
          </cell>
          <cell r="DX278">
            <v>57745.03311258278</v>
          </cell>
          <cell r="DZ278">
            <v>0</v>
          </cell>
          <cell r="EA278" t="str">
            <v/>
          </cell>
          <cell r="EC278">
            <v>0</v>
          </cell>
          <cell r="ED278" t="str">
            <v/>
          </cell>
          <cell r="EF278">
            <v>0</v>
          </cell>
          <cell r="EG278" t="str">
            <v/>
          </cell>
          <cell r="EI278">
            <v>0</v>
          </cell>
          <cell r="EJ278" t="str">
            <v/>
          </cell>
          <cell r="EL278">
            <v>2.3199999999999998</v>
          </cell>
          <cell r="EM278">
            <v>62981.896551724145</v>
          </cell>
          <cell r="EO278">
            <v>0</v>
          </cell>
          <cell r="EP278" t="str">
            <v/>
          </cell>
          <cell r="ER278">
            <v>0</v>
          </cell>
          <cell r="ES278" t="str">
            <v/>
          </cell>
          <cell r="EU278">
            <v>0</v>
          </cell>
          <cell r="EV278" t="str">
            <v/>
          </cell>
          <cell r="EX278">
            <v>0</v>
          </cell>
          <cell r="EY278" t="str">
            <v/>
          </cell>
          <cell r="FA278">
            <v>0</v>
          </cell>
          <cell r="FB278" t="str">
            <v/>
          </cell>
          <cell r="FD278">
            <v>0</v>
          </cell>
          <cell r="FE278" t="str">
            <v/>
          </cell>
          <cell r="FG278">
            <v>0</v>
          </cell>
          <cell r="FH278" t="str">
            <v/>
          </cell>
          <cell r="FJ278">
            <v>0</v>
          </cell>
          <cell r="FK278" t="str">
            <v/>
          </cell>
          <cell r="FM278">
            <v>0</v>
          </cell>
          <cell r="FN278" t="str">
            <v/>
          </cell>
          <cell r="FP278">
            <v>0</v>
          </cell>
          <cell r="FQ278" t="str">
            <v/>
          </cell>
          <cell r="FS278">
            <v>0</v>
          </cell>
          <cell r="FT278" t="str">
            <v/>
          </cell>
          <cell r="FV278">
            <v>0</v>
          </cell>
          <cell r="FW278" t="str">
            <v/>
          </cell>
          <cell r="FY278">
            <v>0</v>
          </cell>
          <cell r="FZ278" t="str">
            <v/>
          </cell>
          <cell r="GB278">
            <v>2.23</v>
          </cell>
          <cell r="GC278">
            <v>65531.838565022423</v>
          </cell>
          <cell r="GE278">
            <v>0</v>
          </cell>
          <cell r="GF278" t="str">
            <v/>
          </cell>
          <cell r="GH278">
            <v>0</v>
          </cell>
          <cell r="GI278" t="str">
            <v/>
          </cell>
          <cell r="GK278">
            <v>0</v>
          </cell>
          <cell r="GL278" t="str">
            <v/>
          </cell>
          <cell r="GN278">
            <v>0</v>
          </cell>
          <cell r="GO278" t="str">
            <v/>
          </cell>
          <cell r="GQ278">
            <v>0</v>
          </cell>
          <cell r="GR278" t="str">
            <v/>
          </cell>
          <cell r="GT278">
            <v>0</v>
          </cell>
          <cell r="GU278" t="str">
            <v/>
          </cell>
          <cell r="GW278">
            <v>0</v>
          </cell>
          <cell r="GX278" t="str">
            <v/>
          </cell>
          <cell r="GZ278">
            <v>4.88</v>
          </cell>
          <cell r="HA278">
            <v>51131.352459016394</v>
          </cell>
          <cell r="HC278">
            <v>0</v>
          </cell>
          <cell r="HD278" t="str">
            <v/>
          </cell>
          <cell r="HF278">
            <v>8.2799999999999994</v>
          </cell>
          <cell r="HG278">
            <v>32352.294685990342</v>
          </cell>
          <cell r="HI278">
            <v>0</v>
          </cell>
          <cell r="HJ278" t="str">
            <v/>
          </cell>
          <cell r="HL278">
            <v>0</v>
          </cell>
          <cell r="HM278" t="str">
            <v/>
          </cell>
          <cell r="HO278">
            <v>0.82</v>
          </cell>
          <cell r="HP278">
            <v>55457.317073170736</v>
          </cell>
          <cell r="HR278">
            <v>0</v>
          </cell>
          <cell r="HS278" t="str">
            <v/>
          </cell>
          <cell r="HU278">
            <v>0</v>
          </cell>
          <cell r="HV278" t="str">
            <v/>
          </cell>
        </row>
        <row r="279">
          <cell r="DQ279">
            <v>0</v>
          </cell>
          <cell r="DR279" t="str">
            <v/>
          </cell>
          <cell r="DT279">
            <v>0</v>
          </cell>
          <cell r="DU279" t="str">
            <v/>
          </cell>
          <cell r="DW279">
            <v>0</v>
          </cell>
          <cell r="DX279" t="str">
            <v/>
          </cell>
          <cell r="DZ279">
            <v>0</v>
          </cell>
          <cell r="EA279" t="str">
            <v/>
          </cell>
          <cell r="EC279">
            <v>0</v>
          </cell>
          <cell r="ED279" t="str">
            <v/>
          </cell>
          <cell r="EF279">
            <v>0</v>
          </cell>
          <cell r="EG279" t="str">
            <v/>
          </cell>
          <cell r="EI279">
            <v>0</v>
          </cell>
          <cell r="EJ279" t="str">
            <v/>
          </cell>
          <cell r="EL279">
            <v>0</v>
          </cell>
          <cell r="EM279" t="str">
            <v/>
          </cell>
          <cell r="EO279">
            <v>0</v>
          </cell>
          <cell r="EP279" t="str">
            <v/>
          </cell>
          <cell r="ER279">
            <v>0</v>
          </cell>
          <cell r="ES279" t="str">
            <v/>
          </cell>
          <cell r="EU279">
            <v>0</v>
          </cell>
          <cell r="EV279" t="str">
            <v/>
          </cell>
          <cell r="EX279">
            <v>0</v>
          </cell>
          <cell r="EY279" t="str">
            <v/>
          </cell>
          <cell r="FA279">
            <v>0</v>
          </cell>
          <cell r="FB279" t="str">
            <v/>
          </cell>
          <cell r="FD279">
            <v>0</v>
          </cell>
          <cell r="FE279" t="str">
            <v/>
          </cell>
          <cell r="FG279">
            <v>0</v>
          </cell>
          <cell r="FH279" t="str">
            <v/>
          </cell>
          <cell r="FJ279">
            <v>0</v>
          </cell>
          <cell r="FK279" t="str">
            <v/>
          </cell>
          <cell r="FM279">
            <v>0</v>
          </cell>
          <cell r="FN279" t="str">
            <v/>
          </cell>
          <cell r="FP279">
            <v>0</v>
          </cell>
          <cell r="FQ279" t="str">
            <v/>
          </cell>
          <cell r="FS279">
            <v>0</v>
          </cell>
          <cell r="FT279" t="str">
            <v/>
          </cell>
          <cell r="FV279">
            <v>0</v>
          </cell>
          <cell r="FW279" t="str">
            <v/>
          </cell>
          <cell r="FY279">
            <v>0</v>
          </cell>
          <cell r="FZ279" t="str">
            <v/>
          </cell>
          <cell r="GB279">
            <v>0</v>
          </cell>
          <cell r="GC279" t="str">
            <v/>
          </cell>
          <cell r="GE279">
            <v>0</v>
          </cell>
          <cell r="GF279" t="str">
            <v/>
          </cell>
          <cell r="GH279">
            <v>0</v>
          </cell>
          <cell r="GI279" t="str">
            <v/>
          </cell>
          <cell r="GK279">
            <v>0</v>
          </cell>
          <cell r="GL279" t="str">
            <v/>
          </cell>
          <cell r="GN279">
            <v>0</v>
          </cell>
          <cell r="GO279" t="str">
            <v/>
          </cell>
          <cell r="GQ279">
            <v>0</v>
          </cell>
          <cell r="GR279" t="str">
            <v/>
          </cell>
          <cell r="GT279">
            <v>0</v>
          </cell>
          <cell r="GU279" t="str">
            <v/>
          </cell>
          <cell r="GW279">
            <v>0</v>
          </cell>
          <cell r="GX279" t="str">
            <v/>
          </cell>
          <cell r="GZ279">
            <v>0</v>
          </cell>
          <cell r="HA279" t="str">
            <v/>
          </cell>
          <cell r="HC279">
            <v>0</v>
          </cell>
          <cell r="HD279" t="str">
            <v/>
          </cell>
          <cell r="HF279">
            <v>0</v>
          </cell>
          <cell r="HG279" t="str">
            <v/>
          </cell>
          <cell r="HI279">
            <v>0</v>
          </cell>
          <cell r="HJ279" t="str">
            <v/>
          </cell>
          <cell r="HL279">
            <v>0</v>
          </cell>
          <cell r="HM279" t="str">
            <v/>
          </cell>
          <cell r="HO279">
            <v>0</v>
          </cell>
          <cell r="HP279" t="str">
            <v/>
          </cell>
          <cell r="HR279">
            <v>0</v>
          </cell>
          <cell r="HS279" t="str">
            <v/>
          </cell>
          <cell r="HU279">
            <v>0</v>
          </cell>
          <cell r="HV279" t="str">
            <v/>
          </cell>
        </row>
        <row r="280">
          <cell r="DQ280">
            <v>0</v>
          </cell>
          <cell r="DR280" t="str">
            <v/>
          </cell>
          <cell r="DT280">
            <v>0</v>
          </cell>
          <cell r="DU280" t="str">
            <v/>
          </cell>
          <cell r="DW280">
            <v>0</v>
          </cell>
          <cell r="DX280" t="str">
            <v/>
          </cell>
          <cell r="DZ280">
            <v>0</v>
          </cell>
          <cell r="EA280" t="str">
            <v/>
          </cell>
          <cell r="EC280">
            <v>0</v>
          </cell>
          <cell r="ED280" t="str">
            <v/>
          </cell>
          <cell r="EF280">
            <v>0</v>
          </cell>
          <cell r="EG280" t="str">
            <v/>
          </cell>
          <cell r="EI280">
            <v>0</v>
          </cell>
          <cell r="EJ280" t="str">
            <v/>
          </cell>
          <cell r="EL280">
            <v>0</v>
          </cell>
          <cell r="EM280" t="str">
            <v/>
          </cell>
          <cell r="EO280">
            <v>0</v>
          </cell>
          <cell r="EP280" t="str">
            <v/>
          </cell>
          <cell r="ER280">
            <v>0</v>
          </cell>
          <cell r="ES280" t="str">
            <v/>
          </cell>
          <cell r="EU280">
            <v>0</v>
          </cell>
          <cell r="EV280" t="str">
            <v/>
          </cell>
          <cell r="EX280">
            <v>0</v>
          </cell>
          <cell r="EY280" t="str">
            <v/>
          </cell>
          <cell r="FA280">
            <v>0</v>
          </cell>
          <cell r="FB280" t="str">
            <v/>
          </cell>
          <cell r="FD280">
            <v>0</v>
          </cell>
          <cell r="FE280" t="str">
            <v/>
          </cell>
          <cell r="FG280">
            <v>0</v>
          </cell>
          <cell r="FH280" t="str">
            <v/>
          </cell>
          <cell r="FJ280">
            <v>0</v>
          </cell>
          <cell r="FK280" t="str">
            <v/>
          </cell>
          <cell r="FM280">
            <v>0</v>
          </cell>
          <cell r="FN280" t="str">
            <v/>
          </cell>
          <cell r="FP280">
            <v>0</v>
          </cell>
          <cell r="FQ280" t="str">
            <v/>
          </cell>
          <cell r="FS280">
            <v>0</v>
          </cell>
          <cell r="FT280" t="str">
            <v/>
          </cell>
          <cell r="FV280">
            <v>0</v>
          </cell>
          <cell r="FW280" t="str">
            <v/>
          </cell>
          <cell r="FY280">
            <v>0</v>
          </cell>
          <cell r="FZ280" t="str">
            <v/>
          </cell>
          <cell r="GB280">
            <v>0</v>
          </cell>
          <cell r="GC280" t="str">
            <v/>
          </cell>
          <cell r="GE280">
            <v>0</v>
          </cell>
          <cell r="GF280" t="str">
            <v/>
          </cell>
          <cell r="GH280">
            <v>0</v>
          </cell>
          <cell r="GI280" t="str">
            <v/>
          </cell>
          <cell r="GK280">
            <v>0</v>
          </cell>
          <cell r="GL280" t="str">
            <v/>
          </cell>
          <cell r="GN280">
            <v>0</v>
          </cell>
          <cell r="GO280" t="str">
            <v/>
          </cell>
          <cell r="GQ280">
            <v>0</v>
          </cell>
          <cell r="GR280" t="str">
            <v/>
          </cell>
          <cell r="GT280">
            <v>0</v>
          </cell>
          <cell r="GU280" t="str">
            <v/>
          </cell>
          <cell r="GW280">
            <v>0</v>
          </cell>
          <cell r="GX280" t="str">
            <v/>
          </cell>
          <cell r="GZ280">
            <v>0</v>
          </cell>
          <cell r="HA280" t="str">
            <v/>
          </cell>
          <cell r="HC280">
            <v>0</v>
          </cell>
          <cell r="HD280" t="str">
            <v/>
          </cell>
          <cell r="HF280">
            <v>0</v>
          </cell>
          <cell r="HG280" t="str">
            <v/>
          </cell>
          <cell r="HI280">
            <v>0</v>
          </cell>
          <cell r="HJ280" t="str">
            <v/>
          </cell>
          <cell r="HL280">
            <v>0</v>
          </cell>
          <cell r="HM280" t="str">
            <v/>
          </cell>
          <cell r="HO280">
            <v>0</v>
          </cell>
          <cell r="HP280" t="str">
            <v/>
          </cell>
          <cell r="HR280">
            <v>0</v>
          </cell>
          <cell r="HS280" t="str">
            <v/>
          </cell>
          <cell r="HU280">
            <v>0</v>
          </cell>
          <cell r="HV280" t="str">
            <v/>
          </cell>
        </row>
        <row r="281">
          <cell r="DQ281">
            <v>0</v>
          </cell>
          <cell r="DR281" t="str">
            <v/>
          </cell>
          <cell r="DT281">
            <v>0</v>
          </cell>
          <cell r="DU281" t="str">
            <v/>
          </cell>
          <cell r="DW281">
            <v>0</v>
          </cell>
          <cell r="DX281" t="str">
            <v/>
          </cell>
          <cell r="DZ281">
            <v>0</v>
          </cell>
          <cell r="EA281" t="str">
            <v/>
          </cell>
          <cell r="EC281">
            <v>0</v>
          </cell>
          <cell r="ED281" t="str">
            <v/>
          </cell>
          <cell r="EF281">
            <v>0</v>
          </cell>
          <cell r="EG281" t="str">
            <v/>
          </cell>
          <cell r="EI281">
            <v>0</v>
          </cell>
          <cell r="EJ281" t="str">
            <v/>
          </cell>
          <cell r="EL281">
            <v>0</v>
          </cell>
          <cell r="EM281" t="str">
            <v/>
          </cell>
          <cell r="EO281">
            <v>0</v>
          </cell>
          <cell r="EP281" t="str">
            <v/>
          </cell>
          <cell r="ER281">
            <v>0</v>
          </cell>
          <cell r="ES281" t="str">
            <v/>
          </cell>
          <cell r="EU281">
            <v>0</v>
          </cell>
          <cell r="EV281" t="str">
            <v/>
          </cell>
          <cell r="EX281">
            <v>0</v>
          </cell>
          <cell r="EY281" t="str">
            <v/>
          </cell>
          <cell r="FA281">
            <v>0</v>
          </cell>
          <cell r="FB281" t="str">
            <v/>
          </cell>
          <cell r="FD281">
            <v>0</v>
          </cell>
          <cell r="FE281" t="str">
            <v/>
          </cell>
          <cell r="FG281">
            <v>0</v>
          </cell>
          <cell r="FH281" t="str">
            <v/>
          </cell>
          <cell r="FJ281">
            <v>0</v>
          </cell>
          <cell r="FK281" t="str">
            <v/>
          </cell>
          <cell r="FM281">
            <v>0</v>
          </cell>
          <cell r="FN281" t="str">
            <v/>
          </cell>
          <cell r="FP281">
            <v>0</v>
          </cell>
          <cell r="FQ281" t="str">
            <v/>
          </cell>
          <cell r="FS281">
            <v>0</v>
          </cell>
          <cell r="FT281" t="str">
            <v/>
          </cell>
          <cell r="FV281">
            <v>0</v>
          </cell>
          <cell r="FW281" t="str">
            <v/>
          </cell>
          <cell r="FY281">
            <v>0</v>
          </cell>
          <cell r="FZ281" t="str">
            <v/>
          </cell>
          <cell r="GB281">
            <v>0</v>
          </cell>
          <cell r="GC281" t="str">
            <v/>
          </cell>
          <cell r="GE281">
            <v>0</v>
          </cell>
          <cell r="GF281" t="str">
            <v/>
          </cell>
          <cell r="GH281">
            <v>0</v>
          </cell>
          <cell r="GI281" t="str">
            <v/>
          </cell>
          <cell r="GK281">
            <v>0</v>
          </cell>
          <cell r="GL281" t="str">
            <v/>
          </cell>
          <cell r="GN281">
            <v>0</v>
          </cell>
          <cell r="GO281" t="str">
            <v/>
          </cell>
          <cell r="GQ281">
            <v>0</v>
          </cell>
          <cell r="GR281" t="str">
            <v/>
          </cell>
          <cell r="GT281">
            <v>0</v>
          </cell>
          <cell r="GU281" t="str">
            <v/>
          </cell>
          <cell r="GW281">
            <v>0.83</v>
          </cell>
          <cell r="GX281">
            <v>45471.084337349399</v>
          </cell>
          <cell r="GZ281">
            <v>0</v>
          </cell>
          <cell r="HA281" t="str">
            <v/>
          </cell>
          <cell r="HC281">
            <v>0</v>
          </cell>
          <cell r="HD281" t="str">
            <v/>
          </cell>
          <cell r="HF281">
            <v>0</v>
          </cell>
          <cell r="HG281" t="str">
            <v/>
          </cell>
          <cell r="HI281">
            <v>0</v>
          </cell>
          <cell r="HJ281" t="str">
            <v/>
          </cell>
          <cell r="HL281">
            <v>0</v>
          </cell>
          <cell r="HM281" t="str">
            <v/>
          </cell>
          <cell r="HO281">
            <v>0</v>
          </cell>
          <cell r="HP281" t="str">
            <v/>
          </cell>
          <cell r="HR281">
            <v>0</v>
          </cell>
          <cell r="HS281" t="str">
            <v/>
          </cell>
          <cell r="HU281">
            <v>0</v>
          </cell>
          <cell r="HV281" t="str">
            <v/>
          </cell>
        </row>
        <row r="282">
          <cell r="DQ282">
            <v>1.1399999999999999</v>
          </cell>
          <cell r="DR282">
            <v>70252.631578947374</v>
          </cell>
          <cell r="DT282">
            <v>2.2200000000000002</v>
          </cell>
          <cell r="DU282">
            <v>39775.675675675673</v>
          </cell>
          <cell r="DW282">
            <v>0.84</v>
          </cell>
          <cell r="DX282">
            <v>42202.380952380954</v>
          </cell>
          <cell r="DZ282">
            <v>0</v>
          </cell>
          <cell r="EA282" t="str">
            <v/>
          </cell>
          <cell r="EC282">
            <v>0</v>
          </cell>
          <cell r="ED282" t="str">
            <v/>
          </cell>
          <cell r="EF282">
            <v>0</v>
          </cell>
          <cell r="EG282" t="str">
            <v/>
          </cell>
          <cell r="EI282">
            <v>0</v>
          </cell>
          <cell r="EJ282" t="str">
            <v/>
          </cell>
          <cell r="EL282">
            <v>0</v>
          </cell>
          <cell r="EM282" t="str">
            <v/>
          </cell>
          <cell r="EO282">
            <v>0</v>
          </cell>
          <cell r="EP282" t="str">
            <v/>
          </cell>
          <cell r="ER282">
            <v>0</v>
          </cell>
          <cell r="ES282" t="str">
            <v/>
          </cell>
          <cell r="EU282">
            <v>0</v>
          </cell>
          <cell r="EV282" t="str">
            <v/>
          </cell>
          <cell r="EX282">
            <v>0</v>
          </cell>
          <cell r="EY282" t="str">
            <v/>
          </cell>
          <cell r="FA282">
            <v>0</v>
          </cell>
          <cell r="FB282" t="str">
            <v/>
          </cell>
          <cell r="FD282">
            <v>0</v>
          </cell>
          <cell r="FE282" t="str">
            <v/>
          </cell>
          <cell r="FG282">
            <v>0</v>
          </cell>
          <cell r="FH282" t="str">
            <v/>
          </cell>
          <cell r="FJ282">
            <v>0</v>
          </cell>
          <cell r="FK282" t="str">
            <v/>
          </cell>
          <cell r="FM282">
            <v>0</v>
          </cell>
          <cell r="FN282" t="str">
            <v/>
          </cell>
          <cell r="FP282">
            <v>0</v>
          </cell>
          <cell r="FQ282" t="str">
            <v/>
          </cell>
          <cell r="FS282">
            <v>0</v>
          </cell>
          <cell r="FT282" t="str">
            <v/>
          </cell>
          <cell r="FV282">
            <v>0</v>
          </cell>
          <cell r="FW282" t="str">
            <v/>
          </cell>
          <cell r="FY282">
            <v>0</v>
          </cell>
          <cell r="FZ282" t="str">
            <v/>
          </cell>
          <cell r="GB282">
            <v>0</v>
          </cell>
          <cell r="GC282" t="str">
            <v/>
          </cell>
          <cell r="GE282">
            <v>0</v>
          </cell>
          <cell r="GF282" t="str">
            <v/>
          </cell>
          <cell r="GH282">
            <v>0</v>
          </cell>
          <cell r="GI282" t="str">
            <v/>
          </cell>
          <cell r="GK282">
            <v>0</v>
          </cell>
          <cell r="GL282" t="str">
            <v/>
          </cell>
          <cell r="GN282">
            <v>0</v>
          </cell>
          <cell r="GO282" t="str">
            <v/>
          </cell>
          <cell r="GQ282">
            <v>0</v>
          </cell>
          <cell r="GR282" t="str">
            <v/>
          </cell>
          <cell r="GT282">
            <v>0</v>
          </cell>
          <cell r="GU282" t="str">
            <v/>
          </cell>
          <cell r="GW282">
            <v>0</v>
          </cell>
          <cell r="GX282" t="str">
            <v/>
          </cell>
          <cell r="GZ282">
            <v>0</v>
          </cell>
          <cell r="HA282" t="str">
            <v/>
          </cell>
          <cell r="HC282">
            <v>0</v>
          </cell>
          <cell r="HD282" t="str">
            <v/>
          </cell>
          <cell r="HF282">
            <v>0</v>
          </cell>
          <cell r="HG282" t="str">
            <v/>
          </cell>
          <cell r="HI282">
            <v>0</v>
          </cell>
          <cell r="HJ282" t="str">
            <v/>
          </cell>
          <cell r="HL282">
            <v>6.16</v>
          </cell>
          <cell r="HM282">
            <v>30643.506493506491</v>
          </cell>
          <cell r="HO282">
            <v>1.68</v>
          </cell>
          <cell r="HP282">
            <v>36550</v>
          </cell>
          <cell r="HR282">
            <v>0</v>
          </cell>
          <cell r="HS282" t="str">
            <v/>
          </cell>
          <cell r="HU282">
            <v>0</v>
          </cell>
          <cell r="HV282" t="str">
            <v/>
          </cell>
        </row>
        <row r="283">
          <cell r="DQ283">
            <v>3.9</v>
          </cell>
          <cell r="DR283">
            <v>51489.230769230773</v>
          </cell>
          <cell r="DT283">
            <v>0.14000000000000001</v>
          </cell>
          <cell r="DU283">
            <v>89071.428571428565</v>
          </cell>
          <cell r="DW283">
            <v>0</v>
          </cell>
          <cell r="DX283" t="str">
            <v/>
          </cell>
          <cell r="DZ283">
            <v>0</v>
          </cell>
          <cell r="EA283" t="str">
            <v/>
          </cell>
          <cell r="EC283">
            <v>0</v>
          </cell>
          <cell r="ED283" t="str">
            <v/>
          </cell>
          <cell r="EF283">
            <v>0</v>
          </cell>
          <cell r="EG283" t="str">
            <v/>
          </cell>
          <cell r="EI283">
            <v>0</v>
          </cell>
          <cell r="EJ283" t="str">
            <v/>
          </cell>
          <cell r="EL283">
            <v>0</v>
          </cell>
          <cell r="EM283" t="str">
            <v/>
          </cell>
          <cell r="EO283">
            <v>0</v>
          </cell>
          <cell r="EP283" t="str">
            <v/>
          </cell>
          <cell r="ER283">
            <v>0</v>
          </cell>
          <cell r="ES283" t="str">
            <v/>
          </cell>
          <cell r="EU283">
            <v>0</v>
          </cell>
          <cell r="EV283" t="str">
            <v/>
          </cell>
          <cell r="EX283">
            <v>0</v>
          </cell>
          <cell r="EY283" t="str">
            <v/>
          </cell>
          <cell r="FA283">
            <v>0</v>
          </cell>
          <cell r="FB283" t="str">
            <v/>
          </cell>
          <cell r="FD283">
            <v>0</v>
          </cell>
          <cell r="FE283" t="str">
            <v/>
          </cell>
          <cell r="FG283">
            <v>0</v>
          </cell>
          <cell r="FH283" t="str">
            <v/>
          </cell>
          <cell r="FJ283">
            <v>0</v>
          </cell>
          <cell r="FK283" t="str">
            <v/>
          </cell>
          <cell r="FM283">
            <v>0</v>
          </cell>
          <cell r="FN283" t="str">
            <v/>
          </cell>
          <cell r="FP283">
            <v>0</v>
          </cell>
          <cell r="FQ283" t="str">
            <v/>
          </cell>
          <cell r="FS283">
            <v>0</v>
          </cell>
          <cell r="FT283" t="str">
            <v/>
          </cell>
          <cell r="FV283">
            <v>0</v>
          </cell>
          <cell r="FW283" t="str">
            <v/>
          </cell>
          <cell r="FY283">
            <v>0</v>
          </cell>
          <cell r="FZ283" t="str">
            <v/>
          </cell>
          <cell r="GB283">
            <v>0</v>
          </cell>
          <cell r="GC283" t="str">
            <v/>
          </cell>
          <cell r="GE283">
            <v>0</v>
          </cell>
          <cell r="GF283" t="str">
            <v/>
          </cell>
          <cell r="GH283">
            <v>0</v>
          </cell>
          <cell r="GI283" t="str">
            <v/>
          </cell>
          <cell r="GK283">
            <v>0</v>
          </cell>
          <cell r="GL283" t="str">
            <v/>
          </cell>
          <cell r="GN283">
            <v>0</v>
          </cell>
          <cell r="GO283" t="str">
            <v/>
          </cell>
          <cell r="GQ283">
            <v>0</v>
          </cell>
          <cell r="GR283" t="str">
            <v/>
          </cell>
          <cell r="GT283">
            <v>0</v>
          </cell>
          <cell r="GU283" t="str">
            <v/>
          </cell>
          <cell r="GW283">
            <v>0</v>
          </cell>
          <cell r="GX283" t="str">
            <v/>
          </cell>
          <cell r="GZ283">
            <v>0</v>
          </cell>
          <cell r="HA283" t="str">
            <v/>
          </cell>
          <cell r="HC283">
            <v>0</v>
          </cell>
          <cell r="HD283" t="str">
            <v/>
          </cell>
          <cell r="HF283">
            <v>0</v>
          </cell>
          <cell r="HG283" t="str">
            <v/>
          </cell>
          <cell r="HI283">
            <v>10</v>
          </cell>
          <cell r="HJ283">
            <v>40693.800000000003</v>
          </cell>
          <cell r="HL283">
            <v>0.06</v>
          </cell>
          <cell r="HM283">
            <v>53166.666666666672</v>
          </cell>
          <cell r="HO283">
            <v>1.24</v>
          </cell>
          <cell r="HP283">
            <v>38588.709677419356</v>
          </cell>
          <cell r="HR283">
            <v>0</v>
          </cell>
          <cell r="HS283" t="str">
            <v/>
          </cell>
          <cell r="HU283">
            <v>0</v>
          </cell>
          <cell r="HV283" t="str">
            <v/>
          </cell>
        </row>
        <row r="284">
          <cell r="DQ284">
            <v>0</v>
          </cell>
          <cell r="DR284" t="str">
            <v/>
          </cell>
          <cell r="DT284">
            <v>0</v>
          </cell>
          <cell r="DU284" t="str">
            <v/>
          </cell>
          <cell r="DW284">
            <v>0</v>
          </cell>
          <cell r="DX284" t="str">
            <v/>
          </cell>
          <cell r="DZ284">
            <v>0</v>
          </cell>
          <cell r="EA284" t="str">
            <v/>
          </cell>
          <cell r="EC284">
            <v>0</v>
          </cell>
          <cell r="ED284" t="str">
            <v/>
          </cell>
          <cell r="EF284">
            <v>0</v>
          </cell>
          <cell r="EG284" t="str">
            <v/>
          </cell>
          <cell r="EI284">
            <v>0</v>
          </cell>
          <cell r="EJ284" t="str">
            <v/>
          </cell>
          <cell r="EL284">
            <v>0</v>
          </cell>
          <cell r="EM284" t="str">
            <v/>
          </cell>
          <cell r="EO284">
            <v>0</v>
          </cell>
          <cell r="EP284" t="str">
            <v/>
          </cell>
          <cell r="ER284">
            <v>0</v>
          </cell>
          <cell r="ES284" t="str">
            <v/>
          </cell>
          <cell r="EU284">
            <v>0</v>
          </cell>
          <cell r="EV284" t="str">
            <v/>
          </cell>
          <cell r="EX284">
            <v>0</v>
          </cell>
          <cell r="EY284" t="str">
            <v/>
          </cell>
          <cell r="FA284">
            <v>0</v>
          </cell>
          <cell r="FB284" t="str">
            <v/>
          </cell>
          <cell r="FD284">
            <v>0</v>
          </cell>
          <cell r="FE284" t="str">
            <v/>
          </cell>
          <cell r="FG284">
            <v>0</v>
          </cell>
          <cell r="FH284" t="str">
            <v/>
          </cell>
          <cell r="FJ284">
            <v>0</v>
          </cell>
          <cell r="FK284" t="str">
            <v/>
          </cell>
          <cell r="FM284">
            <v>0</v>
          </cell>
          <cell r="FN284" t="str">
            <v/>
          </cell>
          <cell r="FP284">
            <v>0</v>
          </cell>
          <cell r="FQ284" t="str">
            <v/>
          </cell>
          <cell r="FS284">
            <v>0</v>
          </cell>
          <cell r="FT284" t="str">
            <v/>
          </cell>
          <cell r="FV284">
            <v>0</v>
          </cell>
          <cell r="FW284" t="str">
            <v/>
          </cell>
          <cell r="FY284">
            <v>0</v>
          </cell>
          <cell r="FZ284" t="str">
            <v/>
          </cell>
          <cell r="GB284">
            <v>0</v>
          </cell>
          <cell r="GC284" t="str">
            <v/>
          </cell>
          <cell r="GE284">
            <v>0</v>
          </cell>
          <cell r="GF284" t="str">
            <v/>
          </cell>
          <cell r="GH284">
            <v>0</v>
          </cell>
          <cell r="GI284" t="str">
            <v/>
          </cell>
          <cell r="GK284">
            <v>0</v>
          </cell>
          <cell r="GL284" t="str">
            <v/>
          </cell>
          <cell r="GN284">
            <v>0</v>
          </cell>
          <cell r="GO284" t="str">
            <v/>
          </cell>
          <cell r="GQ284">
            <v>0</v>
          </cell>
          <cell r="GR284" t="str">
            <v/>
          </cell>
          <cell r="GT284">
            <v>0</v>
          </cell>
          <cell r="GU284" t="str">
            <v/>
          </cell>
          <cell r="GW284">
            <v>0</v>
          </cell>
          <cell r="GX284" t="str">
            <v/>
          </cell>
          <cell r="GZ284">
            <v>0</v>
          </cell>
          <cell r="HA284" t="str">
            <v/>
          </cell>
          <cell r="HC284">
            <v>0</v>
          </cell>
          <cell r="HD284" t="str">
            <v/>
          </cell>
          <cell r="HF284">
            <v>0</v>
          </cell>
          <cell r="HG284" t="str">
            <v/>
          </cell>
          <cell r="HI284">
            <v>0</v>
          </cell>
          <cell r="HJ284" t="str">
            <v/>
          </cell>
          <cell r="HL284">
            <v>0</v>
          </cell>
          <cell r="HM284" t="str">
            <v/>
          </cell>
          <cell r="HO284">
            <v>0</v>
          </cell>
          <cell r="HP284" t="str">
            <v/>
          </cell>
          <cell r="HR284">
            <v>0</v>
          </cell>
          <cell r="HS284" t="str">
            <v/>
          </cell>
          <cell r="HU284">
            <v>0</v>
          </cell>
          <cell r="HV284" t="str">
            <v/>
          </cell>
        </row>
        <row r="285">
          <cell r="DQ285">
            <v>0</v>
          </cell>
          <cell r="DR285" t="str">
            <v/>
          </cell>
          <cell r="DT285">
            <v>0</v>
          </cell>
          <cell r="DU285" t="str">
            <v/>
          </cell>
          <cell r="DW285">
            <v>0</v>
          </cell>
          <cell r="DX285" t="str">
            <v/>
          </cell>
          <cell r="DZ285">
            <v>0</v>
          </cell>
          <cell r="EA285" t="str">
            <v/>
          </cell>
          <cell r="EC285">
            <v>0</v>
          </cell>
          <cell r="ED285" t="str">
            <v/>
          </cell>
          <cell r="EF285">
            <v>0</v>
          </cell>
          <cell r="EG285" t="str">
            <v/>
          </cell>
          <cell r="EI285">
            <v>0</v>
          </cell>
          <cell r="EJ285" t="str">
            <v/>
          </cell>
          <cell r="EL285">
            <v>0</v>
          </cell>
          <cell r="EM285" t="str">
            <v/>
          </cell>
          <cell r="EO285">
            <v>0</v>
          </cell>
          <cell r="EP285" t="str">
            <v/>
          </cell>
          <cell r="ER285">
            <v>0</v>
          </cell>
          <cell r="ES285" t="str">
            <v/>
          </cell>
          <cell r="EU285">
            <v>0</v>
          </cell>
          <cell r="EV285" t="str">
            <v/>
          </cell>
          <cell r="EX285">
            <v>0</v>
          </cell>
          <cell r="EY285" t="str">
            <v/>
          </cell>
          <cell r="FA285">
            <v>0</v>
          </cell>
          <cell r="FB285" t="str">
            <v/>
          </cell>
          <cell r="FD285">
            <v>0</v>
          </cell>
          <cell r="FE285" t="str">
            <v/>
          </cell>
          <cell r="FG285">
            <v>0</v>
          </cell>
          <cell r="FH285" t="str">
            <v/>
          </cell>
          <cell r="FJ285">
            <v>0</v>
          </cell>
          <cell r="FK285" t="str">
            <v/>
          </cell>
          <cell r="FM285">
            <v>0</v>
          </cell>
          <cell r="FN285" t="str">
            <v/>
          </cell>
          <cell r="FP285">
            <v>0</v>
          </cell>
          <cell r="FQ285" t="str">
            <v/>
          </cell>
          <cell r="FS285">
            <v>0</v>
          </cell>
          <cell r="FT285" t="str">
            <v/>
          </cell>
          <cell r="FV285">
            <v>0</v>
          </cell>
          <cell r="FW285" t="str">
            <v/>
          </cell>
          <cell r="FY285">
            <v>0</v>
          </cell>
          <cell r="FZ285" t="str">
            <v/>
          </cell>
          <cell r="GB285">
            <v>0</v>
          </cell>
          <cell r="GC285" t="str">
            <v/>
          </cell>
          <cell r="GE285">
            <v>0</v>
          </cell>
          <cell r="GF285" t="str">
            <v/>
          </cell>
          <cell r="GH285">
            <v>0</v>
          </cell>
          <cell r="GI285" t="str">
            <v/>
          </cell>
          <cell r="GK285">
            <v>0</v>
          </cell>
          <cell r="GL285" t="str">
            <v/>
          </cell>
          <cell r="GN285">
            <v>0</v>
          </cell>
          <cell r="GO285" t="str">
            <v/>
          </cell>
          <cell r="GQ285">
            <v>0</v>
          </cell>
          <cell r="GR285" t="str">
            <v/>
          </cell>
          <cell r="GT285">
            <v>0</v>
          </cell>
          <cell r="GU285" t="str">
            <v/>
          </cell>
          <cell r="GW285">
            <v>0</v>
          </cell>
          <cell r="GX285" t="str">
            <v/>
          </cell>
          <cell r="GZ285">
            <v>0</v>
          </cell>
          <cell r="HA285" t="str">
            <v/>
          </cell>
          <cell r="HC285">
            <v>0</v>
          </cell>
          <cell r="HD285" t="str">
            <v/>
          </cell>
          <cell r="HF285">
            <v>0</v>
          </cell>
          <cell r="HG285" t="str">
            <v/>
          </cell>
          <cell r="HI285">
            <v>0</v>
          </cell>
          <cell r="HJ285" t="str">
            <v/>
          </cell>
          <cell r="HL285">
            <v>0</v>
          </cell>
          <cell r="HM285" t="str">
            <v/>
          </cell>
          <cell r="HO285">
            <v>0</v>
          </cell>
          <cell r="HP285" t="str">
            <v/>
          </cell>
          <cell r="HR285">
            <v>0</v>
          </cell>
          <cell r="HS285" t="str">
            <v/>
          </cell>
          <cell r="HU285">
            <v>0</v>
          </cell>
          <cell r="HV285" t="str">
            <v/>
          </cell>
        </row>
        <row r="286">
          <cell r="DQ286">
            <v>0.25</v>
          </cell>
          <cell r="DR286">
            <v>51140</v>
          </cell>
          <cell r="DT286">
            <v>0</v>
          </cell>
          <cell r="DU286" t="str">
            <v/>
          </cell>
          <cell r="DW286">
            <v>0</v>
          </cell>
          <cell r="DX286" t="str">
            <v/>
          </cell>
          <cell r="DZ286">
            <v>0</v>
          </cell>
          <cell r="EA286" t="str">
            <v/>
          </cell>
          <cell r="EC286">
            <v>0</v>
          </cell>
          <cell r="ED286" t="str">
            <v/>
          </cell>
          <cell r="EF286">
            <v>0</v>
          </cell>
          <cell r="EG286" t="str">
            <v/>
          </cell>
          <cell r="EI286">
            <v>0</v>
          </cell>
          <cell r="EJ286" t="str">
            <v/>
          </cell>
          <cell r="EL286">
            <v>0</v>
          </cell>
          <cell r="EM286" t="str">
            <v/>
          </cell>
          <cell r="EO286">
            <v>0</v>
          </cell>
          <cell r="EP286" t="str">
            <v/>
          </cell>
          <cell r="ER286">
            <v>0</v>
          </cell>
          <cell r="ES286" t="str">
            <v/>
          </cell>
          <cell r="EU286">
            <v>0</v>
          </cell>
          <cell r="EV286" t="str">
            <v/>
          </cell>
          <cell r="EX286">
            <v>0</v>
          </cell>
          <cell r="EY286" t="str">
            <v/>
          </cell>
          <cell r="FA286">
            <v>0</v>
          </cell>
          <cell r="FB286" t="str">
            <v/>
          </cell>
          <cell r="FD286">
            <v>0</v>
          </cell>
          <cell r="FE286" t="str">
            <v/>
          </cell>
          <cell r="FG286">
            <v>0</v>
          </cell>
          <cell r="FH286" t="str">
            <v/>
          </cell>
          <cell r="FJ286">
            <v>0</v>
          </cell>
          <cell r="FK286" t="str">
            <v/>
          </cell>
          <cell r="FM286">
            <v>0</v>
          </cell>
          <cell r="FN286" t="str">
            <v/>
          </cell>
          <cell r="FP286">
            <v>0</v>
          </cell>
          <cell r="FQ286" t="str">
            <v/>
          </cell>
          <cell r="FS286">
            <v>0</v>
          </cell>
          <cell r="FT286" t="str">
            <v/>
          </cell>
          <cell r="FV286">
            <v>0</v>
          </cell>
          <cell r="FW286" t="str">
            <v/>
          </cell>
          <cell r="FY286">
            <v>0</v>
          </cell>
          <cell r="FZ286" t="str">
            <v/>
          </cell>
          <cell r="GB286">
            <v>0</v>
          </cell>
          <cell r="GC286" t="str">
            <v/>
          </cell>
          <cell r="GE286">
            <v>0</v>
          </cell>
          <cell r="GF286" t="str">
            <v/>
          </cell>
          <cell r="GH286">
            <v>0</v>
          </cell>
          <cell r="GI286" t="str">
            <v/>
          </cell>
          <cell r="GK286">
            <v>0</v>
          </cell>
          <cell r="GL286" t="str">
            <v/>
          </cell>
          <cell r="GN286">
            <v>0</v>
          </cell>
          <cell r="GO286" t="str">
            <v/>
          </cell>
          <cell r="GQ286">
            <v>0</v>
          </cell>
          <cell r="GR286" t="str">
            <v/>
          </cell>
          <cell r="GT286">
            <v>0</v>
          </cell>
          <cell r="GU286" t="str">
            <v/>
          </cell>
          <cell r="GW286">
            <v>0</v>
          </cell>
          <cell r="GX286" t="str">
            <v/>
          </cell>
          <cell r="GZ286">
            <v>0</v>
          </cell>
          <cell r="HA286" t="str">
            <v/>
          </cell>
          <cell r="HC286">
            <v>0</v>
          </cell>
          <cell r="HD286" t="str">
            <v/>
          </cell>
          <cell r="HF286">
            <v>0</v>
          </cell>
          <cell r="HG286" t="str">
            <v/>
          </cell>
          <cell r="HI286">
            <v>0</v>
          </cell>
          <cell r="HJ286" t="str">
            <v/>
          </cell>
          <cell r="HL286">
            <v>0</v>
          </cell>
          <cell r="HM286" t="str">
            <v/>
          </cell>
          <cell r="HO286">
            <v>0</v>
          </cell>
          <cell r="HP286" t="str">
            <v/>
          </cell>
          <cell r="HR286">
            <v>0</v>
          </cell>
          <cell r="HS286" t="str">
            <v/>
          </cell>
          <cell r="HU286">
            <v>0</v>
          </cell>
          <cell r="HV286" t="str">
            <v/>
          </cell>
        </row>
        <row r="287">
          <cell r="DQ287">
            <v>0</v>
          </cell>
          <cell r="DR287" t="str">
            <v/>
          </cell>
          <cell r="DT287">
            <v>0</v>
          </cell>
          <cell r="DU287" t="str">
            <v/>
          </cell>
          <cell r="DW287">
            <v>0</v>
          </cell>
          <cell r="DX287" t="str">
            <v/>
          </cell>
          <cell r="DZ287">
            <v>0</v>
          </cell>
          <cell r="EA287" t="str">
            <v/>
          </cell>
          <cell r="EC287">
            <v>0</v>
          </cell>
          <cell r="ED287" t="str">
            <v/>
          </cell>
          <cell r="EF287">
            <v>0</v>
          </cell>
          <cell r="EG287" t="str">
            <v/>
          </cell>
          <cell r="EI287">
            <v>0</v>
          </cell>
          <cell r="EJ287" t="str">
            <v/>
          </cell>
          <cell r="EL287">
            <v>0</v>
          </cell>
          <cell r="EM287" t="str">
            <v/>
          </cell>
          <cell r="EO287">
            <v>0</v>
          </cell>
          <cell r="EP287" t="str">
            <v/>
          </cell>
          <cell r="ER287">
            <v>0</v>
          </cell>
          <cell r="ES287" t="str">
            <v/>
          </cell>
          <cell r="EU287">
            <v>0</v>
          </cell>
          <cell r="EV287" t="str">
            <v/>
          </cell>
          <cell r="EX287">
            <v>0</v>
          </cell>
          <cell r="EY287" t="str">
            <v/>
          </cell>
          <cell r="FA287">
            <v>0</v>
          </cell>
          <cell r="FB287" t="str">
            <v/>
          </cell>
          <cell r="FD287">
            <v>0</v>
          </cell>
          <cell r="FE287" t="str">
            <v/>
          </cell>
          <cell r="FG287">
            <v>0</v>
          </cell>
          <cell r="FH287" t="str">
            <v/>
          </cell>
          <cell r="FJ287">
            <v>0</v>
          </cell>
          <cell r="FK287" t="str">
            <v/>
          </cell>
          <cell r="FM287">
            <v>0</v>
          </cell>
          <cell r="FN287" t="str">
            <v/>
          </cell>
          <cell r="FP287">
            <v>0</v>
          </cell>
          <cell r="FQ287" t="str">
            <v/>
          </cell>
          <cell r="FS287">
            <v>0</v>
          </cell>
          <cell r="FT287" t="str">
            <v/>
          </cell>
          <cell r="FV287">
            <v>0</v>
          </cell>
          <cell r="FW287" t="str">
            <v/>
          </cell>
          <cell r="FY287">
            <v>0</v>
          </cell>
          <cell r="FZ287" t="str">
            <v/>
          </cell>
          <cell r="GB287">
            <v>0</v>
          </cell>
          <cell r="GC287" t="str">
            <v/>
          </cell>
          <cell r="GE287">
            <v>0</v>
          </cell>
          <cell r="GF287" t="str">
            <v/>
          </cell>
          <cell r="GH287">
            <v>0</v>
          </cell>
          <cell r="GI287" t="str">
            <v/>
          </cell>
          <cell r="GK287">
            <v>0</v>
          </cell>
          <cell r="GL287" t="str">
            <v/>
          </cell>
          <cell r="GN287">
            <v>0</v>
          </cell>
          <cell r="GO287" t="str">
            <v/>
          </cell>
          <cell r="GQ287">
            <v>0</v>
          </cell>
          <cell r="GR287" t="str">
            <v/>
          </cell>
          <cell r="GT287">
            <v>0</v>
          </cell>
          <cell r="GU287" t="str">
            <v/>
          </cell>
          <cell r="GW287">
            <v>0</v>
          </cell>
          <cell r="GX287" t="str">
            <v/>
          </cell>
          <cell r="GZ287">
            <v>0</v>
          </cell>
          <cell r="HA287" t="str">
            <v/>
          </cell>
          <cell r="HC287">
            <v>0</v>
          </cell>
          <cell r="HD287" t="str">
            <v/>
          </cell>
          <cell r="HF287">
            <v>0</v>
          </cell>
          <cell r="HG287" t="str">
            <v/>
          </cell>
          <cell r="HI287">
            <v>0</v>
          </cell>
          <cell r="HJ287" t="str">
            <v/>
          </cell>
          <cell r="HL287">
            <v>0.14000000000000001</v>
          </cell>
          <cell r="HM287">
            <v>30285.714285714283</v>
          </cell>
          <cell r="HO287">
            <v>0</v>
          </cell>
          <cell r="HP287" t="str">
            <v/>
          </cell>
          <cell r="HR287">
            <v>0</v>
          </cell>
          <cell r="HS287" t="str">
            <v/>
          </cell>
          <cell r="HU287">
            <v>0</v>
          </cell>
          <cell r="HV287" t="str">
            <v/>
          </cell>
        </row>
        <row r="288">
          <cell r="DQ288">
            <v>0</v>
          </cell>
          <cell r="DR288" t="str">
            <v/>
          </cell>
          <cell r="DT288">
            <v>0.01</v>
          </cell>
          <cell r="DU288">
            <v>74500</v>
          </cell>
          <cell r="DW288">
            <v>0</v>
          </cell>
          <cell r="DX288" t="str">
            <v/>
          </cell>
          <cell r="DZ288">
            <v>0</v>
          </cell>
          <cell r="EA288" t="str">
            <v/>
          </cell>
          <cell r="EC288">
            <v>0</v>
          </cell>
          <cell r="ED288" t="str">
            <v/>
          </cell>
          <cell r="EF288">
            <v>0</v>
          </cell>
          <cell r="EG288" t="str">
            <v/>
          </cell>
          <cell r="EI288">
            <v>0</v>
          </cell>
          <cell r="EJ288" t="str">
            <v/>
          </cell>
          <cell r="EL288">
            <v>0</v>
          </cell>
          <cell r="EM288" t="str">
            <v/>
          </cell>
          <cell r="EO288">
            <v>0</v>
          </cell>
          <cell r="EP288" t="str">
            <v/>
          </cell>
          <cell r="ER288">
            <v>0</v>
          </cell>
          <cell r="ES288" t="str">
            <v/>
          </cell>
          <cell r="EU288">
            <v>0</v>
          </cell>
          <cell r="EV288" t="str">
            <v/>
          </cell>
          <cell r="EX288">
            <v>0</v>
          </cell>
          <cell r="EY288" t="str">
            <v/>
          </cell>
          <cell r="FA288">
            <v>0</v>
          </cell>
          <cell r="FB288" t="str">
            <v/>
          </cell>
          <cell r="FD288">
            <v>0</v>
          </cell>
          <cell r="FE288" t="str">
            <v/>
          </cell>
          <cell r="FG288">
            <v>0</v>
          </cell>
          <cell r="FH288" t="str">
            <v/>
          </cell>
          <cell r="FJ288">
            <v>0</v>
          </cell>
          <cell r="FK288" t="str">
            <v/>
          </cell>
          <cell r="FM288">
            <v>0</v>
          </cell>
          <cell r="FN288" t="str">
            <v/>
          </cell>
          <cell r="FP288">
            <v>0</v>
          </cell>
          <cell r="FQ288" t="str">
            <v/>
          </cell>
          <cell r="FS288">
            <v>0</v>
          </cell>
          <cell r="FT288" t="str">
            <v/>
          </cell>
          <cell r="FV288">
            <v>0</v>
          </cell>
          <cell r="FW288" t="str">
            <v/>
          </cell>
          <cell r="FY288">
            <v>0</v>
          </cell>
          <cell r="FZ288" t="str">
            <v/>
          </cell>
          <cell r="GB288">
            <v>0</v>
          </cell>
          <cell r="GC288" t="str">
            <v/>
          </cell>
          <cell r="GE288">
            <v>0</v>
          </cell>
          <cell r="GF288" t="str">
            <v/>
          </cell>
          <cell r="GH288">
            <v>0</v>
          </cell>
          <cell r="GI288" t="str">
            <v/>
          </cell>
          <cell r="GK288">
            <v>0</v>
          </cell>
          <cell r="GL288" t="str">
            <v/>
          </cell>
          <cell r="GN288">
            <v>0</v>
          </cell>
          <cell r="GO288" t="str">
            <v/>
          </cell>
          <cell r="GQ288">
            <v>0</v>
          </cell>
          <cell r="GR288" t="str">
            <v/>
          </cell>
          <cell r="GT288">
            <v>0</v>
          </cell>
          <cell r="GU288" t="str">
            <v/>
          </cell>
          <cell r="GW288">
            <v>0</v>
          </cell>
          <cell r="GX288" t="str">
            <v/>
          </cell>
          <cell r="GZ288">
            <v>0</v>
          </cell>
          <cell r="HA288" t="str">
            <v/>
          </cell>
          <cell r="HC288">
            <v>0</v>
          </cell>
          <cell r="HD288" t="str">
            <v/>
          </cell>
          <cell r="HF288">
            <v>0</v>
          </cell>
          <cell r="HG288" t="str">
            <v/>
          </cell>
          <cell r="HI288">
            <v>0.01</v>
          </cell>
          <cell r="HJ288">
            <v>22880</v>
          </cell>
          <cell r="HL288">
            <v>1.26</v>
          </cell>
          <cell r="HM288">
            <v>31192.857142857141</v>
          </cell>
          <cell r="HO288">
            <v>0</v>
          </cell>
          <cell r="HP288" t="str">
            <v/>
          </cell>
          <cell r="HR288">
            <v>0</v>
          </cell>
          <cell r="HS288" t="str">
            <v/>
          </cell>
          <cell r="HU288">
            <v>0</v>
          </cell>
          <cell r="HV288" t="str">
            <v/>
          </cell>
        </row>
        <row r="289">
          <cell r="DQ289">
            <v>0.05</v>
          </cell>
          <cell r="DR289">
            <v>135300</v>
          </cell>
          <cell r="DT289">
            <v>0.02</v>
          </cell>
          <cell r="DU289">
            <v>81550</v>
          </cell>
          <cell r="DW289">
            <v>0</v>
          </cell>
          <cell r="DX289" t="str">
            <v/>
          </cell>
          <cell r="DZ289">
            <v>1</v>
          </cell>
          <cell r="EA289">
            <v>60012</v>
          </cell>
          <cell r="EC289">
            <v>0.38</v>
          </cell>
          <cell r="ED289">
            <v>340263.15789473685</v>
          </cell>
          <cell r="EF289">
            <v>0</v>
          </cell>
          <cell r="EG289" t="str">
            <v/>
          </cell>
          <cell r="EI289">
            <v>0</v>
          </cell>
          <cell r="EJ289" t="str">
            <v/>
          </cell>
          <cell r="EL289">
            <v>0</v>
          </cell>
          <cell r="EM289" t="str">
            <v/>
          </cell>
          <cell r="EO289">
            <v>0</v>
          </cell>
          <cell r="EP289" t="str">
            <v/>
          </cell>
          <cell r="ER289">
            <v>0</v>
          </cell>
          <cell r="ES289" t="str">
            <v/>
          </cell>
          <cell r="EU289">
            <v>0</v>
          </cell>
          <cell r="EV289" t="str">
            <v/>
          </cell>
          <cell r="EX289">
            <v>0</v>
          </cell>
          <cell r="EY289" t="str">
            <v/>
          </cell>
          <cell r="FA289">
            <v>0</v>
          </cell>
          <cell r="FB289" t="str">
            <v/>
          </cell>
          <cell r="FD289">
            <v>0</v>
          </cell>
          <cell r="FE289" t="str">
            <v/>
          </cell>
          <cell r="FG289">
            <v>0</v>
          </cell>
          <cell r="FH289" t="str">
            <v/>
          </cell>
          <cell r="FJ289">
            <v>0</v>
          </cell>
          <cell r="FK289" t="str">
            <v/>
          </cell>
          <cell r="FM289">
            <v>0</v>
          </cell>
          <cell r="FN289" t="str">
            <v/>
          </cell>
          <cell r="FP289">
            <v>0</v>
          </cell>
          <cell r="FQ289" t="str">
            <v/>
          </cell>
          <cell r="FS289">
            <v>0</v>
          </cell>
          <cell r="FT289" t="str">
            <v/>
          </cell>
          <cell r="FV289">
            <v>0</v>
          </cell>
          <cell r="FW289" t="str">
            <v/>
          </cell>
          <cell r="FY289">
            <v>0</v>
          </cell>
          <cell r="FZ289" t="str">
            <v/>
          </cell>
          <cell r="GB289">
            <v>10.28</v>
          </cell>
          <cell r="GC289">
            <v>47139.785992217905</v>
          </cell>
          <cell r="GE289">
            <v>0</v>
          </cell>
          <cell r="GF289" t="str">
            <v/>
          </cell>
          <cell r="GH289">
            <v>0</v>
          </cell>
          <cell r="GI289" t="str">
            <v/>
          </cell>
          <cell r="GK289">
            <v>0</v>
          </cell>
          <cell r="GL289" t="str">
            <v/>
          </cell>
          <cell r="GN289">
            <v>0</v>
          </cell>
          <cell r="GO289" t="str">
            <v/>
          </cell>
          <cell r="GQ289">
            <v>0</v>
          </cell>
          <cell r="GR289" t="str">
            <v/>
          </cell>
          <cell r="GT289">
            <v>0</v>
          </cell>
          <cell r="GU289" t="str">
            <v/>
          </cell>
          <cell r="GW289">
            <v>0</v>
          </cell>
          <cell r="GX289" t="str">
            <v/>
          </cell>
          <cell r="GZ289">
            <v>5.87</v>
          </cell>
          <cell r="HA289">
            <v>38863.032367972744</v>
          </cell>
          <cell r="HC289">
            <v>1</v>
          </cell>
          <cell r="HD289">
            <v>59026</v>
          </cell>
          <cell r="HF289">
            <v>0</v>
          </cell>
          <cell r="HG289" t="str">
            <v/>
          </cell>
          <cell r="HI289">
            <v>0</v>
          </cell>
          <cell r="HJ289" t="str">
            <v/>
          </cell>
          <cell r="HL289">
            <v>0</v>
          </cell>
          <cell r="HM289" t="str">
            <v/>
          </cell>
          <cell r="HO289">
            <v>0.03</v>
          </cell>
          <cell r="HP289">
            <v>57133.333333333336</v>
          </cell>
          <cell r="HR289">
            <v>0</v>
          </cell>
          <cell r="HS289" t="str">
            <v/>
          </cell>
          <cell r="HU289">
            <v>0</v>
          </cell>
          <cell r="HV289" t="str">
            <v/>
          </cell>
        </row>
        <row r="290">
          <cell r="DQ290">
            <v>1</v>
          </cell>
          <cell r="DR290">
            <v>38000</v>
          </cell>
          <cell r="DT290">
            <v>0</v>
          </cell>
          <cell r="DU290" t="str">
            <v/>
          </cell>
          <cell r="DW290">
            <v>0</v>
          </cell>
          <cell r="DX290" t="str">
            <v/>
          </cell>
          <cell r="DZ290">
            <v>0</v>
          </cell>
          <cell r="EA290" t="str">
            <v/>
          </cell>
          <cell r="EC290">
            <v>0</v>
          </cell>
          <cell r="ED290" t="str">
            <v/>
          </cell>
          <cell r="EF290">
            <v>0</v>
          </cell>
          <cell r="EG290" t="str">
            <v/>
          </cell>
          <cell r="EI290">
            <v>0</v>
          </cell>
          <cell r="EJ290" t="str">
            <v/>
          </cell>
          <cell r="EL290">
            <v>0</v>
          </cell>
          <cell r="EM290" t="str">
            <v/>
          </cell>
          <cell r="EO290">
            <v>0</v>
          </cell>
          <cell r="EP290" t="str">
            <v/>
          </cell>
          <cell r="ER290">
            <v>0</v>
          </cell>
          <cell r="ES290" t="str">
            <v/>
          </cell>
          <cell r="EU290">
            <v>0</v>
          </cell>
          <cell r="EV290" t="str">
            <v/>
          </cell>
          <cell r="EX290">
            <v>0</v>
          </cell>
          <cell r="EY290" t="str">
            <v/>
          </cell>
          <cell r="FA290">
            <v>0</v>
          </cell>
          <cell r="FB290" t="str">
            <v/>
          </cell>
          <cell r="FD290">
            <v>0</v>
          </cell>
          <cell r="FE290" t="str">
            <v/>
          </cell>
          <cell r="FG290">
            <v>0</v>
          </cell>
          <cell r="FH290" t="str">
            <v/>
          </cell>
          <cell r="FJ290">
            <v>0</v>
          </cell>
          <cell r="FK290" t="str">
            <v/>
          </cell>
          <cell r="FM290">
            <v>0</v>
          </cell>
          <cell r="FN290" t="str">
            <v/>
          </cell>
          <cell r="FP290">
            <v>0</v>
          </cell>
          <cell r="FQ290" t="str">
            <v/>
          </cell>
          <cell r="FS290">
            <v>0</v>
          </cell>
          <cell r="FT290" t="str">
            <v/>
          </cell>
          <cell r="FV290">
            <v>0</v>
          </cell>
          <cell r="FW290" t="str">
            <v/>
          </cell>
          <cell r="FY290">
            <v>0</v>
          </cell>
          <cell r="FZ290" t="str">
            <v/>
          </cell>
          <cell r="GB290">
            <v>0</v>
          </cell>
          <cell r="GC290" t="str">
            <v/>
          </cell>
          <cell r="GE290">
            <v>0</v>
          </cell>
          <cell r="GF290" t="str">
            <v/>
          </cell>
          <cell r="GH290">
            <v>0</v>
          </cell>
          <cell r="GI290" t="str">
            <v/>
          </cell>
          <cell r="GK290">
            <v>0</v>
          </cell>
          <cell r="GL290" t="str">
            <v/>
          </cell>
          <cell r="GN290">
            <v>0</v>
          </cell>
          <cell r="GO290" t="str">
            <v/>
          </cell>
          <cell r="GQ290">
            <v>0</v>
          </cell>
          <cell r="GR290" t="str">
            <v/>
          </cell>
          <cell r="GT290">
            <v>0</v>
          </cell>
          <cell r="GU290" t="str">
            <v/>
          </cell>
          <cell r="GW290">
            <v>0</v>
          </cell>
          <cell r="GX290" t="str">
            <v/>
          </cell>
          <cell r="GZ290">
            <v>0</v>
          </cell>
          <cell r="HA290" t="str">
            <v/>
          </cell>
          <cell r="HC290">
            <v>0</v>
          </cell>
          <cell r="HD290" t="str">
            <v/>
          </cell>
          <cell r="HF290">
            <v>2.8</v>
          </cell>
          <cell r="HG290">
            <v>31054.285714285717</v>
          </cell>
          <cell r="HI290">
            <v>0</v>
          </cell>
          <cell r="HJ290" t="str">
            <v/>
          </cell>
          <cell r="HL290">
            <v>0</v>
          </cell>
          <cell r="HM290" t="str">
            <v/>
          </cell>
          <cell r="HO290">
            <v>0</v>
          </cell>
          <cell r="HP290" t="str">
            <v/>
          </cell>
          <cell r="HR290">
            <v>0</v>
          </cell>
          <cell r="HS290" t="str">
            <v/>
          </cell>
          <cell r="HU290">
            <v>0</v>
          </cell>
          <cell r="HV290" t="str">
            <v/>
          </cell>
        </row>
        <row r="291">
          <cell r="DQ291">
            <v>1.53</v>
          </cell>
          <cell r="DR291">
            <v>27476.470588235294</v>
          </cell>
          <cell r="DT291">
            <v>0.147099104305114</v>
          </cell>
          <cell r="DU291">
            <v>51380.32645204381</v>
          </cell>
          <cell r="DW291">
            <v>0.490003294892916</v>
          </cell>
          <cell r="DX291">
            <v>26448.80174291939</v>
          </cell>
          <cell r="DZ291">
            <v>0</v>
          </cell>
          <cell r="EA291" t="str">
            <v/>
          </cell>
          <cell r="EC291">
            <v>0</v>
          </cell>
          <cell r="ED291" t="str">
            <v/>
          </cell>
          <cell r="EF291">
            <v>0</v>
          </cell>
          <cell r="EG291" t="str">
            <v/>
          </cell>
          <cell r="EI291">
            <v>0</v>
          </cell>
          <cell r="EJ291" t="str">
            <v/>
          </cell>
          <cell r="EL291">
            <v>0.77552966202301599</v>
          </cell>
          <cell r="EM291">
            <v>39672.241445597865</v>
          </cell>
          <cell r="EO291">
            <v>0</v>
          </cell>
          <cell r="EP291" t="str">
            <v/>
          </cell>
          <cell r="ER291">
            <v>0</v>
          </cell>
          <cell r="ES291" t="str">
            <v/>
          </cell>
          <cell r="EU291">
            <v>0</v>
          </cell>
          <cell r="EV291" t="str">
            <v/>
          </cell>
          <cell r="EX291">
            <v>0</v>
          </cell>
          <cell r="EY291" t="str">
            <v/>
          </cell>
          <cell r="FA291">
            <v>0</v>
          </cell>
          <cell r="FB291" t="str">
            <v/>
          </cell>
          <cell r="FD291">
            <v>0</v>
          </cell>
          <cell r="FE291" t="str">
            <v/>
          </cell>
          <cell r="FG291">
            <v>0</v>
          </cell>
          <cell r="FH291" t="str">
            <v/>
          </cell>
          <cell r="FJ291">
            <v>0</v>
          </cell>
          <cell r="FK291" t="str">
            <v/>
          </cell>
          <cell r="FM291">
            <v>0</v>
          </cell>
          <cell r="FN291" t="str">
            <v/>
          </cell>
          <cell r="FP291">
            <v>0</v>
          </cell>
          <cell r="FQ291" t="str">
            <v/>
          </cell>
          <cell r="FS291">
            <v>0</v>
          </cell>
          <cell r="FT291" t="str">
            <v/>
          </cell>
          <cell r="FV291">
            <v>4.2851120533010302E-2</v>
          </cell>
          <cell r="FW291">
            <v>39672.241445597843</v>
          </cell>
          <cell r="FY291">
            <v>0</v>
          </cell>
          <cell r="FZ291" t="str">
            <v/>
          </cell>
          <cell r="GB291">
            <v>0</v>
          </cell>
          <cell r="GC291" t="str">
            <v/>
          </cell>
          <cell r="GE291">
            <v>0</v>
          </cell>
          <cell r="GF291" t="str">
            <v/>
          </cell>
          <cell r="GH291">
            <v>0</v>
          </cell>
          <cell r="GI291" t="str">
            <v/>
          </cell>
          <cell r="GK291">
            <v>0</v>
          </cell>
          <cell r="GL291" t="str">
            <v/>
          </cell>
          <cell r="GN291">
            <v>0</v>
          </cell>
          <cell r="GO291" t="str">
            <v/>
          </cell>
          <cell r="GQ291">
            <v>0</v>
          </cell>
          <cell r="GR291" t="str">
            <v/>
          </cell>
          <cell r="GT291">
            <v>0</v>
          </cell>
          <cell r="GU291" t="str">
            <v/>
          </cell>
          <cell r="GW291">
            <v>0</v>
          </cell>
          <cell r="GX291" t="str">
            <v/>
          </cell>
          <cell r="GZ291">
            <v>0</v>
          </cell>
          <cell r="HA291" t="str">
            <v/>
          </cell>
          <cell r="HC291">
            <v>3.42630658958281</v>
          </cell>
          <cell r="HD291">
            <v>22880</v>
          </cell>
          <cell r="HF291">
            <v>0</v>
          </cell>
          <cell r="HG291" t="str">
            <v/>
          </cell>
          <cell r="HI291">
            <v>0</v>
          </cell>
          <cell r="HJ291" t="str">
            <v/>
          </cell>
          <cell r="HL291">
            <v>41.003430925175699</v>
          </cell>
          <cell r="HM291">
            <v>22880</v>
          </cell>
          <cell r="HO291">
            <v>1.5332543273719701</v>
          </cell>
          <cell r="HP291">
            <v>22880</v>
          </cell>
          <cell r="HR291">
            <v>0.86890213698630103</v>
          </cell>
          <cell r="HS291">
            <v>22880</v>
          </cell>
          <cell r="HU291">
            <v>0</v>
          </cell>
          <cell r="HV291" t="str">
            <v/>
          </cell>
        </row>
        <row r="292">
          <cell r="DQ292">
            <v>3.1</v>
          </cell>
          <cell r="DR292">
            <v>63964.193548387098</v>
          </cell>
          <cell r="DT292">
            <v>1.23</v>
          </cell>
          <cell r="DU292">
            <v>93709.756097560981</v>
          </cell>
          <cell r="DW292">
            <v>0</v>
          </cell>
          <cell r="DX292" t="str">
            <v/>
          </cell>
          <cell r="DZ292">
            <v>0</v>
          </cell>
          <cell r="EA292" t="str">
            <v/>
          </cell>
          <cell r="EC292">
            <v>0</v>
          </cell>
          <cell r="ED292" t="str">
            <v/>
          </cell>
          <cell r="EF292">
            <v>0</v>
          </cell>
          <cell r="EG292" t="str">
            <v/>
          </cell>
          <cell r="EI292">
            <v>0</v>
          </cell>
          <cell r="EJ292" t="str">
            <v/>
          </cell>
          <cell r="EL292">
            <v>3.75</v>
          </cell>
          <cell r="EM292">
            <v>64521.599999999999</v>
          </cell>
          <cell r="EO292">
            <v>0</v>
          </cell>
          <cell r="EP292" t="str">
            <v/>
          </cell>
          <cell r="ER292">
            <v>0</v>
          </cell>
          <cell r="ES292" t="str">
            <v/>
          </cell>
          <cell r="EU292">
            <v>0</v>
          </cell>
          <cell r="EV292" t="str">
            <v/>
          </cell>
          <cell r="EX292">
            <v>0</v>
          </cell>
          <cell r="EY292" t="str">
            <v/>
          </cell>
          <cell r="FA292">
            <v>0</v>
          </cell>
          <cell r="FB292" t="str">
            <v/>
          </cell>
          <cell r="FD292">
            <v>0</v>
          </cell>
          <cell r="FE292" t="str">
            <v/>
          </cell>
          <cell r="FG292">
            <v>0</v>
          </cell>
          <cell r="FH292" t="str">
            <v/>
          </cell>
          <cell r="FJ292">
            <v>0</v>
          </cell>
          <cell r="FK292" t="str">
            <v/>
          </cell>
          <cell r="FM292">
            <v>0</v>
          </cell>
          <cell r="FN292" t="str">
            <v/>
          </cell>
          <cell r="FP292">
            <v>0</v>
          </cell>
          <cell r="FQ292" t="str">
            <v/>
          </cell>
          <cell r="FS292">
            <v>0</v>
          </cell>
          <cell r="FT292" t="str">
            <v/>
          </cell>
          <cell r="FV292">
            <v>0</v>
          </cell>
          <cell r="FW292" t="str">
            <v/>
          </cell>
          <cell r="FY292">
            <v>0</v>
          </cell>
          <cell r="FZ292" t="str">
            <v/>
          </cell>
          <cell r="GB292">
            <v>0</v>
          </cell>
          <cell r="GC292" t="str">
            <v/>
          </cell>
          <cell r="GE292">
            <v>0</v>
          </cell>
          <cell r="GF292" t="str">
            <v/>
          </cell>
          <cell r="GH292">
            <v>0</v>
          </cell>
          <cell r="GI292" t="str">
            <v/>
          </cell>
          <cell r="GK292">
            <v>0</v>
          </cell>
          <cell r="GL292" t="str">
            <v/>
          </cell>
          <cell r="GN292">
            <v>0</v>
          </cell>
          <cell r="GO292" t="str">
            <v/>
          </cell>
          <cell r="GQ292">
            <v>0</v>
          </cell>
          <cell r="GR292" t="str">
            <v/>
          </cell>
          <cell r="GT292">
            <v>0</v>
          </cell>
          <cell r="GU292" t="str">
            <v/>
          </cell>
          <cell r="GW292">
            <v>0</v>
          </cell>
          <cell r="GX292" t="str">
            <v/>
          </cell>
          <cell r="GZ292">
            <v>0</v>
          </cell>
          <cell r="HA292" t="str">
            <v/>
          </cell>
          <cell r="HC292">
            <v>12.8</v>
          </cell>
          <cell r="HD292">
            <v>46054.921875</v>
          </cell>
          <cell r="HF292">
            <v>0</v>
          </cell>
          <cell r="HG292" t="str">
            <v/>
          </cell>
          <cell r="HI292">
            <v>2.8</v>
          </cell>
          <cell r="HJ292">
            <v>49092.5</v>
          </cell>
          <cell r="HL292">
            <v>12.47</v>
          </cell>
          <cell r="HM292">
            <v>28496.311146752203</v>
          </cell>
          <cell r="HO292">
            <v>5.49</v>
          </cell>
          <cell r="HP292">
            <v>35607.468123861567</v>
          </cell>
          <cell r="HR292">
            <v>0</v>
          </cell>
          <cell r="HS292" t="str">
            <v/>
          </cell>
          <cell r="HU292">
            <v>0</v>
          </cell>
          <cell r="HV292" t="str">
            <v/>
          </cell>
        </row>
        <row r="293">
          <cell r="DQ293">
            <v>7.6</v>
          </cell>
          <cell r="DR293">
            <v>47261.052631578947</v>
          </cell>
          <cell r="DT293">
            <v>1</v>
          </cell>
          <cell r="DU293">
            <v>107116</v>
          </cell>
          <cell r="DW293">
            <v>0</v>
          </cell>
          <cell r="DX293" t="str">
            <v/>
          </cell>
          <cell r="DZ293">
            <v>0</v>
          </cell>
          <cell r="EA293" t="str">
            <v/>
          </cell>
          <cell r="EC293">
            <v>0</v>
          </cell>
          <cell r="ED293" t="str">
            <v/>
          </cell>
          <cell r="EF293">
            <v>0</v>
          </cell>
          <cell r="EG293" t="str">
            <v/>
          </cell>
          <cell r="EI293">
            <v>0</v>
          </cell>
          <cell r="EJ293" t="str">
            <v/>
          </cell>
          <cell r="EL293">
            <v>0.32</v>
          </cell>
          <cell r="EM293">
            <v>66037.5</v>
          </cell>
          <cell r="EO293">
            <v>0.2</v>
          </cell>
          <cell r="EP293">
            <v>42200</v>
          </cell>
          <cell r="ER293">
            <v>0</v>
          </cell>
          <cell r="ES293" t="str">
            <v/>
          </cell>
          <cell r="EU293">
            <v>0</v>
          </cell>
          <cell r="EV293" t="str">
            <v/>
          </cell>
          <cell r="EX293">
            <v>0</v>
          </cell>
          <cell r="EY293" t="str">
            <v/>
          </cell>
          <cell r="FA293">
            <v>0</v>
          </cell>
          <cell r="FB293" t="str">
            <v/>
          </cell>
          <cell r="FD293">
            <v>0</v>
          </cell>
          <cell r="FE293" t="str">
            <v/>
          </cell>
          <cell r="FG293">
            <v>0</v>
          </cell>
          <cell r="FH293" t="str">
            <v/>
          </cell>
          <cell r="FJ293">
            <v>0</v>
          </cell>
          <cell r="FK293" t="str">
            <v/>
          </cell>
          <cell r="FM293">
            <v>0</v>
          </cell>
          <cell r="FN293" t="str">
            <v/>
          </cell>
          <cell r="FP293">
            <v>0</v>
          </cell>
          <cell r="FQ293" t="str">
            <v/>
          </cell>
          <cell r="FS293">
            <v>0</v>
          </cell>
          <cell r="FT293" t="str">
            <v/>
          </cell>
          <cell r="FV293">
            <v>0</v>
          </cell>
          <cell r="FW293" t="str">
            <v/>
          </cell>
          <cell r="FY293">
            <v>0</v>
          </cell>
          <cell r="FZ293" t="str">
            <v/>
          </cell>
          <cell r="GB293">
            <v>0</v>
          </cell>
          <cell r="GC293" t="str">
            <v/>
          </cell>
          <cell r="GE293">
            <v>0</v>
          </cell>
          <cell r="GF293" t="str">
            <v/>
          </cell>
          <cell r="GH293">
            <v>0</v>
          </cell>
          <cell r="GI293" t="str">
            <v/>
          </cell>
          <cell r="GK293">
            <v>0</v>
          </cell>
          <cell r="GL293" t="str">
            <v/>
          </cell>
          <cell r="GN293">
            <v>0</v>
          </cell>
          <cell r="GO293" t="str">
            <v/>
          </cell>
          <cell r="GQ293">
            <v>0</v>
          </cell>
          <cell r="GR293" t="str">
            <v/>
          </cell>
          <cell r="GT293">
            <v>0</v>
          </cell>
          <cell r="GU293" t="str">
            <v/>
          </cell>
          <cell r="GW293">
            <v>0</v>
          </cell>
          <cell r="GX293" t="str">
            <v/>
          </cell>
          <cell r="GZ293">
            <v>1.2</v>
          </cell>
          <cell r="HA293">
            <v>42853.333333333336</v>
          </cell>
          <cell r="HC293">
            <v>11.2</v>
          </cell>
          <cell r="HD293">
            <v>45514.642857142862</v>
          </cell>
          <cell r="HF293">
            <v>0</v>
          </cell>
          <cell r="HG293" t="str">
            <v/>
          </cell>
          <cell r="HI293">
            <v>0.4</v>
          </cell>
          <cell r="HJ293">
            <v>48820</v>
          </cell>
          <cell r="HL293">
            <v>14.4</v>
          </cell>
          <cell r="HM293">
            <v>28419.166666666664</v>
          </cell>
          <cell r="HO293">
            <v>2.8</v>
          </cell>
          <cell r="HP293">
            <v>37225.71428571429</v>
          </cell>
          <cell r="HR293">
            <v>0.04</v>
          </cell>
          <cell r="HS293">
            <v>38600</v>
          </cell>
          <cell r="HU293">
            <v>0</v>
          </cell>
          <cell r="HV293" t="str">
            <v/>
          </cell>
        </row>
        <row r="294">
          <cell r="DQ294">
            <v>2</v>
          </cell>
          <cell r="DR294">
            <v>59377</v>
          </cell>
          <cell r="DT294">
            <v>0.08</v>
          </cell>
          <cell r="DU294">
            <v>99150</v>
          </cell>
          <cell r="DW294">
            <v>0</v>
          </cell>
          <cell r="DX294" t="str">
            <v/>
          </cell>
          <cell r="DZ294">
            <v>0</v>
          </cell>
          <cell r="EA294" t="str">
            <v/>
          </cell>
          <cell r="EC294">
            <v>0</v>
          </cell>
          <cell r="ED294" t="str">
            <v/>
          </cell>
          <cell r="EF294">
            <v>0</v>
          </cell>
          <cell r="EG294" t="str">
            <v/>
          </cell>
          <cell r="EI294">
            <v>0</v>
          </cell>
          <cell r="EJ294" t="str">
            <v/>
          </cell>
          <cell r="EL294">
            <v>0</v>
          </cell>
          <cell r="EM294" t="str">
            <v/>
          </cell>
          <cell r="EO294">
            <v>0</v>
          </cell>
          <cell r="EP294" t="str">
            <v/>
          </cell>
          <cell r="ER294">
            <v>0</v>
          </cell>
          <cell r="ES294" t="str">
            <v/>
          </cell>
          <cell r="EU294">
            <v>0</v>
          </cell>
          <cell r="EV294" t="str">
            <v/>
          </cell>
          <cell r="EX294">
            <v>0</v>
          </cell>
          <cell r="EY294" t="str">
            <v/>
          </cell>
          <cell r="FA294">
            <v>0</v>
          </cell>
          <cell r="FB294" t="str">
            <v/>
          </cell>
          <cell r="FD294">
            <v>0</v>
          </cell>
          <cell r="FE294" t="str">
            <v/>
          </cell>
          <cell r="FG294">
            <v>0</v>
          </cell>
          <cell r="FH294" t="str">
            <v/>
          </cell>
          <cell r="FJ294">
            <v>0</v>
          </cell>
          <cell r="FK294" t="str">
            <v/>
          </cell>
          <cell r="FM294">
            <v>0</v>
          </cell>
          <cell r="FN294" t="str">
            <v/>
          </cell>
          <cell r="FP294">
            <v>0</v>
          </cell>
          <cell r="FQ294" t="str">
            <v/>
          </cell>
          <cell r="FS294">
            <v>0</v>
          </cell>
          <cell r="FT294" t="str">
            <v/>
          </cell>
          <cell r="FV294">
            <v>0</v>
          </cell>
          <cell r="FW294" t="str">
            <v/>
          </cell>
          <cell r="FY294">
            <v>0</v>
          </cell>
          <cell r="FZ294" t="str">
            <v/>
          </cell>
          <cell r="GB294">
            <v>0</v>
          </cell>
          <cell r="GC294" t="str">
            <v/>
          </cell>
          <cell r="GE294">
            <v>0</v>
          </cell>
          <cell r="GF294" t="str">
            <v/>
          </cell>
          <cell r="GH294">
            <v>0</v>
          </cell>
          <cell r="GI294" t="str">
            <v/>
          </cell>
          <cell r="GK294">
            <v>0</v>
          </cell>
          <cell r="GL294" t="str">
            <v/>
          </cell>
          <cell r="GN294">
            <v>0</v>
          </cell>
          <cell r="GO294" t="str">
            <v/>
          </cell>
          <cell r="GQ294">
            <v>0</v>
          </cell>
          <cell r="GR294" t="str">
            <v/>
          </cell>
          <cell r="GT294">
            <v>0</v>
          </cell>
          <cell r="GU294" t="str">
            <v/>
          </cell>
          <cell r="GW294">
            <v>0</v>
          </cell>
          <cell r="GX294" t="str">
            <v/>
          </cell>
          <cell r="GZ294">
            <v>15.5</v>
          </cell>
          <cell r="HA294">
            <v>38867.870967741932</v>
          </cell>
          <cell r="HC294">
            <v>5.7</v>
          </cell>
          <cell r="HD294">
            <v>48658.596491228069</v>
          </cell>
          <cell r="HF294">
            <v>0</v>
          </cell>
          <cell r="HG294" t="str">
            <v/>
          </cell>
          <cell r="HI294">
            <v>0.4</v>
          </cell>
          <cell r="HJ294">
            <v>38630</v>
          </cell>
          <cell r="HL294">
            <v>11</v>
          </cell>
          <cell r="HM294">
            <v>32004.545454545456</v>
          </cell>
          <cell r="HO294">
            <v>4.2</v>
          </cell>
          <cell r="HP294">
            <v>37342.380952380954</v>
          </cell>
          <cell r="HR294">
            <v>0</v>
          </cell>
          <cell r="HS294" t="str">
            <v/>
          </cell>
          <cell r="HU294">
            <v>0</v>
          </cell>
          <cell r="HV294" t="str">
            <v/>
          </cell>
        </row>
        <row r="295">
          <cell r="DQ295">
            <v>0.33</v>
          </cell>
          <cell r="DR295">
            <v>61130.303030303025</v>
          </cell>
          <cell r="DT295">
            <v>0.01</v>
          </cell>
          <cell r="DU295">
            <v>66300</v>
          </cell>
          <cell r="DW295">
            <v>0</v>
          </cell>
          <cell r="DX295" t="str">
            <v/>
          </cell>
          <cell r="DZ295">
            <v>0</v>
          </cell>
          <cell r="EA295" t="str">
            <v/>
          </cell>
          <cell r="EC295">
            <v>0</v>
          </cell>
          <cell r="ED295" t="str">
            <v/>
          </cell>
          <cell r="EF295">
            <v>0</v>
          </cell>
          <cell r="EG295" t="str">
            <v/>
          </cell>
          <cell r="EI295">
            <v>0</v>
          </cell>
          <cell r="EJ295" t="str">
            <v/>
          </cell>
          <cell r="EL295">
            <v>0</v>
          </cell>
          <cell r="EM295" t="str">
            <v/>
          </cell>
          <cell r="EO295">
            <v>0</v>
          </cell>
          <cell r="EP295" t="str">
            <v/>
          </cell>
          <cell r="ER295">
            <v>0</v>
          </cell>
          <cell r="ES295" t="str">
            <v/>
          </cell>
          <cell r="EU295">
            <v>0</v>
          </cell>
          <cell r="EV295" t="str">
            <v/>
          </cell>
          <cell r="EX295">
            <v>0</v>
          </cell>
          <cell r="EY295" t="str">
            <v/>
          </cell>
          <cell r="FA295">
            <v>0</v>
          </cell>
          <cell r="FB295" t="str">
            <v/>
          </cell>
          <cell r="FD295">
            <v>0</v>
          </cell>
          <cell r="FE295" t="str">
            <v/>
          </cell>
          <cell r="FG295">
            <v>0</v>
          </cell>
          <cell r="FH295" t="str">
            <v/>
          </cell>
          <cell r="FJ295">
            <v>0</v>
          </cell>
          <cell r="FK295" t="str">
            <v/>
          </cell>
          <cell r="FM295">
            <v>0</v>
          </cell>
          <cell r="FN295" t="str">
            <v/>
          </cell>
          <cell r="FP295">
            <v>0</v>
          </cell>
          <cell r="FQ295" t="str">
            <v/>
          </cell>
          <cell r="FS295">
            <v>0</v>
          </cell>
          <cell r="FT295" t="str">
            <v/>
          </cell>
          <cell r="FV295">
            <v>0</v>
          </cell>
          <cell r="FW295" t="str">
            <v/>
          </cell>
          <cell r="FY295">
            <v>0</v>
          </cell>
          <cell r="FZ295" t="str">
            <v/>
          </cell>
          <cell r="GB295">
            <v>0</v>
          </cell>
          <cell r="GC295" t="str">
            <v/>
          </cell>
          <cell r="GE295">
            <v>0</v>
          </cell>
          <cell r="GF295" t="str">
            <v/>
          </cell>
          <cell r="GH295">
            <v>0</v>
          </cell>
          <cell r="GI295" t="str">
            <v/>
          </cell>
          <cell r="GK295">
            <v>0</v>
          </cell>
          <cell r="GL295" t="str">
            <v/>
          </cell>
          <cell r="GN295">
            <v>0</v>
          </cell>
          <cell r="GO295" t="str">
            <v/>
          </cell>
          <cell r="GQ295">
            <v>0</v>
          </cell>
          <cell r="GR295" t="str">
            <v/>
          </cell>
          <cell r="GT295">
            <v>0</v>
          </cell>
          <cell r="GU295" t="str">
            <v/>
          </cell>
          <cell r="GW295">
            <v>0</v>
          </cell>
          <cell r="GX295" t="str">
            <v/>
          </cell>
          <cell r="GZ295">
            <v>1.1000000000000001</v>
          </cell>
          <cell r="HA295">
            <v>44658.181818181816</v>
          </cell>
          <cell r="HC295">
            <v>0.2</v>
          </cell>
          <cell r="HD295">
            <v>47360</v>
          </cell>
          <cell r="HF295">
            <v>0</v>
          </cell>
          <cell r="HG295" t="str">
            <v/>
          </cell>
          <cell r="HI295">
            <v>0.6</v>
          </cell>
          <cell r="HJ295">
            <v>44451.666666666672</v>
          </cell>
          <cell r="HL295">
            <v>0</v>
          </cell>
          <cell r="HM295" t="str">
            <v/>
          </cell>
          <cell r="HO295">
            <v>0.3</v>
          </cell>
          <cell r="HP295">
            <v>31193.333333333336</v>
          </cell>
          <cell r="HR295">
            <v>0</v>
          </cell>
          <cell r="HS295" t="str">
            <v/>
          </cell>
          <cell r="HU295">
            <v>0</v>
          </cell>
          <cell r="HV295" t="str">
            <v/>
          </cell>
        </row>
        <row r="296">
          <cell r="DQ296">
            <v>1.2</v>
          </cell>
          <cell r="DR296">
            <v>69740</v>
          </cell>
          <cell r="DT296">
            <v>0.6</v>
          </cell>
          <cell r="DU296">
            <v>102546.66666666667</v>
          </cell>
          <cell r="DW296">
            <v>0</v>
          </cell>
          <cell r="DX296" t="str">
            <v/>
          </cell>
          <cell r="DZ296">
            <v>0</v>
          </cell>
          <cell r="EA296" t="str">
            <v/>
          </cell>
          <cell r="EC296">
            <v>0</v>
          </cell>
          <cell r="ED296" t="str">
            <v/>
          </cell>
          <cell r="EF296">
            <v>0</v>
          </cell>
          <cell r="EG296" t="str">
            <v/>
          </cell>
          <cell r="EI296">
            <v>0</v>
          </cell>
          <cell r="EJ296" t="str">
            <v/>
          </cell>
          <cell r="EL296">
            <v>0</v>
          </cell>
          <cell r="EM296" t="str">
            <v/>
          </cell>
          <cell r="EO296">
            <v>0</v>
          </cell>
          <cell r="EP296" t="str">
            <v/>
          </cell>
          <cell r="ER296">
            <v>0</v>
          </cell>
          <cell r="ES296" t="str">
            <v/>
          </cell>
          <cell r="EU296">
            <v>0</v>
          </cell>
          <cell r="EV296" t="str">
            <v/>
          </cell>
          <cell r="EX296">
            <v>0</v>
          </cell>
          <cell r="EY296" t="str">
            <v/>
          </cell>
          <cell r="FA296">
            <v>0</v>
          </cell>
          <cell r="FB296" t="str">
            <v/>
          </cell>
          <cell r="FD296">
            <v>0</v>
          </cell>
          <cell r="FE296" t="str">
            <v/>
          </cell>
          <cell r="FG296">
            <v>0</v>
          </cell>
          <cell r="FH296" t="str">
            <v/>
          </cell>
          <cell r="FJ296">
            <v>0</v>
          </cell>
          <cell r="FK296" t="str">
            <v/>
          </cell>
          <cell r="FM296">
            <v>0</v>
          </cell>
          <cell r="FN296" t="str">
            <v/>
          </cell>
          <cell r="FP296">
            <v>0</v>
          </cell>
          <cell r="FQ296" t="str">
            <v/>
          </cell>
          <cell r="FS296">
            <v>0</v>
          </cell>
          <cell r="FT296" t="str">
            <v/>
          </cell>
          <cell r="FV296">
            <v>0</v>
          </cell>
          <cell r="FW296" t="str">
            <v/>
          </cell>
          <cell r="FY296">
            <v>0</v>
          </cell>
          <cell r="FZ296" t="str">
            <v/>
          </cell>
          <cell r="GB296">
            <v>0</v>
          </cell>
          <cell r="GC296" t="str">
            <v/>
          </cell>
          <cell r="GE296">
            <v>0</v>
          </cell>
          <cell r="GF296" t="str">
            <v/>
          </cell>
          <cell r="GH296">
            <v>0</v>
          </cell>
          <cell r="GI296" t="str">
            <v/>
          </cell>
          <cell r="GK296">
            <v>0</v>
          </cell>
          <cell r="GL296" t="str">
            <v/>
          </cell>
          <cell r="GN296">
            <v>0</v>
          </cell>
          <cell r="GO296" t="str">
            <v/>
          </cell>
          <cell r="GQ296">
            <v>0</v>
          </cell>
          <cell r="GR296" t="str">
            <v/>
          </cell>
          <cell r="GT296">
            <v>0</v>
          </cell>
          <cell r="GU296" t="str">
            <v/>
          </cell>
          <cell r="GW296">
            <v>0</v>
          </cell>
          <cell r="GX296" t="str">
            <v/>
          </cell>
          <cell r="GZ296">
            <v>1.8</v>
          </cell>
          <cell r="HA296">
            <v>46571.111111111109</v>
          </cell>
          <cell r="HC296">
            <v>0.8</v>
          </cell>
          <cell r="HD296">
            <v>36905</v>
          </cell>
          <cell r="HF296">
            <v>0</v>
          </cell>
          <cell r="HG296" t="str">
            <v/>
          </cell>
          <cell r="HI296">
            <v>0.08</v>
          </cell>
          <cell r="HJ296">
            <v>37000</v>
          </cell>
          <cell r="HL296">
            <v>0.04</v>
          </cell>
          <cell r="HM296">
            <v>22880</v>
          </cell>
          <cell r="HO296">
            <v>0.8</v>
          </cell>
          <cell r="HP296">
            <v>27650</v>
          </cell>
          <cell r="HR296">
            <v>0</v>
          </cell>
          <cell r="HS296" t="str">
            <v/>
          </cell>
          <cell r="HU296">
            <v>0</v>
          </cell>
          <cell r="HV296" t="str">
            <v/>
          </cell>
        </row>
        <row r="297">
          <cell r="DQ297">
            <v>0.02</v>
          </cell>
          <cell r="DR297">
            <v>51500</v>
          </cell>
          <cell r="DT297">
            <v>1E-3</v>
          </cell>
          <cell r="DU297">
            <v>68000</v>
          </cell>
          <cell r="DW297">
            <v>0</v>
          </cell>
          <cell r="DX297" t="str">
            <v/>
          </cell>
          <cell r="DZ297">
            <v>0</v>
          </cell>
          <cell r="EA297" t="str">
            <v/>
          </cell>
          <cell r="EC297">
            <v>0</v>
          </cell>
          <cell r="ED297" t="str">
            <v/>
          </cell>
          <cell r="EF297">
            <v>0</v>
          </cell>
          <cell r="EG297" t="str">
            <v/>
          </cell>
          <cell r="EI297">
            <v>0</v>
          </cell>
          <cell r="EJ297" t="str">
            <v/>
          </cell>
          <cell r="EL297">
            <v>0</v>
          </cell>
          <cell r="EM297" t="str">
            <v/>
          </cell>
          <cell r="EO297">
            <v>0</v>
          </cell>
          <cell r="EP297" t="str">
            <v/>
          </cell>
          <cell r="ER297">
            <v>0</v>
          </cell>
          <cell r="ES297" t="str">
            <v/>
          </cell>
          <cell r="EU297">
            <v>0</v>
          </cell>
          <cell r="EV297" t="str">
            <v/>
          </cell>
          <cell r="EX297">
            <v>0</v>
          </cell>
          <cell r="EY297" t="str">
            <v/>
          </cell>
          <cell r="FA297">
            <v>0</v>
          </cell>
          <cell r="FB297" t="str">
            <v/>
          </cell>
          <cell r="FD297">
            <v>0</v>
          </cell>
          <cell r="FE297" t="str">
            <v/>
          </cell>
          <cell r="FG297">
            <v>0</v>
          </cell>
          <cell r="FH297" t="str">
            <v/>
          </cell>
          <cell r="FJ297">
            <v>0</v>
          </cell>
          <cell r="FK297" t="str">
            <v/>
          </cell>
          <cell r="FM297">
            <v>0</v>
          </cell>
          <cell r="FN297" t="str">
            <v/>
          </cell>
          <cell r="FP297">
            <v>0</v>
          </cell>
          <cell r="FQ297" t="str">
            <v/>
          </cell>
          <cell r="FS297">
            <v>0</v>
          </cell>
          <cell r="FT297" t="str">
            <v/>
          </cell>
          <cell r="FV297">
            <v>0</v>
          </cell>
          <cell r="FW297" t="str">
            <v/>
          </cell>
          <cell r="FY297">
            <v>0</v>
          </cell>
          <cell r="FZ297" t="str">
            <v/>
          </cell>
          <cell r="GB297">
            <v>0</v>
          </cell>
          <cell r="GC297" t="str">
            <v/>
          </cell>
          <cell r="GE297">
            <v>0</v>
          </cell>
          <cell r="GF297" t="str">
            <v/>
          </cell>
          <cell r="GH297">
            <v>0</v>
          </cell>
          <cell r="GI297" t="str">
            <v/>
          </cell>
          <cell r="GK297">
            <v>0</v>
          </cell>
          <cell r="GL297" t="str">
            <v/>
          </cell>
          <cell r="GN297">
            <v>0</v>
          </cell>
          <cell r="GO297" t="str">
            <v/>
          </cell>
          <cell r="GQ297">
            <v>0</v>
          </cell>
          <cell r="GR297" t="str">
            <v/>
          </cell>
          <cell r="GT297">
            <v>0</v>
          </cell>
          <cell r="GU297" t="str">
            <v/>
          </cell>
          <cell r="GW297">
            <v>0</v>
          </cell>
          <cell r="GX297" t="str">
            <v/>
          </cell>
          <cell r="GZ297">
            <v>0.04</v>
          </cell>
          <cell r="HA297">
            <v>28650</v>
          </cell>
          <cell r="HC297">
            <v>0.02</v>
          </cell>
          <cell r="HD297">
            <v>22880</v>
          </cell>
          <cell r="HF297">
            <v>0</v>
          </cell>
          <cell r="HG297" t="str">
            <v/>
          </cell>
          <cell r="HI297">
            <v>0.06</v>
          </cell>
          <cell r="HJ297">
            <v>35200</v>
          </cell>
          <cell r="HL297">
            <v>0</v>
          </cell>
          <cell r="HM297" t="str">
            <v/>
          </cell>
          <cell r="HO297">
            <v>0.02</v>
          </cell>
          <cell r="HP297">
            <v>47400</v>
          </cell>
          <cell r="HR297">
            <v>0</v>
          </cell>
          <cell r="HS297" t="str">
            <v/>
          </cell>
          <cell r="HU297">
            <v>0</v>
          </cell>
          <cell r="HV297" t="str">
            <v/>
          </cell>
        </row>
        <row r="298">
          <cell r="DQ298">
            <v>0.03</v>
          </cell>
          <cell r="DR298">
            <v>80466.666666666672</v>
          </cell>
          <cell r="DT298">
            <v>0.01</v>
          </cell>
          <cell r="DU298">
            <v>22880</v>
          </cell>
          <cell r="DW298">
            <v>0</v>
          </cell>
          <cell r="DX298" t="str">
            <v/>
          </cell>
          <cell r="DZ298">
            <v>0</v>
          </cell>
          <cell r="EA298" t="str">
            <v/>
          </cell>
          <cell r="EC298">
            <v>0</v>
          </cell>
          <cell r="ED298" t="str">
            <v/>
          </cell>
          <cell r="EF298">
            <v>0</v>
          </cell>
          <cell r="EG298" t="str">
            <v/>
          </cell>
          <cell r="EI298">
            <v>0</v>
          </cell>
          <cell r="EJ298" t="str">
            <v/>
          </cell>
          <cell r="EL298">
            <v>0</v>
          </cell>
          <cell r="EM298" t="str">
            <v/>
          </cell>
          <cell r="EO298">
            <v>0</v>
          </cell>
          <cell r="EP298" t="str">
            <v/>
          </cell>
          <cell r="ER298">
            <v>0</v>
          </cell>
          <cell r="ES298" t="str">
            <v/>
          </cell>
          <cell r="EU298">
            <v>0</v>
          </cell>
          <cell r="EV298" t="str">
            <v/>
          </cell>
          <cell r="EX298">
            <v>0</v>
          </cell>
          <cell r="EY298" t="str">
            <v/>
          </cell>
          <cell r="FA298">
            <v>0</v>
          </cell>
          <cell r="FB298" t="str">
            <v/>
          </cell>
          <cell r="FD298">
            <v>0</v>
          </cell>
          <cell r="FE298" t="str">
            <v/>
          </cell>
          <cell r="FG298">
            <v>0</v>
          </cell>
          <cell r="FH298" t="str">
            <v/>
          </cell>
          <cell r="FJ298">
            <v>0</v>
          </cell>
          <cell r="FK298" t="str">
            <v/>
          </cell>
          <cell r="FM298">
            <v>0</v>
          </cell>
          <cell r="FN298" t="str">
            <v/>
          </cell>
          <cell r="FP298">
            <v>0</v>
          </cell>
          <cell r="FQ298" t="str">
            <v/>
          </cell>
          <cell r="FS298">
            <v>0</v>
          </cell>
          <cell r="FT298" t="str">
            <v/>
          </cell>
          <cell r="FV298">
            <v>0</v>
          </cell>
          <cell r="FW298" t="str">
            <v/>
          </cell>
          <cell r="FY298">
            <v>0</v>
          </cell>
          <cell r="FZ298" t="str">
            <v/>
          </cell>
          <cell r="GB298">
            <v>0</v>
          </cell>
          <cell r="GC298" t="str">
            <v/>
          </cell>
          <cell r="GE298">
            <v>0</v>
          </cell>
          <cell r="GF298" t="str">
            <v/>
          </cell>
          <cell r="GH298">
            <v>0</v>
          </cell>
          <cell r="GI298" t="str">
            <v/>
          </cell>
          <cell r="GK298">
            <v>0</v>
          </cell>
          <cell r="GL298" t="str">
            <v/>
          </cell>
          <cell r="GN298">
            <v>0</v>
          </cell>
          <cell r="GO298" t="str">
            <v/>
          </cell>
          <cell r="GQ298">
            <v>0</v>
          </cell>
          <cell r="GR298" t="str">
            <v/>
          </cell>
          <cell r="GT298">
            <v>0</v>
          </cell>
          <cell r="GU298" t="str">
            <v/>
          </cell>
          <cell r="GW298">
            <v>0</v>
          </cell>
          <cell r="GX298" t="str">
            <v/>
          </cell>
          <cell r="GZ298">
            <v>0.03</v>
          </cell>
          <cell r="HA298">
            <v>50400</v>
          </cell>
          <cell r="HC298">
            <v>0.02</v>
          </cell>
          <cell r="HD298">
            <v>29900</v>
          </cell>
          <cell r="HF298">
            <v>0</v>
          </cell>
          <cell r="HG298" t="str">
            <v/>
          </cell>
          <cell r="HI298">
            <v>0.01</v>
          </cell>
          <cell r="HJ298">
            <v>23300</v>
          </cell>
          <cell r="HL298">
            <v>0.5</v>
          </cell>
          <cell r="HM298">
            <v>23464</v>
          </cell>
          <cell r="HO298">
            <v>0.1</v>
          </cell>
          <cell r="HP298">
            <v>23780</v>
          </cell>
          <cell r="HR298">
            <v>0</v>
          </cell>
          <cell r="HS298" t="str">
            <v/>
          </cell>
          <cell r="HU298">
            <v>0</v>
          </cell>
          <cell r="HV298" t="str">
            <v/>
          </cell>
        </row>
        <row r="299">
          <cell r="DQ299">
            <v>0.01</v>
          </cell>
          <cell r="DR299">
            <v>71200</v>
          </cell>
          <cell r="DT299">
            <v>5.0000000000000001E-4</v>
          </cell>
          <cell r="DU299">
            <v>84000</v>
          </cell>
          <cell r="DW299">
            <v>0</v>
          </cell>
          <cell r="DX299" t="str">
            <v/>
          </cell>
          <cell r="DZ299">
            <v>0</v>
          </cell>
          <cell r="EA299" t="str">
            <v/>
          </cell>
          <cell r="EC299">
            <v>0</v>
          </cell>
          <cell r="ED299" t="str">
            <v/>
          </cell>
          <cell r="EF299">
            <v>0</v>
          </cell>
          <cell r="EG299" t="str">
            <v/>
          </cell>
          <cell r="EI299">
            <v>0</v>
          </cell>
          <cell r="EJ299" t="str">
            <v/>
          </cell>
          <cell r="EL299">
            <v>0</v>
          </cell>
          <cell r="EM299" t="str">
            <v/>
          </cell>
          <cell r="EO299">
            <v>0</v>
          </cell>
          <cell r="EP299" t="str">
            <v/>
          </cell>
          <cell r="ER299">
            <v>0</v>
          </cell>
          <cell r="ES299" t="str">
            <v/>
          </cell>
          <cell r="EU299">
            <v>0</v>
          </cell>
          <cell r="EV299" t="str">
            <v/>
          </cell>
          <cell r="EX299">
            <v>0</v>
          </cell>
          <cell r="EY299" t="str">
            <v/>
          </cell>
          <cell r="FA299">
            <v>0</v>
          </cell>
          <cell r="FB299" t="str">
            <v/>
          </cell>
          <cell r="FD299">
            <v>0</v>
          </cell>
          <cell r="FE299" t="str">
            <v/>
          </cell>
          <cell r="FG299">
            <v>0</v>
          </cell>
          <cell r="FH299" t="str">
            <v/>
          </cell>
          <cell r="FJ299">
            <v>0</v>
          </cell>
          <cell r="FK299" t="str">
            <v/>
          </cell>
          <cell r="FM299">
            <v>0</v>
          </cell>
          <cell r="FN299" t="str">
            <v/>
          </cell>
          <cell r="FP299">
            <v>0</v>
          </cell>
          <cell r="FQ299" t="str">
            <v/>
          </cell>
          <cell r="FS299">
            <v>0</v>
          </cell>
          <cell r="FT299" t="str">
            <v/>
          </cell>
          <cell r="FV299">
            <v>0</v>
          </cell>
          <cell r="FW299" t="str">
            <v/>
          </cell>
          <cell r="FY299">
            <v>0</v>
          </cell>
          <cell r="FZ299" t="str">
            <v/>
          </cell>
          <cell r="GB299">
            <v>0</v>
          </cell>
          <cell r="GC299" t="str">
            <v/>
          </cell>
          <cell r="GE299">
            <v>0</v>
          </cell>
          <cell r="GF299" t="str">
            <v/>
          </cell>
          <cell r="GH299">
            <v>0</v>
          </cell>
          <cell r="GI299" t="str">
            <v/>
          </cell>
          <cell r="GK299">
            <v>0</v>
          </cell>
          <cell r="GL299" t="str">
            <v/>
          </cell>
          <cell r="GN299">
            <v>0</v>
          </cell>
          <cell r="GO299" t="str">
            <v/>
          </cell>
          <cell r="GQ299">
            <v>0</v>
          </cell>
          <cell r="GR299" t="str">
            <v/>
          </cell>
          <cell r="GT299">
            <v>0</v>
          </cell>
          <cell r="GU299" t="str">
            <v/>
          </cell>
          <cell r="GW299">
            <v>0</v>
          </cell>
          <cell r="GX299" t="str">
            <v/>
          </cell>
          <cell r="GZ299">
            <v>0</v>
          </cell>
          <cell r="HA299" t="str">
            <v/>
          </cell>
          <cell r="HC299">
            <v>0.1</v>
          </cell>
          <cell r="HD299">
            <v>35310</v>
          </cell>
          <cell r="HF299">
            <v>0</v>
          </cell>
          <cell r="HG299" t="str">
            <v/>
          </cell>
          <cell r="HI299">
            <v>0</v>
          </cell>
          <cell r="HJ299" t="str">
            <v/>
          </cell>
          <cell r="HL299">
            <v>0</v>
          </cell>
          <cell r="HM299" t="str">
            <v/>
          </cell>
          <cell r="HO299">
            <v>1.2E-2</v>
          </cell>
          <cell r="HP299">
            <v>87416.666666666672</v>
          </cell>
          <cell r="HR299">
            <v>0</v>
          </cell>
          <cell r="HS299" t="str">
            <v/>
          </cell>
          <cell r="HU299">
            <v>0</v>
          </cell>
          <cell r="HV299" t="str">
            <v/>
          </cell>
        </row>
        <row r="300">
          <cell r="DQ300">
            <v>0</v>
          </cell>
          <cell r="DR300" t="str">
            <v/>
          </cell>
          <cell r="DT300">
            <v>0</v>
          </cell>
          <cell r="DU300" t="str">
            <v/>
          </cell>
          <cell r="DW300">
            <v>0</v>
          </cell>
          <cell r="DX300" t="str">
            <v/>
          </cell>
          <cell r="DZ300">
            <v>0</v>
          </cell>
          <cell r="EA300" t="str">
            <v/>
          </cell>
          <cell r="EC300">
            <v>0</v>
          </cell>
          <cell r="ED300" t="str">
            <v/>
          </cell>
          <cell r="EF300">
            <v>0</v>
          </cell>
          <cell r="EG300" t="str">
            <v/>
          </cell>
          <cell r="EI300">
            <v>0</v>
          </cell>
          <cell r="EJ300" t="str">
            <v/>
          </cell>
          <cell r="EL300">
            <v>0</v>
          </cell>
          <cell r="EM300" t="str">
            <v/>
          </cell>
          <cell r="EO300">
            <v>0</v>
          </cell>
          <cell r="EP300" t="str">
            <v/>
          </cell>
          <cell r="ER300">
            <v>0</v>
          </cell>
          <cell r="ES300" t="str">
            <v/>
          </cell>
          <cell r="EU300">
            <v>0</v>
          </cell>
          <cell r="EV300" t="str">
            <v/>
          </cell>
          <cell r="EX300">
            <v>0</v>
          </cell>
          <cell r="EY300" t="str">
            <v/>
          </cell>
          <cell r="FA300">
            <v>0</v>
          </cell>
          <cell r="FB300" t="str">
            <v/>
          </cell>
          <cell r="FD300">
            <v>0</v>
          </cell>
          <cell r="FE300" t="str">
            <v/>
          </cell>
          <cell r="FG300">
            <v>0</v>
          </cell>
          <cell r="FH300" t="str">
            <v/>
          </cell>
          <cell r="FJ300">
            <v>0</v>
          </cell>
          <cell r="FK300" t="str">
            <v/>
          </cell>
          <cell r="FM300">
            <v>0</v>
          </cell>
          <cell r="FN300" t="str">
            <v/>
          </cell>
          <cell r="FP300">
            <v>0</v>
          </cell>
          <cell r="FQ300" t="str">
            <v/>
          </cell>
          <cell r="FS300">
            <v>0</v>
          </cell>
          <cell r="FT300" t="str">
            <v/>
          </cell>
          <cell r="FV300">
            <v>0</v>
          </cell>
          <cell r="FW300" t="str">
            <v/>
          </cell>
          <cell r="FY300">
            <v>0</v>
          </cell>
          <cell r="FZ300" t="str">
            <v/>
          </cell>
          <cell r="GB300">
            <v>0</v>
          </cell>
          <cell r="GC300" t="str">
            <v/>
          </cell>
          <cell r="GE300">
            <v>0</v>
          </cell>
          <cell r="GF300" t="str">
            <v/>
          </cell>
          <cell r="GH300">
            <v>0</v>
          </cell>
          <cell r="GI300" t="str">
            <v/>
          </cell>
          <cell r="GK300">
            <v>0</v>
          </cell>
          <cell r="GL300" t="str">
            <v/>
          </cell>
          <cell r="GN300">
            <v>0</v>
          </cell>
          <cell r="GO300" t="str">
            <v/>
          </cell>
          <cell r="GQ300">
            <v>0</v>
          </cell>
          <cell r="GR300" t="str">
            <v/>
          </cell>
          <cell r="GT300">
            <v>0</v>
          </cell>
          <cell r="GU300" t="str">
            <v/>
          </cell>
          <cell r="GW300">
            <v>0</v>
          </cell>
          <cell r="GX300" t="str">
            <v/>
          </cell>
          <cell r="GZ300">
            <v>0</v>
          </cell>
          <cell r="HA300" t="str">
            <v/>
          </cell>
          <cell r="HC300">
            <v>0</v>
          </cell>
          <cell r="HD300" t="str">
            <v/>
          </cell>
          <cell r="HF300">
            <v>0</v>
          </cell>
          <cell r="HG300" t="str">
            <v/>
          </cell>
          <cell r="HI300">
            <v>0</v>
          </cell>
          <cell r="HJ300" t="str">
            <v/>
          </cell>
          <cell r="HL300">
            <v>0</v>
          </cell>
          <cell r="HM300" t="str">
            <v/>
          </cell>
          <cell r="HO300">
            <v>0</v>
          </cell>
          <cell r="HP300" t="str">
            <v/>
          </cell>
          <cell r="HR300">
            <v>0</v>
          </cell>
          <cell r="HS300" t="str">
            <v/>
          </cell>
          <cell r="HU300">
            <v>0</v>
          </cell>
          <cell r="HV300" t="str">
            <v/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ing 2019 CAF"/>
      <sheetName val="Master Lookup"/>
      <sheetName val="DCFClinicalComp"/>
      <sheetName val="Ed Coordination"/>
      <sheetName val="Specialty Family Skills Group"/>
      <sheetName val="Family Skills Dev Group"/>
      <sheetName val="Parent Skill Dev Group"/>
      <sheetName val="Unbundled IFC Support"/>
      <sheetName val="RATES &amp; FI"/>
      <sheetName val="Fall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8">
          <cell r="M48">
            <v>37.189630115457206</v>
          </cell>
        </row>
        <row r="49">
          <cell r="M49">
            <v>50.241480364741889</v>
          </cell>
        </row>
        <row r="50">
          <cell r="M50">
            <v>68.320572028514249</v>
          </cell>
        </row>
        <row r="51">
          <cell r="M51">
            <v>67.607896025918635</v>
          </cell>
        </row>
        <row r="52">
          <cell r="M52">
            <v>71.535311355107993</v>
          </cell>
        </row>
        <row r="53">
          <cell r="M53">
            <v>105.13953141691059</v>
          </cell>
        </row>
        <row r="54">
          <cell r="M54">
            <v>152.03129700519247</v>
          </cell>
        </row>
        <row r="55">
          <cell r="M55">
            <v>126.41821953534948</v>
          </cell>
        </row>
        <row r="57">
          <cell r="M57">
            <v>18.084708257146364</v>
          </cell>
        </row>
        <row r="67">
          <cell r="M67">
            <v>2338.7307155386102</v>
          </cell>
        </row>
        <row r="69">
          <cell r="M69">
            <v>134.62605958230955</v>
          </cell>
        </row>
        <row r="70">
          <cell r="M70">
            <v>1495.3757630938489</v>
          </cell>
        </row>
        <row r="72">
          <cell r="M72">
            <v>67.501382063882048</v>
          </cell>
        </row>
        <row r="73">
          <cell r="M73">
            <v>165.53619471744469</v>
          </cell>
        </row>
        <row r="74">
          <cell r="M74">
            <v>47.729484029484027</v>
          </cell>
        </row>
        <row r="75">
          <cell r="M75">
            <v>134.62605958230955</v>
          </cell>
        </row>
        <row r="76">
          <cell r="M76">
            <v>161.55534398034396</v>
          </cell>
        </row>
        <row r="77">
          <cell r="M77">
            <v>1149.1868783683308</v>
          </cell>
        </row>
        <row r="79">
          <cell r="M79">
            <v>67.501382063882048</v>
          </cell>
        </row>
        <row r="80">
          <cell r="M80">
            <v>165.53619471744469</v>
          </cell>
        </row>
        <row r="81">
          <cell r="M81">
            <v>47.729484029484027</v>
          </cell>
        </row>
        <row r="82">
          <cell r="M82">
            <v>134.62605958230955</v>
          </cell>
        </row>
        <row r="83">
          <cell r="M83">
            <v>161.55534398034396</v>
          </cell>
        </row>
        <row r="112">
          <cell r="N112">
            <v>72510878.579999998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CleanData (2)"/>
      <sheetName val="RawDataCalcs (2)"/>
      <sheetName val="Lookups"/>
      <sheetName val="RawDataCalcs"/>
      <sheetName val="Source"/>
      <sheetName val="FICurrentRate"/>
      <sheetName val="Model Budget"/>
      <sheetName val="Worksheet"/>
      <sheetName val="FamStabSal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L16">
            <v>0</v>
          </cell>
          <cell r="M16">
            <v>1.2139698974996782E-2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17680</v>
          </cell>
          <cell r="AA16">
            <v>0</v>
          </cell>
          <cell r="AB16">
            <v>105576.11844574883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17680</v>
          </cell>
          <cell r="BE16">
            <v>0</v>
          </cell>
          <cell r="BF16">
            <v>0</v>
          </cell>
          <cell r="BG16">
            <v>0</v>
          </cell>
          <cell r="BH16">
            <v>17680</v>
          </cell>
          <cell r="BI16">
            <v>0</v>
          </cell>
          <cell r="BJ16">
            <v>0</v>
          </cell>
          <cell r="BK16">
            <v>0</v>
          </cell>
          <cell r="BL16">
            <v>17680</v>
          </cell>
          <cell r="BM16">
            <v>0</v>
          </cell>
          <cell r="BN16">
            <v>17680</v>
          </cell>
          <cell r="BO16">
            <v>0</v>
          </cell>
          <cell r="BP16">
            <v>0</v>
          </cell>
          <cell r="BQ16">
            <v>0</v>
          </cell>
          <cell r="BR16">
            <v>17680</v>
          </cell>
          <cell r="BS16">
            <v>17680</v>
          </cell>
          <cell r="BT16">
            <v>-39873.996502157926</v>
          </cell>
          <cell r="BU16">
            <v>6.2242076161676985E-2</v>
          </cell>
          <cell r="BV16">
            <v>-11.437455797342871</v>
          </cell>
          <cell r="BW16">
            <v>-39859.701549495061</v>
          </cell>
          <cell r="BX16">
            <v>0</v>
          </cell>
          <cell r="BY16">
            <v>-321.11111111111109</v>
          </cell>
          <cell r="BZ16">
            <v>-41042.440256691923</v>
          </cell>
          <cell r="CA16">
            <v>-251770.26943483832</v>
          </cell>
          <cell r="CB16">
            <v>8.8729109375923237E-2</v>
          </cell>
          <cell r="CC16">
            <v>-23544.303378043831</v>
          </cell>
          <cell r="CD16">
            <v>0</v>
          </cell>
          <cell r="CE16">
            <v>0</v>
          </cell>
          <cell r="CF16">
            <v>0</v>
          </cell>
          <cell r="CG16">
            <v>-159694.9032558178</v>
          </cell>
          <cell r="CH16">
            <v>-4130.6725103641575</v>
          </cell>
          <cell r="CI16">
            <v>-186781.66945053823</v>
          </cell>
          <cell r="CJ16">
            <v>-39859.701549495061</v>
          </cell>
          <cell r="CK16">
            <v>-25547.777777777781</v>
          </cell>
          <cell r="CL16">
            <v>-321.11111111111109</v>
          </cell>
          <cell r="CM16">
            <v>-6940</v>
          </cell>
          <cell r="CN16">
            <v>-41042.440256691923</v>
          </cell>
          <cell r="CO16">
            <v>-292811.73882543447</v>
          </cell>
          <cell r="CP16">
            <v>0.61656919283408007</v>
          </cell>
          <cell r="CQ16">
            <v>5.1803668216236075E-2</v>
          </cell>
          <cell r="CR16">
            <v>0</v>
          </cell>
          <cell r="CS16">
            <v>0</v>
          </cell>
          <cell r="CT16">
            <v>0</v>
          </cell>
          <cell r="CU16">
            <v>8.2503417604680995E-2</v>
          </cell>
          <cell r="CV16">
            <v>-136.37044168758831</v>
          </cell>
          <cell r="CW16">
            <v>-7.9673250520136634</v>
          </cell>
          <cell r="CX16">
            <v>-3.9756890410485179</v>
          </cell>
          <cell r="CY16">
            <v>-4.9970605526161088E-2</v>
          </cell>
          <cell r="CZ16">
            <v>-1.0799875505757857</v>
          </cell>
          <cell r="DA16">
            <v>-17.30948263843479</v>
          </cell>
          <cell r="DB16">
            <v>-163.89396590439674</v>
          </cell>
        </row>
        <row r="17">
          <cell r="L17">
            <v>13.715630301246565</v>
          </cell>
          <cell r="M17">
            <v>1.5606998071978428</v>
          </cell>
          <cell r="N17">
            <v>0.94922482111054507</v>
          </cell>
          <cell r="O17">
            <v>0</v>
          </cell>
          <cell r="P17">
            <v>0</v>
          </cell>
          <cell r="Q17">
            <v>0</v>
          </cell>
          <cell r="R17">
            <v>12.278325920854748</v>
          </cell>
          <cell r="S17">
            <v>0.26594159209584445</v>
          </cell>
          <cell r="T17">
            <v>9.3352270138168464E-2</v>
          </cell>
          <cell r="U17">
            <v>0</v>
          </cell>
          <cell r="V17">
            <v>0</v>
          </cell>
          <cell r="W17">
            <v>0</v>
          </cell>
          <cell r="X17">
            <v>3.5337729155301019</v>
          </cell>
          <cell r="Y17">
            <v>1.0843633294937423</v>
          </cell>
          <cell r="Z17">
            <v>635149.05965226574</v>
          </cell>
          <cell r="AA17">
            <v>0</v>
          </cell>
          <cell r="AB17">
            <v>289423.88155425119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95399.979722212971</v>
          </cell>
          <cell r="BE17">
            <v>0</v>
          </cell>
          <cell r="BF17">
            <v>0</v>
          </cell>
          <cell r="BG17">
            <v>0</v>
          </cell>
          <cell r="BH17">
            <v>149082.9837242121</v>
          </cell>
          <cell r="BI17">
            <v>0</v>
          </cell>
          <cell r="BJ17">
            <v>0</v>
          </cell>
          <cell r="BK17">
            <v>0</v>
          </cell>
          <cell r="BL17">
            <v>110054.81441723154</v>
          </cell>
          <cell r="BM17">
            <v>0</v>
          </cell>
          <cell r="BN17">
            <v>400007.34183446097</v>
          </cell>
          <cell r="BO17">
            <v>0</v>
          </cell>
          <cell r="BP17">
            <v>0</v>
          </cell>
          <cell r="BQ17">
            <v>0</v>
          </cell>
          <cell r="BR17">
            <v>87486.515622537816</v>
          </cell>
          <cell r="BS17">
            <v>149082.9837242121</v>
          </cell>
          <cell r="BT17">
            <v>64201.596502157932</v>
          </cell>
          <cell r="BU17">
            <v>0.23470344685741057</v>
          </cell>
          <cell r="BV17">
            <v>16.01243811628002</v>
          </cell>
          <cell r="BW17">
            <v>64179.066581320978</v>
          </cell>
          <cell r="BX17">
            <v>0</v>
          </cell>
          <cell r="BY17">
            <v>449.55555555555554</v>
          </cell>
          <cell r="BZ17">
            <v>58166.527683455301</v>
          </cell>
          <cell r="CA17">
            <v>358246.58334140829</v>
          </cell>
          <cell r="CB17">
            <v>0.18701432287169942</v>
          </cell>
          <cell r="CC17">
            <v>33444.303378043827</v>
          </cell>
          <cell r="CD17">
            <v>0</v>
          </cell>
          <cell r="CE17">
            <v>0</v>
          </cell>
          <cell r="CF17">
            <v>0</v>
          </cell>
          <cell r="CG17">
            <v>227049.79214470668</v>
          </cell>
          <cell r="CH17">
            <v>6717.7836214752688</v>
          </cell>
          <cell r="CI17">
            <v>266623.66945053823</v>
          </cell>
          <cell r="CJ17">
            <v>64179.066581320978</v>
          </cell>
          <cell r="CK17">
            <v>35766.888888888891</v>
          </cell>
          <cell r="CL17">
            <v>449.55555555555554</v>
          </cell>
          <cell r="CM17">
            <v>9716</v>
          </cell>
          <cell r="CN17">
            <v>58166.527683455301</v>
          </cell>
          <cell r="CO17">
            <v>416412.14015876781</v>
          </cell>
          <cell r="CP17">
            <v>0.87831108535723879</v>
          </cell>
          <cell r="CQ17">
            <v>0.16744893411282175</v>
          </cell>
          <cell r="CR17">
            <v>0</v>
          </cell>
          <cell r="CS17">
            <v>0</v>
          </cell>
          <cell r="CT17">
            <v>0</v>
          </cell>
          <cell r="CU17">
            <v>0.15916705613811943</v>
          </cell>
          <cell r="CV17">
            <v>243.99908573780101</v>
          </cell>
          <cell r="CW17">
            <v>32.103055682549908</v>
          </cell>
          <cell r="CX17">
            <v>5.5659646574679247</v>
          </cell>
          <cell r="CY17">
            <v>6.9958847736625515E-2</v>
          </cell>
          <cell r="CZ17">
            <v>1.5119825708061001</v>
          </cell>
          <cell r="DA17">
            <v>32.83724687471225</v>
          </cell>
          <cell r="DB17">
            <v>302.50137230893381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Review"/>
      <sheetName val="Spring 2019 CAF"/>
      <sheetName val="CAF Spring17"/>
      <sheetName val="AdultCompanion"/>
      <sheetName val="AutFamSup"/>
      <sheetName val="AWC Admin-Family Nav "/>
      <sheetName val="Aut-FamSupCtrs"/>
      <sheetName val="AWC Admin - Family Nav"/>
      <sheetName val="BehavioralSupport"/>
      <sheetName val="FamTrn PeerSup Respite"/>
      <sheetName val="Fin. Assistance Admin"/>
      <sheetName val="Med Complex "/>
      <sheetName val="Respite Caregiver Home"/>
      <sheetName val="Site Based Respite"/>
      <sheetName val="DCFClinicalComp"/>
      <sheetName val="Rates For Reg"/>
      <sheetName val="DMH DYI Model"/>
      <sheetName val="DMH Fam Sys Int "/>
      <sheetName val="DMH Indiv Youth Support"/>
      <sheetName val="Facility Based Respite"/>
      <sheetName val="DMH IFFS"/>
    </sheetNames>
    <sheetDataSet>
      <sheetData sheetId="0"/>
      <sheetData sheetId="1"/>
      <sheetData sheetId="2">
        <row r="27">
          <cell r="BK27">
            <v>2.7235921972764018E-2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FTE Model "/>
      <sheetName val="3770"/>
      <sheetName val="3771"/>
      <sheetName val="3772"/>
      <sheetName val="AWC ALL DDS"/>
    </sheetNames>
    <sheetDataSet>
      <sheetData sheetId="0">
        <row r="45">
          <cell r="W45">
            <v>4103.7970819289594</v>
          </cell>
        </row>
        <row r="46">
          <cell r="W46">
            <v>8207.5941638579188</v>
          </cell>
        </row>
        <row r="47">
          <cell r="W47">
            <v>12311.391245786879</v>
          </cell>
        </row>
        <row r="48">
          <cell r="W48">
            <v>16415.188327715838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Review"/>
      <sheetName val="CAF Spring17"/>
      <sheetName val="AdultCompanion (2)"/>
      <sheetName val="AutFamSup"/>
      <sheetName val="AWC Admin-Family Nav "/>
      <sheetName val="AdultCompanion"/>
      <sheetName val="Aut-FamSupCtrs"/>
      <sheetName val="Single FTE Model "/>
      <sheetName val="AWC ALL DDS"/>
      <sheetName val="AWC Admin - Family Nav"/>
      <sheetName val="BehavioralSupport"/>
      <sheetName val="Family Train "/>
      <sheetName val="Peer Suppt"/>
      <sheetName val="Respite "/>
      <sheetName val="Fin. Assistance Admin"/>
      <sheetName val="Med Complex "/>
      <sheetName val="Respite Caregiver Home"/>
      <sheetName val="Site Based Respite"/>
      <sheetName val="DCFClinicalComp"/>
      <sheetName val="IFFS"/>
      <sheetName val="Spring 2019 CAF"/>
      <sheetName val="DMH DYI Model"/>
      <sheetName val="DMH Fam Sys Int "/>
      <sheetName val="DMH Indiv Youth Support"/>
      <sheetName val="Facility Based Respite"/>
      <sheetName val="Master Look Up"/>
      <sheetName val="UFR Salary Data"/>
      <sheetName val="UFR Salary"/>
      <sheetName val="Rate for R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5">
          <cell r="BU25">
            <v>1.8120393120392975E-2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Behavioral Model Masters"/>
      <sheetName val="inhome beh rate ma"/>
      <sheetName val="PhDLevel"/>
      <sheetName val="All 3 Levels"/>
      <sheetName val="DDSSalaryStudyFY09"/>
      <sheetName val="3CAFS"/>
      <sheetName val="Compatibility Report"/>
    </sheetNames>
    <sheetDataSet>
      <sheetData sheetId="0">
        <row r="6">
          <cell r="C6">
            <v>55682</v>
          </cell>
        </row>
        <row r="24">
          <cell r="C24">
            <v>3</v>
          </cell>
          <cell r="D24">
            <v>40</v>
          </cell>
        </row>
        <row r="25">
          <cell r="C25">
            <v>2</v>
          </cell>
          <cell r="D25">
            <v>40</v>
          </cell>
        </row>
        <row r="27">
          <cell r="E27">
            <v>40</v>
          </cell>
        </row>
      </sheetData>
      <sheetData sheetId="1"/>
      <sheetData sheetId="2">
        <row r="6">
          <cell r="C6">
            <v>78011.75</v>
          </cell>
        </row>
      </sheetData>
      <sheetData sheetId="3">
        <row r="18">
          <cell r="I18">
            <v>58.8573007148077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Adult Companion"/>
      <sheetName val="Autism Support Centers"/>
      <sheetName val="Behavior Masters"/>
      <sheetName val="Behavior PhD"/>
      <sheetName val="Case Consultation"/>
      <sheetName val="Com Based Aft School Serv"/>
      <sheetName val="Family Support Centers"/>
      <sheetName val="IFFS"/>
      <sheetName val="Ind Home Support"/>
      <sheetName val="Facility Based Respite"/>
      <sheetName val="DMH Facil Base Resp FY09UFRData"/>
      <sheetName val="Fin. Assistance Admin"/>
      <sheetName val="Med Complex "/>
      <sheetName val="Med Complex Prop Budgets"/>
      <sheetName val="Fam Training Peer Supt Respite"/>
      <sheetName val="DMH Indiv Youth Support"/>
      <sheetName val="Family navigation"/>
      <sheetName val="DMH Fam Sys Int "/>
      <sheetName val="Respite in Care Caregiver Home"/>
      <sheetName val="Youth Group Support"/>
      <sheetName val="FY 09 UFR Salary Data"/>
      <sheetName val="DCF Comp FY10 Budget Data"/>
      <sheetName val="FNSS 3066 FY09 UFR Data"/>
      <sheetName val="DCF Model Comp Model  B"/>
      <sheetName val="C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HS18">
            <v>20.56095890410959</v>
          </cell>
          <cell r="HT18">
            <v>10.77351598173516</v>
          </cell>
        </row>
        <row r="24">
          <cell r="GW24">
            <v>46.906525641025638</v>
          </cell>
        </row>
      </sheetData>
      <sheetData sheetId="12"/>
      <sheetData sheetId="13"/>
      <sheetData sheetId="14">
        <row r="10">
          <cell r="AG10">
            <v>51829.268292682929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3">
          <cell r="H3">
            <v>56242.93</v>
          </cell>
        </row>
        <row r="5">
          <cell r="F5">
            <v>42800.446974880258</v>
          </cell>
        </row>
        <row r="12">
          <cell r="F12">
            <v>56280.624805553671</v>
          </cell>
        </row>
        <row r="24">
          <cell r="H24">
            <v>43813.11</v>
          </cell>
        </row>
        <row r="36">
          <cell r="F36">
            <v>33751.15474941882</v>
          </cell>
        </row>
        <row r="40">
          <cell r="F40">
            <v>24920.069035224478</v>
          </cell>
          <cell r="H40">
            <v>25622.22</v>
          </cell>
        </row>
        <row r="42">
          <cell r="F42">
            <v>31320.912288456329</v>
          </cell>
        </row>
        <row r="45">
          <cell r="F45">
            <v>30133.822673862582</v>
          </cell>
        </row>
      </sheetData>
      <sheetData sheetId="22">
        <row r="63">
          <cell r="CJ63">
            <v>0.12316736039385787</v>
          </cell>
        </row>
      </sheetData>
      <sheetData sheetId="23">
        <row r="72">
          <cell r="EO72">
            <v>29820.716213693202</v>
          </cell>
        </row>
      </sheetData>
      <sheetData sheetId="24">
        <row r="14">
          <cell r="CS14">
            <v>0.8240960467372892</v>
          </cell>
        </row>
      </sheetData>
      <sheetData sheetId="25">
        <row r="24">
          <cell r="AA24">
            <v>3.2741867342628073E-2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tatus"/>
      <sheetName val="Models"/>
      <sheetName val="Crosswalk for Fiscal Impact"/>
      <sheetName val="3066 FNSS 09 UFR Data"/>
      <sheetName val="DCF Identified Comp. Programs"/>
      <sheetName val="Model A Direct Care"/>
      <sheetName val="Model B DC Clin Less Int"/>
      <sheetName val="Model C DC Clin More Int"/>
      <sheetName val="Model D Clin "/>
      <sheetName val="Model E DC Clin High Int."/>
      <sheetName val="Model F DC Clin Highest Int."/>
      <sheetName val="Model G DC CL Higher Int"/>
      <sheetName val="CAF"/>
      <sheetName val="YV UFR 10"/>
    </sheetNames>
    <sheetDataSet>
      <sheetData sheetId="0"/>
      <sheetData sheetId="1"/>
      <sheetData sheetId="2"/>
      <sheetData sheetId="3" refreshError="1"/>
      <sheetData sheetId="4" refreshError="1">
        <row r="65">
          <cell r="CJ65">
            <v>0.12000130951264401</v>
          </cell>
        </row>
      </sheetData>
      <sheetData sheetId="5" refreshError="1">
        <row r="4">
          <cell r="AC4">
            <v>1.75</v>
          </cell>
          <cell r="CO4">
            <v>6</v>
          </cell>
        </row>
        <row r="5">
          <cell r="AC5">
            <v>4</v>
          </cell>
          <cell r="CO5">
            <v>16</v>
          </cell>
        </row>
        <row r="6">
          <cell r="AC6">
            <v>4.5999999999999996</v>
          </cell>
          <cell r="CO6">
            <v>19.463013698630139</v>
          </cell>
        </row>
        <row r="7">
          <cell r="AC7">
            <v>1.75</v>
          </cell>
          <cell r="CO7">
            <v>7.4301369863013695</v>
          </cell>
        </row>
        <row r="8">
          <cell r="AC8">
            <v>2.75</v>
          </cell>
          <cell r="CO8">
            <v>12</v>
          </cell>
        </row>
        <row r="9">
          <cell r="AC9">
            <v>1</v>
          </cell>
          <cell r="CO9">
            <v>4.8328767123287673</v>
          </cell>
        </row>
        <row r="10">
          <cell r="AC10">
            <v>1</v>
          </cell>
          <cell r="CO10">
            <v>5</v>
          </cell>
        </row>
        <row r="11">
          <cell r="AC11">
            <v>3</v>
          </cell>
          <cell r="CO11">
            <v>15</v>
          </cell>
        </row>
        <row r="12">
          <cell r="AC12">
            <v>4.5</v>
          </cell>
          <cell r="CO12">
            <v>28</v>
          </cell>
        </row>
        <row r="13">
          <cell r="AC13">
            <v>3.83</v>
          </cell>
          <cell r="CO13">
            <v>24.115384615384617</v>
          </cell>
        </row>
        <row r="14">
          <cell r="AC14">
            <v>0.45100000000000001</v>
          </cell>
          <cell r="CO14">
            <v>3</v>
          </cell>
        </row>
        <row r="15">
          <cell r="AC15">
            <v>4.75</v>
          </cell>
          <cell r="CO15">
            <v>32</v>
          </cell>
        </row>
        <row r="16">
          <cell r="AC16">
            <v>11</v>
          </cell>
          <cell r="CO16">
            <v>79.726027397260268</v>
          </cell>
        </row>
        <row r="17">
          <cell r="AC17">
            <v>6.75</v>
          </cell>
          <cell r="CO17">
            <v>50</v>
          </cell>
        </row>
        <row r="18">
          <cell r="AC18">
            <v>3</v>
          </cell>
          <cell r="CO18">
            <v>24</v>
          </cell>
        </row>
        <row r="19">
          <cell r="AC19">
            <v>4</v>
          </cell>
          <cell r="CO19">
            <v>32</v>
          </cell>
        </row>
        <row r="23">
          <cell r="DF23">
            <v>48.091908842179208</v>
          </cell>
          <cell r="DI23">
            <v>73.838082262739789</v>
          </cell>
        </row>
      </sheetData>
      <sheetData sheetId="6" refreshError="1">
        <row r="15">
          <cell r="CS15">
            <v>0.8240960467372892</v>
          </cell>
        </row>
        <row r="19">
          <cell r="DG19">
            <v>8.8047224119418797</v>
          </cell>
        </row>
      </sheetData>
      <sheetData sheetId="7" refreshError="1">
        <row r="13">
          <cell r="CS13">
            <v>0.77633549066068874</v>
          </cell>
        </row>
        <row r="14">
          <cell r="DF14">
            <v>58.339622641509436</v>
          </cell>
          <cell r="DG14">
            <v>30.373280943025545</v>
          </cell>
          <cell r="DH14">
            <v>3.8286280336800402</v>
          </cell>
          <cell r="DI14">
            <v>60.390625</v>
          </cell>
        </row>
      </sheetData>
      <sheetData sheetId="8" refreshError="1">
        <row r="12">
          <cell r="CS12">
            <v>0.82634952201926737</v>
          </cell>
          <cell r="DF12">
            <v>17.290609137055839</v>
          </cell>
          <cell r="DG12">
            <v>4.9010791366906474</v>
          </cell>
          <cell r="DI12">
            <v>76.544943820224717</v>
          </cell>
        </row>
      </sheetData>
      <sheetData sheetId="9" refreshError="1">
        <row r="11">
          <cell r="CS11">
            <v>0.79276290630394719</v>
          </cell>
          <cell r="DF11">
            <v>14.473684210526315</v>
          </cell>
          <cell r="DG11">
            <v>5.1717902350813745</v>
          </cell>
          <cell r="DH11">
            <v>6.5596330275229358</v>
          </cell>
          <cell r="DI11">
            <v>48.80546075085325</v>
          </cell>
        </row>
      </sheetData>
      <sheetData sheetId="10" refreshError="1">
        <row r="9">
          <cell r="DF9">
            <v>18.454753009547535</v>
          </cell>
          <cell r="DG9">
            <v>5.4194157892330903</v>
          </cell>
          <cell r="DH9">
            <v>2.0470818464372051</v>
          </cell>
          <cell r="DI9">
            <v>29.889906714849992</v>
          </cell>
        </row>
      </sheetData>
      <sheetData sheetId="11" refreshError="1">
        <row r="20">
          <cell r="DF20">
            <v>17.661768368617683</v>
          </cell>
          <cell r="DG20">
            <v>7.8338488731771978</v>
          </cell>
          <cell r="DH20">
            <v>3.0356164383561643</v>
          </cell>
          <cell r="DI20">
            <v>21.117331745086361</v>
          </cell>
        </row>
      </sheetData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6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showGridLines="0" workbookViewId="0">
      <pane ySplit="1" topLeftCell="A13" activePane="bottomLeft" state="frozen"/>
      <selection pane="bottomLeft" activeCell="N42" sqref="N42"/>
    </sheetView>
  </sheetViews>
  <sheetFormatPr defaultColWidth="8.85546875" defaultRowHeight="12.75"/>
  <cols>
    <col min="1" max="1" width="8.85546875" style="337"/>
    <col min="2" max="2" width="21.42578125" style="337" customWidth="1"/>
    <col min="3" max="3" width="55" style="337" customWidth="1"/>
    <col min="4" max="4" width="11.85546875" style="337" customWidth="1"/>
    <col min="5" max="5" width="12.42578125" style="337" customWidth="1"/>
    <col min="6" max="6" width="17.5703125" style="338" customWidth="1"/>
    <col min="7" max="7" width="15.28515625" style="338" customWidth="1"/>
    <col min="8" max="8" width="20.5703125" style="337" customWidth="1"/>
    <col min="9" max="9" width="4.5703125" style="55" customWidth="1"/>
    <col min="10" max="10" width="8" style="55" customWidth="1"/>
    <col min="11" max="11" width="8.42578125" style="55" customWidth="1"/>
    <col min="12" max="12" width="27.140625" style="55" customWidth="1"/>
    <col min="13" max="16384" width="8.85546875" style="337"/>
  </cols>
  <sheetData>
    <row r="1" spans="1:12" s="359" customFormat="1" ht="15.75">
      <c r="A1" s="359" t="s">
        <v>0</v>
      </c>
      <c r="B1" s="359" t="s">
        <v>1</v>
      </c>
      <c r="C1" s="359" t="s">
        <v>2</v>
      </c>
      <c r="D1" s="359" t="s">
        <v>3</v>
      </c>
      <c r="E1" s="359" t="s">
        <v>4</v>
      </c>
      <c r="F1" s="360" t="s">
        <v>5</v>
      </c>
      <c r="G1" s="360" t="s">
        <v>6</v>
      </c>
      <c r="H1" s="359" t="s">
        <v>183</v>
      </c>
      <c r="I1" s="361"/>
      <c r="J1" s="362"/>
      <c r="K1" s="362"/>
      <c r="L1" s="361"/>
    </row>
    <row r="2" spans="1:12">
      <c r="J2" s="339"/>
      <c r="K2" s="339"/>
    </row>
    <row r="3" spans="1:12">
      <c r="A3" s="337" t="s">
        <v>7</v>
      </c>
      <c r="B3" s="337">
        <v>3707</v>
      </c>
      <c r="C3" s="337" t="s">
        <v>8</v>
      </c>
      <c r="E3" s="337" t="s">
        <v>328</v>
      </c>
      <c r="F3" s="338">
        <v>3.04</v>
      </c>
      <c r="G3" s="338">
        <v>3.17</v>
      </c>
      <c r="H3" s="337" t="s">
        <v>184</v>
      </c>
      <c r="I3" s="340"/>
      <c r="J3" s="341"/>
      <c r="K3" s="341"/>
    </row>
    <row r="4" spans="1:12">
      <c r="C4" s="337" t="s">
        <v>10</v>
      </c>
      <c r="E4" s="337" t="s">
        <v>328</v>
      </c>
      <c r="F4" s="338">
        <v>2.02</v>
      </c>
      <c r="G4" s="338">
        <v>2.1</v>
      </c>
      <c r="H4" s="337" t="s">
        <v>184</v>
      </c>
      <c r="I4" s="340"/>
      <c r="J4" s="341"/>
      <c r="K4" s="341"/>
    </row>
    <row r="5" spans="1:12" s="55" customFormat="1">
      <c r="B5" s="55">
        <v>3710</v>
      </c>
      <c r="C5" s="342" t="s">
        <v>11</v>
      </c>
      <c r="D5" s="342"/>
      <c r="E5" s="343" t="s">
        <v>328</v>
      </c>
      <c r="F5" s="329" t="s">
        <v>20</v>
      </c>
      <c r="G5" s="329">
        <v>15.33</v>
      </c>
      <c r="H5" s="342" t="s">
        <v>308</v>
      </c>
      <c r="I5" s="340"/>
      <c r="J5" s="341"/>
      <c r="K5" s="341"/>
    </row>
    <row r="6" spans="1:12" s="55" customFormat="1">
      <c r="C6" s="55" t="s">
        <v>12</v>
      </c>
      <c r="E6" s="337" t="s">
        <v>328</v>
      </c>
      <c r="F6" s="330">
        <v>21.82</v>
      </c>
      <c r="G6" s="330">
        <v>23.03</v>
      </c>
      <c r="H6" s="158" t="s">
        <v>330</v>
      </c>
      <c r="I6" s="340"/>
      <c r="J6" s="341"/>
      <c r="K6" s="341"/>
    </row>
    <row r="7" spans="1:12" s="55" customFormat="1">
      <c r="C7" s="55" t="s">
        <v>13</v>
      </c>
      <c r="E7" s="337" t="s">
        <v>328</v>
      </c>
      <c r="F7" s="330">
        <v>30.57</v>
      </c>
      <c r="G7" s="330">
        <v>32.93</v>
      </c>
      <c r="H7" s="158" t="s">
        <v>330</v>
      </c>
      <c r="I7" s="340"/>
      <c r="J7" s="341"/>
      <c r="K7" s="341"/>
    </row>
    <row r="8" spans="1:12" s="55" customFormat="1">
      <c r="B8" s="55">
        <v>3781</v>
      </c>
      <c r="C8" s="55" t="s">
        <v>14</v>
      </c>
      <c r="E8" s="55" t="s">
        <v>15</v>
      </c>
      <c r="F8" s="330">
        <v>13.92</v>
      </c>
      <c r="G8" s="330">
        <v>14.503403755868543</v>
      </c>
      <c r="H8" s="55" t="s">
        <v>184</v>
      </c>
      <c r="J8" s="341"/>
      <c r="K8" s="341"/>
    </row>
    <row r="9" spans="1:12" s="55" customFormat="1">
      <c r="B9" s="55">
        <v>3700</v>
      </c>
      <c r="C9" s="55" t="s">
        <v>16</v>
      </c>
      <c r="E9" s="337" t="s">
        <v>328</v>
      </c>
      <c r="F9" s="330">
        <v>11.76</v>
      </c>
      <c r="G9" s="330">
        <v>12.26</v>
      </c>
      <c r="H9" s="55" t="s">
        <v>184</v>
      </c>
      <c r="J9" s="341"/>
      <c r="K9" s="341"/>
    </row>
    <row r="10" spans="1:12">
      <c r="B10" s="337" t="s">
        <v>17</v>
      </c>
      <c r="C10" s="55" t="s">
        <v>18</v>
      </c>
      <c r="D10" s="55">
        <v>0.5</v>
      </c>
      <c r="E10" s="55" t="s">
        <v>19</v>
      </c>
      <c r="F10" s="330">
        <v>3726.21</v>
      </c>
      <c r="G10" s="330">
        <v>3882.3798928990609</v>
      </c>
      <c r="H10" s="358" t="s">
        <v>188</v>
      </c>
      <c r="J10" s="330"/>
      <c r="K10" s="330"/>
    </row>
    <row r="11" spans="1:12">
      <c r="C11" s="55" t="s">
        <v>18</v>
      </c>
      <c r="D11" s="55">
        <v>1</v>
      </c>
      <c r="E11" s="55" t="s">
        <v>19</v>
      </c>
      <c r="F11" s="330">
        <v>7452.43</v>
      </c>
      <c r="G11" s="330">
        <v>7764.7702049100153</v>
      </c>
      <c r="H11" s="358" t="s">
        <v>188</v>
      </c>
      <c r="J11" s="330"/>
      <c r="K11" s="330"/>
    </row>
    <row r="12" spans="1:12">
      <c r="C12" s="55" t="s">
        <v>18</v>
      </c>
      <c r="D12" s="55">
        <v>1.5</v>
      </c>
      <c r="E12" s="55" t="s">
        <v>19</v>
      </c>
      <c r="F12" s="330">
        <v>11178.64</v>
      </c>
      <c r="G12" s="330">
        <v>11647.150097809075</v>
      </c>
      <c r="H12" s="358" t="s">
        <v>188</v>
      </c>
      <c r="J12" s="330"/>
      <c r="K12" s="330"/>
    </row>
    <row r="13" spans="1:12">
      <c r="C13" s="55" t="s">
        <v>18</v>
      </c>
      <c r="D13" s="55">
        <v>2</v>
      </c>
      <c r="E13" s="55" t="s">
        <v>19</v>
      </c>
      <c r="F13" s="330">
        <v>14904.86</v>
      </c>
      <c r="G13" s="330">
        <v>15529.540409820031</v>
      </c>
      <c r="H13" s="358" t="s">
        <v>188</v>
      </c>
      <c r="J13" s="330"/>
      <c r="K13" s="330"/>
    </row>
    <row r="14" spans="1:12">
      <c r="C14" s="55" t="s">
        <v>18</v>
      </c>
      <c r="D14" s="55">
        <v>2.5</v>
      </c>
      <c r="E14" s="55" t="s">
        <v>19</v>
      </c>
      <c r="F14" s="330">
        <v>17691.169999999998</v>
      </c>
      <c r="G14" s="330">
        <v>18432.627975841155</v>
      </c>
      <c r="H14" s="358" t="s">
        <v>188</v>
      </c>
      <c r="J14" s="330"/>
      <c r="K14" s="330"/>
    </row>
    <row r="15" spans="1:12">
      <c r="C15" s="55" t="s">
        <v>18</v>
      </c>
      <c r="D15" s="55">
        <v>3</v>
      </c>
      <c r="E15" s="55" t="s">
        <v>19</v>
      </c>
      <c r="F15" s="330">
        <v>20503.5</v>
      </c>
      <c r="G15" s="330">
        <v>21362.826071009389</v>
      </c>
      <c r="H15" s="358" t="s">
        <v>188</v>
      </c>
      <c r="J15" s="330"/>
      <c r="K15" s="330"/>
    </row>
    <row r="16" spans="1:12">
      <c r="C16" s="55" t="s">
        <v>18</v>
      </c>
      <c r="D16" s="55">
        <v>3.5</v>
      </c>
      <c r="E16" s="55" t="s">
        <v>19</v>
      </c>
      <c r="F16" s="330">
        <v>23328.82</v>
      </c>
      <c r="G16" s="330">
        <v>24306.558592527384</v>
      </c>
      <c r="H16" s="358" t="s">
        <v>188</v>
      </c>
      <c r="J16" s="330"/>
      <c r="K16" s="330"/>
    </row>
    <row r="17" spans="3:11">
      <c r="C17" s="55" t="s">
        <v>18</v>
      </c>
      <c r="D17" s="55">
        <v>4</v>
      </c>
      <c r="E17" s="55" t="s">
        <v>19</v>
      </c>
      <c r="F17" s="330">
        <v>26206.16</v>
      </c>
      <c r="G17" s="330">
        <v>27304.491334115806</v>
      </c>
      <c r="H17" s="358" t="s">
        <v>188</v>
      </c>
      <c r="J17" s="330"/>
      <c r="K17" s="330"/>
    </row>
    <row r="18" spans="3:11">
      <c r="C18" s="55" t="s">
        <v>18</v>
      </c>
      <c r="D18" s="55">
        <v>4.5</v>
      </c>
      <c r="E18" s="55" t="s">
        <v>19</v>
      </c>
      <c r="F18" s="330">
        <v>29175</v>
      </c>
      <c r="G18" s="330">
        <v>30397.758949530515</v>
      </c>
      <c r="H18" s="358" t="s">
        <v>188</v>
      </c>
      <c r="J18" s="330"/>
      <c r="K18" s="330"/>
    </row>
    <row r="19" spans="3:11">
      <c r="C19" s="55" t="s">
        <v>18</v>
      </c>
      <c r="D19" s="55">
        <v>5</v>
      </c>
      <c r="E19" s="55" t="s">
        <v>19</v>
      </c>
      <c r="F19" s="330">
        <v>32117</v>
      </c>
      <c r="G19" s="330">
        <v>33463.061668622846</v>
      </c>
      <c r="H19" s="358" t="s">
        <v>188</v>
      </c>
      <c r="J19" s="330"/>
      <c r="K19" s="330"/>
    </row>
    <row r="20" spans="3:11">
      <c r="C20" s="55" t="s">
        <v>18</v>
      </c>
      <c r="D20" s="55">
        <v>5.5</v>
      </c>
      <c r="E20" s="55" t="s">
        <v>19</v>
      </c>
      <c r="F20" s="330">
        <v>35083</v>
      </c>
      <c r="G20" s="330">
        <v>36553.370256259783</v>
      </c>
      <c r="H20" s="358" t="s">
        <v>188</v>
      </c>
      <c r="J20" s="330"/>
      <c r="K20" s="330"/>
    </row>
    <row r="21" spans="3:11">
      <c r="C21" s="55" t="s">
        <v>18</v>
      </c>
      <c r="D21" s="55">
        <v>6</v>
      </c>
      <c r="E21" s="55" t="s">
        <v>19</v>
      </c>
      <c r="F21" s="330">
        <v>38017</v>
      </c>
      <c r="G21" s="330">
        <v>39610.337685837243</v>
      </c>
      <c r="H21" s="358" t="s">
        <v>188</v>
      </c>
      <c r="J21" s="330"/>
      <c r="K21" s="330"/>
    </row>
    <row r="22" spans="3:11">
      <c r="C22" s="55" t="s">
        <v>18</v>
      </c>
      <c r="D22" s="55">
        <v>6.5</v>
      </c>
      <c r="E22" s="55" t="s">
        <v>19</v>
      </c>
      <c r="F22" s="330">
        <v>40980</v>
      </c>
      <c r="G22" s="330">
        <v>42697.520539906101</v>
      </c>
      <c r="H22" s="358" t="s">
        <v>188</v>
      </c>
      <c r="J22" s="330"/>
      <c r="K22" s="330"/>
    </row>
    <row r="23" spans="3:11">
      <c r="C23" s="55" t="s">
        <v>18</v>
      </c>
      <c r="D23" s="55">
        <v>7</v>
      </c>
      <c r="E23" s="55" t="s">
        <v>19</v>
      </c>
      <c r="F23" s="330">
        <v>43907</v>
      </c>
      <c r="G23" s="330">
        <v>45747.194591158055</v>
      </c>
      <c r="H23" s="358" t="s">
        <v>188</v>
      </c>
      <c r="J23" s="330"/>
      <c r="K23" s="330"/>
    </row>
    <row r="24" spans="3:11">
      <c r="C24" s="55" t="s">
        <v>18</v>
      </c>
      <c r="D24" s="55">
        <v>7.5</v>
      </c>
      <c r="E24" s="55" t="s">
        <v>19</v>
      </c>
      <c r="F24" s="330">
        <v>46868</v>
      </c>
      <c r="G24" s="330">
        <v>48832.293622848199</v>
      </c>
      <c r="H24" s="358" t="s">
        <v>188</v>
      </c>
      <c r="J24" s="330"/>
      <c r="K24" s="330"/>
    </row>
    <row r="25" spans="3:11">
      <c r="C25" s="55" t="s">
        <v>18</v>
      </c>
      <c r="D25" s="55">
        <v>8</v>
      </c>
      <c r="E25" s="55" t="s">
        <v>19</v>
      </c>
      <c r="F25" s="330">
        <v>50210.74</v>
      </c>
      <c r="G25" s="330">
        <v>52315.131831964005</v>
      </c>
      <c r="H25" s="358" t="s">
        <v>188</v>
      </c>
      <c r="J25" s="330"/>
      <c r="K25" s="330"/>
    </row>
    <row r="26" spans="3:11">
      <c r="C26" s="342" t="s">
        <v>18</v>
      </c>
      <c r="D26" s="342">
        <v>8.5</v>
      </c>
      <c r="E26" s="342" t="s">
        <v>19</v>
      </c>
      <c r="F26" s="329" t="s">
        <v>20</v>
      </c>
      <c r="G26" s="329">
        <v>54678.457306338023</v>
      </c>
      <c r="H26" s="342" t="s">
        <v>308</v>
      </c>
      <c r="J26" s="330"/>
      <c r="K26" s="330"/>
    </row>
    <row r="27" spans="3:11">
      <c r="C27" s="342" t="s">
        <v>18</v>
      </c>
      <c r="D27" s="342">
        <v>9</v>
      </c>
      <c r="E27" s="342" t="s">
        <v>19</v>
      </c>
      <c r="F27" s="329" t="s">
        <v>20</v>
      </c>
      <c r="G27" s="329">
        <v>57500.994718309856</v>
      </c>
      <c r="H27" s="342" t="s">
        <v>308</v>
      </c>
      <c r="J27" s="330"/>
      <c r="K27" s="330"/>
    </row>
    <row r="28" spans="3:11">
      <c r="C28" s="342" t="s">
        <v>18</v>
      </c>
      <c r="D28" s="342">
        <v>9.5</v>
      </c>
      <c r="E28" s="342" t="s">
        <v>19</v>
      </c>
      <c r="F28" s="329" t="s">
        <v>20</v>
      </c>
      <c r="G28" s="329">
        <v>60295.400528169012</v>
      </c>
      <c r="H28" s="342" t="s">
        <v>308</v>
      </c>
      <c r="J28" s="330"/>
      <c r="K28" s="330"/>
    </row>
    <row r="29" spans="3:11">
      <c r="C29" s="342" t="s">
        <v>18</v>
      </c>
      <c r="D29" s="342">
        <v>10</v>
      </c>
      <c r="E29" s="342" t="s">
        <v>19</v>
      </c>
      <c r="F29" s="329" t="s">
        <v>20</v>
      </c>
      <c r="G29" s="329">
        <v>63062.716647104848</v>
      </c>
      <c r="H29" s="342" t="s">
        <v>308</v>
      </c>
      <c r="J29" s="330"/>
      <c r="K29" s="330"/>
    </row>
    <row r="30" spans="3:11">
      <c r="C30" s="342" t="s">
        <v>18</v>
      </c>
      <c r="D30" s="342">
        <v>10.5</v>
      </c>
      <c r="E30" s="342" t="s">
        <v>19</v>
      </c>
      <c r="F30" s="329" t="s">
        <v>20</v>
      </c>
      <c r="G30" s="329">
        <v>65802.943075117364</v>
      </c>
      <c r="H30" s="342" t="s">
        <v>308</v>
      </c>
      <c r="J30" s="330"/>
      <c r="K30" s="330"/>
    </row>
    <row r="31" spans="3:11">
      <c r="C31" s="342" t="s">
        <v>18</v>
      </c>
      <c r="D31" s="342">
        <v>11</v>
      </c>
      <c r="E31" s="342" t="s">
        <v>19</v>
      </c>
      <c r="F31" s="329" t="s">
        <v>20</v>
      </c>
      <c r="G31" s="329">
        <v>68517.121723395932</v>
      </c>
      <c r="H31" s="342" t="s">
        <v>308</v>
      </c>
      <c r="J31" s="330"/>
      <c r="K31" s="330"/>
    </row>
    <row r="32" spans="3:11">
      <c r="C32" s="342" t="s">
        <v>18</v>
      </c>
      <c r="D32" s="342">
        <v>11.5</v>
      </c>
      <c r="E32" s="342" t="s">
        <v>19</v>
      </c>
      <c r="F32" s="329" t="s">
        <v>20</v>
      </c>
      <c r="G32" s="329">
        <v>71203.168769561817</v>
      </c>
      <c r="H32" s="342" t="s">
        <v>308</v>
      </c>
      <c r="J32" s="330"/>
      <c r="K32" s="330"/>
    </row>
    <row r="33" spans="2:12">
      <c r="C33" s="342" t="s">
        <v>18</v>
      </c>
      <c r="D33" s="342">
        <v>12</v>
      </c>
      <c r="E33" s="342" t="s">
        <v>19</v>
      </c>
      <c r="F33" s="329" t="s">
        <v>20</v>
      </c>
      <c r="G33" s="329">
        <v>73862.126124804374</v>
      </c>
      <c r="H33" s="342" t="s">
        <v>308</v>
      </c>
      <c r="J33" s="330"/>
      <c r="K33" s="330"/>
    </row>
    <row r="34" spans="2:12">
      <c r="B34" s="337">
        <v>3709</v>
      </c>
      <c r="C34" s="337" t="s">
        <v>21</v>
      </c>
      <c r="E34" s="337" t="s">
        <v>9</v>
      </c>
      <c r="F34" s="338">
        <v>24.92</v>
      </c>
      <c r="G34" s="338">
        <v>25.964426838810642</v>
      </c>
      <c r="H34" s="337" t="s">
        <v>184</v>
      </c>
      <c r="J34" s="330"/>
      <c r="K34" s="330"/>
    </row>
    <row r="35" spans="2:12">
      <c r="C35" s="337" t="s">
        <v>22</v>
      </c>
      <c r="E35" s="337" t="s">
        <v>9</v>
      </c>
      <c r="F35" s="338">
        <v>12.48</v>
      </c>
      <c r="G35" s="338">
        <v>13.003051643192489</v>
      </c>
      <c r="H35" s="337" t="s">
        <v>184</v>
      </c>
      <c r="J35" s="330"/>
      <c r="K35" s="330"/>
    </row>
    <row r="36" spans="2:12">
      <c r="C36" s="337" t="s">
        <v>23</v>
      </c>
      <c r="E36" s="337" t="s">
        <v>9</v>
      </c>
      <c r="F36" s="338">
        <v>5</v>
      </c>
      <c r="G36" s="338">
        <v>5.239555946791862</v>
      </c>
      <c r="H36" s="337" t="s">
        <v>184</v>
      </c>
      <c r="J36" s="330"/>
      <c r="K36" s="330"/>
    </row>
    <row r="37" spans="2:12">
      <c r="B37" s="337">
        <v>3773</v>
      </c>
      <c r="C37" s="337" t="s">
        <v>24</v>
      </c>
      <c r="E37" s="337" t="s">
        <v>25</v>
      </c>
      <c r="F37" s="338">
        <v>16.79</v>
      </c>
      <c r="G37" s="338">
        <v>17.493688869327073</v>
      </c>
      <c r="H37" s="337" t="s">
        <v>184</v>
      </c>
      <c r="J37" s="330"/>
      <c r="K37" s="330"/>
    </row>
    <row r="38" spans="2:12">
      <c r="B38" s="337">
        <v>3774</v>
      </c>
      <c r="C38" s="337" t="s">
        <v>26</v>
      </c>
      <c r="E38" s="337" t="s">
        <v>19</v>
      </c>
      <c r="F38" s="338">
        <v>246.61</v>
      </c>
      <c r="G38" s="338">
        <v>256.94571840766821</v>
      </c>
      <c r="H38" s="337" t="s">
        <v>184</v>
      </c>
      <c r="J38" s="330"/>
      <c r="K38" s="330"/>
    </row>
    <row r="39" spans="2:12" s="55" customFormat="1">
      <c r="B39" s="55">
        <v>3775</v>
      </c>
      <c r="C39" s="55" t="s">
        <v>27</v>
      </c>
      <c r="E39" s="55" t="s">
        <v>28</v>
      </c>
      <c r="F39" s="330">
        <v>362.31</v>
      </c>
      <c r="G39" s="330">
        <v>377.4948430164319</v>
      </c>
      <c r="H39" s="55" t="s">
        <v>184</v>
      </c>
      <c r="J39" s="330"/>
      <c r="K39" s="330"/>
      <c r="L39" s="388"/>
    </row>
    <row r="40" spans="2:12" s="55" customFormat="1">
      <c r="C40" s="55" t="s">
        <v>29</v>
      </c>
      <c r="E40" s="55" t="s">
        <v>28</v>
      </c>
      <c r="F40" s="330">
        <v>466.02000000000004</v>
      </c>
      <c r="G40" s="333">
        <v>485.55145246478878</v>
      </c>
      <c r="H40" s="55" t="s">
        <v>184</v>
      </c>
      <c r="J40" s="330"/>
      <c r="K40" s="330"/>
    </row>
    <row r="41" spans="2:12" s="55" customFormat="1">
      <c r="C41" s="55" t="s">
        <v>27</v>
      </c>
      <c r="E41" s="55" t="s">
        <v>9</v>
      </c>
      <c r="F41" s="330" t="s">
        <v>20</v>
      </c>
      <c r="G41" s="395">
        <v>23.48</v>
      </c>
      <c r="H41" s="389" t="s">
        <v>309</v>
      </c>
      <c r="I41" s="363"/>
      <c r="J41" s="364"/>
      <c r="K41" s="364"/>
      <c r="L41" s="390"/>
    </row>
    <row r="42" spans="2:12" s="55" customFormat="1">
      <c r="C42" s="55" t="s">
        <v>29</v>
      </c>
      <c r="E42" s="55" t="s">
        <v>9</v>
      </c>
      <c r="F42" s="330" t="s">
        <v>20</v>
      </c>
      <c r="G42" s="396">
        <v>30.2</v>
      </c>
      <c r="H42" s="391" t="s">
        <v>309</v>
      </c>
      <c r="I42" s="392"/>
      <c r="J42" s="393"/>
      <c r="K42" s="393"/>
      <c r="L42" s="394"/>
    </row>
    <row r="43" spans="2:12" s="55" customFormat="1">
      <c r="B43" s="55">
        <v>3702</v>
      </c>
      <c r="C43" s="55" t="s">
        <v>30</v>
      </c>
      <c r="E43" s="55" t="s">
        <v>28</v>
      </c>
      <c r="F43" s="330">
        <v>99.72</v>
      </c>
      <c r="G43" s="333">
        <v>103.8993838028169</v>
      </c>
      <c r="H43" s="55" t="s">
        <v>184</v>
      </c>
      <c r="I43" s="340"/>
      <c r="J43" s="344"/>
      <c r="K43" s="344"/>
      <c r="L43" s="345"/>
    </row>
    <row r="44" spans="2:12" s="55" customFormat="1">
      <c r="C44" s="55" t="s">
        <v>31</v>
      </c>
      <c r="E44" s="55" t="s">
        <v>28</v>
      </c>
      <c r="F44" s="330">
        <v>122.64</v>
      </c>
      <c r="G44" s="333">
        <v>127.77998826291079</v>
      </c>
      <c r="H44" s="55" t="s">
        <v>184</v>
      </c>
      <c r="I44" s="340"/>
    </row>
    <row r="45" spans="2:12" s="55" customFormat="1">
      <c r="C45" s="55" t="s">
        <v>32</v>
      </c>
      <c r="E45" s="55" t="s">
        <v>28</v>
      </c>
      <c r="F45" s="330">
        <v>145.57</v>
      </c>
      <c r="G45" s="333">
        <v>151.67101183489828</v>
      </c>
      <c r="H45" s="55" t="s">
        <v>184</v>
      </c>
      <c r="I45" s="340"/>
      <c r="K45" s="330"/>
    </row>
    <row r="46" spans="2:12" s="55" customFormat="1">
      <c r="B46" s="55">
        <v>3731</v>
      </c>
      <c r="C46" s="55" t="s">
        <v>33</v>
      </c>
      <c r="E46" s="55" t="s">
        <v>9</v>
      </c>
      <c r="F46" s="330">
        <v>24.922020925389813</v>
      </c>
      <c r="G46" s="333">
        <v>25.996532463587148</v>
      </c>
      <c r="H46" s="55" t="s">
        <v>184</v>
      </c>
      <c r="I46" s="340"/>
      <c r="K46" s="330"/>
    </row>
    <row r="47" spans="2:12" s="55" customFormat="1">
      <c r="C47" s="55" t="s">
        <v>34</v>
      </c>
      <c r="E47" s="55" t="s">
        <v>9</v>
      </c>
      <c r="F47" s="330">
        <v>12.48</v>
      </c>
      <c r="G47" s="333">
        <v>13.003051643192489</v>
      </c>
      <c r="H47" s="55" t="s">
        <v>184</v>
      </c>
      <c r="I47" s="340"/>
      <c r="K47" s="330"/>
      <c r="L47" s="330"/>
    </row>
    <row r="48" spans="2:12" s="55" customFormat="1">
      <c r="C48" s="55" t="s">
        <v>35</v>
      </c>
      <c r="E48" s="55" t="s">
        <v>9</v>
      </c>
      <c r="F48" s="330">
        <v>8.32</v>
      </c>
      <c r="G48" s="333">
        <v>8.6787010954616584</v>
      </c>
      <c r="H48" s="55" t="s">
        <v>184</v>
      </c>
      <c r="I48" s="340"/>
      <c r="L48" s="330"/>
    </row>
    <row r="49" spans="1:12" s="55" customFormat="1">
      <c r="B49" s="55">
        <v>3701</v>
      </c>
      <c r="C49" s="55" t="s">
        <v>36</v>
      </c>
      <c r="E49" s="55" t="s">
        <v>28</v>
      </c>
      <c r="F49" s="330">
        <v>224.29000000000002</v>
      </c>
      <c r="G49" s="333">
        <v>233.69026066118937</v>
      </c>
      <c r="H49" s="55" t="s">
        <v>184</v>
      </c>
      <c r="I49" s="340"/>
    </row>
    <row r="50" spans="1:12" s="55" customFormat="1">
      <c r="B50" s="55">
        <v>3759</v>
      </c>
      <c r="C50" s="55" t="s">
        <v>37</v>
      </c>
      <c r="E50" s="55" t="s">
        <v>28</v>
      </c>
      <c r="F50" s="330">
        <v>243.82</v>
      </c>
      <c r="G50" s="333">
        <v>254.03878618935835</v>
      </c>
      <c r="H50" s="55" t="s">
        <v>184</v>
      </c>
      <c r="I50" s="340"/>
    </row>
    <row r="51" spans="1:12" s="55" customFormat="1">
      <c r="C51" s="55" t="s">
        <v>38</v>
      </c>
      <c r="E51" s="55" t="s">
        <v>28</v>
      </c>
      <c r="F51" s="330">
        <v>303.51</v>
      </c>
      <c r="G51" s="333">
        <v>316.23046508215958</v>
      </c>
      <c r="H51" s="55" t="s">
        <v>184</v>
      </c>
      <c r="I51" s="340"/>
    </row>
    <row r="52" spans="1:12" s="55" customFormat="1" ht="12" customHeight="1">
      <c r="B52" s="55">
        <v>6753</v>
      </c>
      <c r="C52" s="342" t="s">
        <v>39</v>
      </c>
      <c r="D52" s="342"/>
      <c r="E52" s="342" t="s">
        <v>19</v>
      </c>
      <c r="F52" s="329" t="s">
        <v>20</v>
      </c>
      <c r="G52" s="346" t="e">
        <f>'AWC Admin-Family Nav '!E21</f>
        <v>#REF!</v>
      </c>
      <c r="H52" s="342" t="s">
        <v>310</v>
      </c>
      <c r="J52" s="344"/>
    </row>
    <row r="53" spans="1:12" s="55" customFormat="1">
      <c r="B53" s="55">
        <v>3716</v>
      </c>
      <c r="C53" s="55" t="s">
        <v>41</v>
      </c>
      <c r="E53" s="55" t="s">
        <v>9</v>
      </c>
      <c r="F53" s="330">
        <v>24.92</v>
      </c>
      <c r="G53" s="333">
        <v>25.964426838810642</v>
      </c>
      <c r="H53" s="55" t="s">
        <v>184</v>
      </c>
    </row>
    <row r="54" spans="1:12" s="55" customFormat="1">
      <c r="C54" s="55" t="s">
        <v>42</v>
      </c>
      <c r="E54" s="55" t="s">
        <v>9</v>
      </c>
      <c r="F54" s="330">
        <v>12.48</v>
      </c>
      <c r="G54" s="333">
        <v>13.003051643192489</v>
      </c>
      <c r="H54" s="55" t="s">
        <v>184</v>
      </c>
    </row>
    <row r="55" spans="1:12" s="55" customFormat="1">
      <c r="C55" s="55" t="s">
        <v>43</v>
      </c>
      <c r="E55" s="55" t="s">
        <v>9</v>
      </c>
      <c r="F55" s="330">
        <v>5</v>
      </c>
      <c r="G55" s="333">
        <v>5.239555946791862</v>
      </c>
      <c r="H55" s="55" t="s">
        <v>184</v>
      </c>
    </row>
    <row r="56" spans="1:12" s="55" customFormat="1">
      <c r="B56" s="55">
        <v>3776</v>
      </c>
      <c r="C56" s="55" t="s">
        <v>44</v>
      </c>
      <c r="F56" s="330" t="s">
        <v>40</v>
      </c>
      <c r="G56" s="333" t="s">
        <v>40</v>
      </c>
    </row>
    <row r="57" spans="1:12" s="55" customFormat="1">
      <c r="A57" s="363" t="s">
        <v>45</v>
      </c>
      <c r="B57" s="363"/>
      <c r="C57" s="363"/>
      <c r="D57" s="363"/>
      <c r="E57" s="363"/>
      <c r="F57" s="364"/>
      <c r="G57" s="364"/>
      <c r="H57" s="363"/>
      <c r="I57" s="363"/>
      <c r="J57" s="363"/>
      <c r="K57" s="363"/>
      <c r="L57" s="363"/>
    </row>
    <row r="58" spans="1:12" s="55" customFormat="1">
      <c r="B58" s="55" t="s">
        <v>46</v>
      </c>
      <c r="C58" s="55" t="s">
        <v>47</v>
      </c>
      <c r="E58" s="55" t="s">
        <v>9</v>
      </c>
      <c r="F58" s="330">
        <v>24.922020925389813</v>
      </c>
      <c r="G58" s="333">
        <v>25.996532463587148</v>
      </c>
      <c r="H58" s="55" t="s">
        <v>184</v>
      </c>
    </row>
    <row r="59" spans="1:12" s="55" customFormat="1">
      <c r="B59" s="55" t="s">
        <v>48</v>
      </c>
      <c r="C59" s="55" t="s">
        <v>49</v>
      </c>
      <c r="F59" s="330" t="s">
        <v>40</v>
      </c>
      <c r="G59" s="333" t="s">
        <v>40</v>
      </c>
    </row>
    <row r="60" spans="1:12" s="55" customFormat="1">
      <c r="C60" s="55" t="s">
        <v>50</v>
      </c>
      <c r="E60" s="55" t="s">
        <v>15</v>
      </c>
      <c r="F60" s="330">
        <v>13.926495726495727</v>
      </c>
      <c r="G60" s="333">
        <v>14.5</v>
      </c>
      <c r="H60" s="158" t="s">
        <v>186</v>
      </c>
    </row>
    <row r="61" spans="1:12" s="55" customFormat="1">
      <c r="A61" s="347"/>
      <c r="B61" s="347"/>
      <c r="C61" s="347"/>
      <c r="D61" s="347"/>
      <c r="E61" s="347"/>
      <c r="F61" s="348"/>
      <c r="G61" s="349"/>
      <c r="H61" s="347"/>
      <c r="I61" s="347"/>
      <c r="J61" s="347"/>
      <c r="K61" s="347"/>
      <c r="L61" s="347"/>
    </row>
    <row r="62" spans="1:12" s="55" customFormat="1">
      <c r="A62" s="365" t="s">
        <v>51</v>
      </c>
      <c r="B62" s="365">
        <v>3006</v>
      </c>
      <c r="C62" s="365" t="s">
        <v>52</v>
      </c>
      <c r="D62" s="365"/>
      <c r="E62" s="365" t="s">
        <v>25</v>
      </c>
      <c r="F62" s="366">
        <v>57.23</v>
      </c>
      <c r="G62" s="366">
        <v>58.866777999999996</v>
      </c>
      <c r="H62" s="363" t="s">
        <v>185</v>
      </c>
      <c r="I62" s="363"/>
      <c r="J62" s="363"/>
      <c r="K62" s="363"/>
      <c r="L62" s="363"/>
    </row>
    <row r="63" spans="1:12" s="55" customFormat="1">
      <c r="A63" s="331"/>
      <c r="B63" s="331"/>
      <c r="C63" s="331" t="s">
        <v>53</v>
      </c>
      <c r="D63" s="331"/>
      <c r="E63" s="331" t="s">
        <v>9</v>
      </c>
      <c r="F63" s="350">
        <v>51.9</v>
      </c>
      <c r="G63" s="351">
        <v>53.384340000000002</v>
      </c>
      <c r="H63" s="55" t="s">
        <v>185</v>
      </c>
    </row>
    <row r="64" spans="1:12" s="55" customFormat="1">
      <c r="A64" s="331"/>
      <c r="B64" s="331"/>
      <c r="C64" s="331" t="s">
        <v>54</v>
      </c>
      <c r="D64" s="331"/>
      <c r="E64" s="331" t="s">
        <v>55</v>
      </c>
      <c r="F64" s="350">
        <v>253.25</v>
      </c>
      <c r="G64" s="351">
        <v>260.49295000000001</v>
      </c>
      <c r="H64" s="55" t="s">
        <v>185</v>
      </c>
    </row>
    <row r="65" spans="1:12" s="55" customFormat="1" ht="15" customHeight="1">
      <c r="A65" s="331"/>
      <c r="B65" s="331"/>
      <c r="C65" s="331" t="s">
        <v>56</v>
      </c>
      <c r="D65" s="331"/>
      <c r="E65" s="331" t="s">
        <v>57</v>
      </c>
      <c r="F65" s="350">
        <v>36.619999999999997</v>
      </c>
      <c r="G65" s="351">
        <v>37.659999999999997</v>
      </c>
      <c r="H65" s="55" t="s">
        <v>185</v>
      </c>
    </row>
    <row r="66" spans="1:12" s="55" customFormat="1" ht="15" customHeight="1">
      <c r="A66" s="331"/>
      <c r="B66" s="331"/>
      <c r="C66" s="331" t="s">
        <v>58</v>
      </c>
      <c r="D66" s="331"/>
      <c r="E66" s="331" t="s">
        <v>15</v>
      </c>
      <c r="F66" s="350">
        <v>13.92</v>
      </c>
      <c r="G66" s="351">
        <v>14.5</v>
      </c>
      <c r="H66" s="158" t="s">
        <v>186</v>
      </c>
    </row>
    <row r="67" spans="1:12" s="55" customFormat="1" ht="15" customHeight="1">
      <c r="A67" s="331"/>
      <c r="B67" s="331"/>
      <c r="C67" s="343" t="s">
        <v>59</v>
      </c>
      <c r="D67" s="343"/>
      <c r="E67" s="343" t="s">
        <v>25</v>
      </c>
      <c r="F67" s="329" t="s">
        <v>20</v>
      </c>
      <c r="G67" s="352">
        <f>'DMH DYI Model'!J24</f>
        <v>37.293163518865278</v>
      </c>
      <c r="H67" s="343" t="s">
        <v>308</v>
      </c>
      <c r="I67" s="331"/>
      <c r="J67" s="344"/>
      <c r="K67" s="331"/>
      <c r="L67" s="331"/>
    </row>
    <row r="68" spans="1:12" s="55" customFormat="1" ht="15" customHeight="1">
      <c r="A68" s="363" t="s">
        <v>60</v>
      </c>
      <c r="B68" s="363" t="s">
        <v>329</v>
      </c>
      <c r="C68" s="363"/>
      <c r="D68" s="363"/>
      <c r="E68" s="363"/>
      <c r="F68" s="364"/>
      <c r="G68" s="364"/>
      <c r="H68" s="363"/>
      <c r="I68" s="363"/>
      <c r="J68" s="363"/>
      <c r="K68" s="363"/>
      <c r="L68" s="363"/>
    </row>
    <row r="69" spans="1:12" s="55" customFormat="1" ht="15" customHeight="1">
      <c r="B69" s="332"/>
      <c r="C69" s="2" t="s">
        <v>61</v>
      </c>
      <c r="D69" s="353"/>
      <c r="E69" s="2" t="s">
        <v>25</v>
      </c>
      <c r="F69" s="354">
        <v>19.010000000000002</v>
      </c>
      <c r="G69" s="354">
        <v>19.576955239752515</v>
      </c>
      <c r="H69" s="55" t="s">
        <v>187</v>
      </c>
    </row>
    <row r="70" spans="1:12" s="55" customFormat="1" ht="15" customHeight="1">
      <c r="A70" s="331"/>
      <c r="B70" s="332"/>
      <c r="C70" s="2" t="s">
        <v>62</v>
      </c>
      <c r="D70" s="353"/>
      <c r="E70" s="2" t="s">
        <v>63</v>
      </c>
      <c r="F70" s="354">
        <v>47.21</v>
      </c>
      <c r="G70" s="354">
        <v>48.617993522815162</v>
      </c>
      <c r="H70" s="55" t="s">
        <v>187</v>
      </c>
    </row>
    <row r="71" spans="1:12" s="55" customFormat="1" ht="15" customHeight="1">
      <c r="A71" s="331"/>
      <c r="B71" s="332"/>
      <c r="C71" s="2"/>
      <c r="D71" s="353"/>
      <c r="E71" s="2" t="s">
        <v>64</v>
      </c>
      <c r="F71" s="354">
        <v>81.78</v>
      </c>
      <c r="G71" s="354">
        <v>84.21901102088168</v>
      </c>
      <c r="H71" s="55" t="s">
        <v>187</v>
      </c>
    </row>
    <row r="72" spans="1:12" s="55" customFormat="1" ht="15" customHeight="1">
      <c r="A72" s="331"/>
      <c r="B72" s="332" t="s">
        <v>65</v>
      </c>
      <c r="C72" s="2" t="s">
        <v>66</v>
      </c>
      <c r="D72" s="353"/>
      <c r="E72" s="2" t="s">
        <v>67</v>
      </c>
      <c r="F72" s="354">
        <v>50.06</v>
      </c>
      <c r="G72" s="354">
        <v>51.552992072699155</v>
      </c>
      <c r="H72" s="55" t="s">
        <v>187</v>
      </c>
    </row>
    <row r="73" spans="1:12" s="55" customFormat="1" ht="15" customHeight="1">
      <c r="A73" s="331"/>
      <c r="B73" s="332"/>
      <c r="C73" s="2" t="s">
        <v>68</v>
      </c>
      <c r="D73" s="353"/>
      <c r="E73" s="2" t="s">
        <v>67</v>
      </c>
      <c r="F73" s="354">
        <v>70.650000000000006</v>
      </c>
      <c r="G73" s="354">
        <v>72.757069315545252</v>
      </c>
      <c r="H73" s="55" t="s">
        <v>187</v>
      </c>
    </row>
    <row r="74" spans="1:12" s="55" customFormat="1" ht="15" customHeight="1">
      <c r="A74" s="331"/>
      <c r="B74" s="332" t="s">
        <v>69</v>
      </c>
      <c r="C74" s="2" t="s">
        <v>70</v>
      </c>
      <c r="D74" s="353"/>
      <c r="E74" s="2" t="s">
        <v>71</v>
      </c>
      <c r="F74" s="354">
        <v>34.409999999999997</v>
      </c>
      <c r="G74" s="354">
        <v>35.436245649651973</v>
      </c>
      <c r="H74" s="355" t="s">
        <v>187</v>
      </c>
      <c r="I74" s="355"/>
      <c r="J74" s="355"/>
      <c r="K74" s="355"/>
      <c r="L74" s="355"/>
    </row>
    <row r="75" spans="1:12" s="55" customFormat="1" ht="15" customHeight="1">
      <c r="A75" s="331"/>
      <c r="B75" s="332"/>
      <c r="C75" s="2" t="s">
        <v>72</v>
      </c>
      <c r="D75" s="356"/>
      <c r="E75" s="2" t="s">
        <v>71</v>
      </c>
      <c r="F75" s="354">
        <v>46.47</v>
      </c>
      <c r="G75" s="354">
        <v>47.855923723897909</v>
      </c>
      <c r="H75" s="355" t="s">
        <v>187</v>
      </c>
      <c r="I75" s="355"/>
      <c r="J75" s="355"/>
      <c r="K75" s="355"/>
      <c r="L75" s="355"/>
    </row>
    <row r="76" spans="1:12" s="55" customFormat="1" ht="15" customHeight="1">
      <c r="A76" s="331"/>
      <c r="B76" s="332"/>
      <c r="C76" s="2" t="s">
        <v>73</v>
      </c>
      <c r="D76" s="356"/>
      <c r="E76" s="2" t="s">
        <v>71</v>
      </c>
      <c r="F76" s="354">
        <v>63.2</v>
      </c>
      <c r="G76" s="354">
        <v>65.084880123743233</v>
      </c>
      <c r="H76" s="55" t="s">
        <v>187</v>
      </c>
    </row>
    <row r="77" spans="1:12" s="55" customFormat="1" ht="15" customHeight="1">
      <c r="A77" s="331"/>
      <c r="B77" s="332"/>
      <c r="C77" s="2" t="s">
        <v>74</v>
      </c>
      <c r="D77" s="356"/>
      <c r="E77" s="2" t="s">
        <v>71</v>
      </c>
      <c r="F77" s="354">
        <v>62.55</v>
      </c>
      <c r="G77" s="354">
        <v>64.415494489559165</v>
      </c>
      <c r="H77" s="55" t="s">
        <v>187</v>
      </c>
    </row>
    <row r="78" spans="1:12" s="55" customFormat="1" ht="15" customHeight="1">
      <c r="A78" s="331"/>
      <c r="B78" s="332"/>
      <c r="C78" s="2" t="s">
        <v>75</v>
      </c>
      <c r="D78" s="356"/>
      <c r="E78" s="2" t="s">
        <v>71</v>
      </c>
      <c r="F78" s="333">
        <v>66.17</v>
      </c>
      <c r="G78" s="333">
        <v>68.14</v>
      </c>
      <c r="H78" s="55" t="s">
        <v>187</v>
      </c>
    </row>
    <row r="79" spans="1:12" s="55" customFormat="1" ht="15" customHeight="1">
      <c r="A79" s="331"/>
      <c r="B79" s="332"/>
      <c r="C79" s="2" t="s">
        <v>76</v>
      </c>
      <c r="D79" s="356"/>
      <c r="E79" s="2" t="s">
        <v>71</v>
      </c>
      <c r="F79" s="333">
        <v>97.24</v>
      </c>
      <c r="G79" s="333">
        <v>100.14</v>
      </c>
      <c r="H79" s="55" t="s">
        <v>187</v>
      </c>
    </row>
    <row r="80" spans="1:12" s="55" customFormat="1" ht="15" customHeight="1">
      <c r="A80" s="331"/>
      <c r="B80" s="332"/>
      <c r="C80" s="2" t="s">
        <v>77</v>
      </c>
      <c r="D80" s="356"/>
      <c r="E80" s="2" t="s">
        <v>71</v>
      </c>
      <c r="F80" s="333">
        <v>140.61000000000001</v>
      </c>
      <c r="G80" s="333">
        <v>144.80000000000001</v>
      </c>
      <c r="H80" s="55" t="s">
        <v>187</v>
      </c>
    </row>
    <row r="81" spans="1:9" s="55" customFormat="1" ht="15" customHeight="1">
      <c r="A81" s="331"/>
      <c r="B81" s="332"/>
      <c r="C81" s="2" t="s">
        <v>78</v>
      </c>
      <c r="D81" s="356"/>
      <c r="E81" s="2" t="s">
        <v>71</v>
      </c>
      <c r="F81" s="333">
        <v>116.97</v>
      </c>
      <c r="G81" s="333">
        <v>120.46</v>
      </c>
      <c r="H81" s="55" t="s">
        <v>187</v>
      </c>
    </row>
    <row r="82" spans="1:9" s="356" customFormat="1" ht="15" customHeight="1">
      <c r="A82" s="332"/>
      <c r="B82" s="332"/>
      <c r="C82" s="357" t="s">
        <v>79</v>
      </c>
      <c r="E82" s="2" t="s">
        <v>71</v>
      </c>
      <c r="F82" s="333">
        <v>16.600000000000001</v>
      </c>
      <c r="G82" s="333">
        <v>17.100000000000001</v>
      </c>
      <c r="H82" s="356" t="s">
        <v>187</v>
      </c>
    </row>
    <row r="83" spans="1:9" s="55" customFormat="1" ht="15" customHeight="1">
      <c r="A83" s="331"/>
      <c r="B83" s="332" t="s">
        <v>80</v>
      </c>
      <c r="C83" s="2" t="s">
        <v>81</v>
      </c>
      <c r="D83" s="356"/>
      <c r="E83" s="2" t="s">
        <v>55</v>
      </c>
      <c r="F83" s="333">
        <v>2153.87</v>
      </c>
      <c r="G83" s="333">
        <v>2218.11</v>
      </c>
      <c r="H83" s="55" t="s">
        <v>187</v>
      </c>
      <c r="I83" s="356"/>
    </row>
    <row r="84" spans="1:9" s="55" customFormat="1" ht="15" customHeight="1">
      <c r="A84" s="331"/>
      <c r="B84" s="332" t="s">
        <v>82</v>
      </c>
      <c r="C84" s="2" t="s">
        <v>83</v>
      </c>
      <c r="D84" s="356"/>
      <c r="E84" s="2" t="s">
        <v>55</v>
      </c>
      <c r="F84" s="333">
        <v>125</v>
      </c>
      <c r="G84" s="333">
        <v>128.72999999999999</v>
      </c>
      <c r="H84" s="55" t="s">
        <v>187</v>
      </c>
      <c r="I84" s="356"/>
    </row>
    <row r="85" spans="1:9" s="55" customFormat="1" ht="15" customHeight="1">
      <c r="A85" s="331"/>
      <c r="B85" s="332"/>
      <c r="C85" s="2" t="s">
        <v>84</v>
      </c>
      <c r="D85" s="356"/>
      <c r="E85" s="2" t="s">
        <v>55</v>
      </c>
      <c r="F85" s="333">
        <v>1374.74</v>
      </c>
      <c r="G85" s="333">
        <v>1415.74</v>
      </c>
      <c r="H85" s="55" t="s">
        <v>187</v>
      </c>
      <c r="I85" s="356"/>
    </row>
    <row r="86" spans="1:9" s="55" customFormat="1" ht="15" customHeight="1">
      <c r="A86" s="331"/>
      <c r="B86" s="332" t="s">
        <v>85</v>
      </c>
      <c r="C86" s="2" t="s">
        <v>86</v>
      </c>
      <c r="D86" s="356"/>
      <c r="E86" s="2" t="s">
        <v>55</v>
      </c>
      <c r="F86" s="354">
        <v>62.67</v>
      </c>
      <c r="G86" s="354">
        <v>64.539073375870075</v>
      </c>
      <c r="H86" s="55" t="s">
        <v>187</v>
      </c>
      <c r="I86" s="356"/>
    </row>
    <row r="87" spans="1:9" s="55" customFormat="1" ht="15" customHeight="1">
      <c r="A87" s="331"/>
      <c r="B87" s="332"/>
      <c r="C87" s="2" t="s">
        <v>87</v>
      </c>
      <c r="D87" s="356"/>
      <c r="E87" s="2" t="s">
        <v>55</v>
      </c>
      <c r="F87" s="354">
        <v>153.69999999999999</v>
      </c>
      <c r="G87" s="354">
        <v>158.28395688321731</v>
      </c>
      <c r="H87" s="55" t="s">
        <v>187</v>
      </c>
      <c r="I87" s="356"/>
    </row>
    <row r="88" spans="1:9" s="55" customFormat="1" ht="15" customHeight="1">
      <c r="A88" s="331"/>
      <c r="B88" s="332"/>
      <c r="C88" s="2" t="s">
        <v>88</v>
      </c>
      <c r="D88" s="356"/>
      <c r="E88" s="2" t="s">
        <v>55</v>
      </c>
      <c r="F88" s="354">
        <v>44.32</v>
      </c>
      <c r="G88" s="354">
        <v>45.641802010827533</v>
      </c>
      <c r="H88" s="55" t="s">
        <v>187</v>
      </c>
      <c r="I88" s="356"/>
    </row>
    <row r="89" spans="1:9" s="55" customFormat="1" ht="15" customHeight="1">
      <c r="A89" s="331"/>
      <c r="B89" s="332"/>
      <c r="C89" s="2" t="s">
        <v>83</v>
      </c>
      <c r="D89" s="356"/>
      <c r="E89" s="2" t="s">
        <v>55</v>
      </c>
      <c r="F89" s="354">
        <v>125</v>
      </c>
      <c r="G89" s="354">
        <v>128.72800657385926</v>
      </c>
      <c r="H89" s="55" t="s">
        <v>187</v>
      </c>
      <c r="I89" s="356"/>
    </row>
    <row r="90" spans="1:9" s="55" customFormat="1" ht="15" customHeight="1">
      <c r="A90" s="331"/>
      <c r="B90" s="332"/>
      <c r="C90" s="2" t="s">
        <v>89</v>
      </c>
      <c r="D90" s="356"/>
      <c r="E90" s="2" t="s">
        <v>55</v>
      </c>
      <c r="F90" s="354">
        <v>150</v>
      </c>
      <c r="G90" s="354">
        <v>154.47360788863111</v>
      </c>
      <c r="H90" s="55" t="s">
        <v>187</v>
      </c>
      <c r="I90" s="356"/>
    </row>
    <row r="91" spans="1:9" s="55" customFormat="1" ht="15" customHeight="1">
      <c r="A91" s="331"/>
      <c r="B91" s="332"/>
      <c r="C91" s="2" t="s">
        <v>90</v>
      </c>
      <c r="D91" s="356"/>
      <c r="E91" s="2" t="s">
        <v>55</v>
      </c>
      <c r="F91" s="354">
        <v>1040.28</v>
      </c>
      <c r="G91" s="354">
        <v>1071.3053654292344</v>
      </c>
      <c r="H91" s="55" t="s">
        <v>187</v>
      </c>
      <c r="I91" s="356"/>
    </row>
    <row r="92" spans="1:9" s="55" customFormat="1" ht="15" customHeight="1">
      <c r="A92" s="331"/>
      <c r="B92" s="332" t="s">
        <v>91</v>
      </c>
      <c r="C92" s="2" t="s">
        <v>92</v>
      </c>
      <c r="D92" s="356"/>
      <c r="E92" s="2" t="s">
        <v>55</v>
      </c>
      <c r="F92" s="354">
        <v>62.67</v>
      </c>
      <c r="G92" s="354">
        <v>64.539073375870075</v>
      </c>
      <c r="H92" s="55" t="s">
        <v>187</v>
      </c>
      <c r="I92" s="356"/>
    </row>
    <row r="93" spans="1:9" s="55" customFormat="1" ht="15" customHeight="1">
      <c r="A93" s="331"/>
      <c r="B93" s="332"/>
      <c r="C93" s="2" t="s">
        <v>87</v>
      </c>
      <c r="D93" s="356"/>
      <c r="E93" s="2" t="s">
        <v>55</v>
      </c>
      <c r="F93" s="354">
        <v>153.69999999999999</v>
      </c>
      <c r="G93" s="354">
        <v>158.28395688321731</v>
      </c>
      <c r="H93" s="55" t="s">
        <v>187</v>
      </c>
      <c r="I93" s="356"/>
    </row>
    <row r="94" spans="1:9" s="55" customFormat="1" ht="15" customHeight="1">
      <c r="A94" s="331"/>
      <c r="B94" s="332"/>
      <c r="C94" s="2" t="s">
        <v>88</v>
      </c>
      <c r="D94" s="356"/>
      <c r="E94" s="2" t="s">
        <v>55</v>
      </c>
      <c r="F94" s="354">
        <v>44.32</v>
      </c>
      <c r="G94" s="354">
        <v>45.641802010827533</v>
      </c>
      <c r="H94" s="55" t="s">
        <v>187</v>
      </c>
      <c r="I94" s="356"/>
    </row>
    <row r="95" spans="1:9" s="55" customFormat="1" ht="15" customHeight="1">
      <c r="A95" s="331"/>
      <c r="B95" s="332"/>
      <c r="C95" s="2" t="s">
        <v>83</v>
      </c>
      <c r="D95" s="356"/>
      <c r="E95" s="2" t="s">
        <v>55</v>
      </c>
      <c r="F95" s="354">
        <v>125</v>
      </c>
      <c r="G95" s="354">
        <v>128.72800657385926</v>
      </c>
      <c r="H95" s="55" t="s">
        <v>187</v>
      </c>
      <c r="I95" s="356"/>
    </row>
    <row r="96" spans="1:9" s="55" customFormat="1" ht="15" customHeight="1">
      <c r="A96" s="331"/>
      <c r="B96" s="332"/>
      <c r="C96" s="2" t="s">
        <v>89</v>
      </c>
      <c r="D96" s="356"/>
      <c r="E96" s="2" t="s">
        <v>55</v>
      </c>
      <c r="F96" s="354">
        <v>150</v>
      </c>
      <c r="G96" s="354">
        <v>154.47360788863111</v>
      </c>
      <c r="H96" s="55" t="s">
        <v>187</v>
      </c>
      <c r="I96" s="356"/>
    </row>
    <row r="97" spans="1:9" s="55" customFormat="1" ht="15" customHeight="1">
      <c r="A97" s="331"/>
      <c r="B97" s="332"/>
      <c r="C97" s="2" t="s">
        <v>93</v>
      </c>
      <c r="D97" s="356"/>
      <c r="E97" s="2" t="s">
        <v>94</v>
      </c>
      <c r="F97" s="354">
        <v>42.82</v>
      </c>
      <c r="G97" s="354">
        <v>44.097065931941223</v>
      </c>
      <c r="H97" s="55" t="s">
        <v>187</v>
      </c>
      <c r="I97" s="356"/>
    </row>
    <row r="98" spans="1:9" s="55" customFormat="1" ht="15" customHeight="1">
      <c r="A98" s="331"/>
      <c r="B98" s="332"/>
      <c r="C98" s="356"/>
      <c r="D98" s="356"/>
      <c r="E98" s="356"/>
      <c r="F98" s="333"/>
      <c r="G98" s="333"/>
    </row>
    <row r="99" spans="1:9" s="55" customFormat="1" ht="15" customHeight="1">
      <c r="A99" s="331"/>
      <c r="B99" s="332"/>
      <c r="C99" s="356"/>
      <c r="D99" s="356"/>
      <c r="E99" s="356"/>
      <c r="F99" s="333"/>
      <c r="G99" s="333"/>
    </row>
  </sheetData>
  <customSheetViews>
    <customSheetView guid="{4C1AD9FE-DB97-4D30-8CF1-D476DD376A5A}" showGridLines="0" state="hidden">
      <pane ySplit="1" topLeftCell="A13" activePane="bottomLeft" state="frozen"/>
      <selection pane="bottomLeft" activeCell="N42" sqref="N42"/>
      <pageMargins left="0.7" right="0.7" top="0.75" bottom="0.75" header="0.3" footer="0.3"/>
      <pageSetup orientation="portrait" r:id="rId1"/>
    </customSheetView>
    <customSheetView guid="{6A16E15D-0E79-4250-8AEC-339F57F63027}" showGridLines="0" state="hidden">
      <pane ySplit="1" topLeftCell="A13" activePane="bottomLeft" state="frozen"/>
      <selection pane="bottomLeft" activeCell="N42" sqref="N42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  <ignoredErrors>
    <ignoredError sqref="B58:B59" numberStoredAsText="1"/>
  </ignoredError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4"/>
  <sheetViews>
    <sheetView topLeftCell="A211" zoomScale="80" zoomScaleNormal="80" workbookViewId="0">
      <selection activeCell="H232" sqref="H232"/>
    </sheetView>
  </sheetViews>
  <sheetFormatPr defaultColWidth="9.140625" defaultRowHeight="15"/>
  <cols>
    <col min="1" max="1" width="5.140625" style="786" customWidth="1"/>
    <col min="2" max="2" width="22.28515625" style="786" customWidth="1"/>
    <col min="3" max="3" width="8.7109375" style="786" customWidth="1"/>
    <col min="4" max="4" width="11.140625" style="786" customWidth="1"/>
    <col min="5" max="5" width="12" style="786" bestFit="1" customWidth="1"/>
    <col min="6" max="6" width="16.85546875" style="1192" customWidth="1"/>
    <col min="7" max="7" width="3.5703125" style="1193" customWidth="1"/>
    <col min="8" max="8" width="20.7109375" style="786" customWidth="1"/>
    <col min="9" max="9" width="10.5703125" style="786" customWidth="1"/>
    <col min="10" max="10" width="13.140625" style="786" customWidth="1"/>
    <col min="11" max="11" width="9.140625" style="786"/>
    <col min="12" max="12" width="14.42578125" style="1192" customWidth="1"/>
    <col min="13" max="13" width="4.42578125" style="786" customWidth="1"/>
    <col min="14" max="14" width="22" style="786" customWidth="1"/>
    <col min="15" max="15" width="10.85546875" style="786" customWidth="1"/>
    <col min="16" max="16" width="12.5703125" style="786" customWidth="1"/>
    <col min="17" max="17" width="10.140625" style="786" customWidth="1"/>
    <col min="18" max="18" width="14.28515625" style="1192" customWidth="1"/>
    <col min="19" max="19" width="14.28515625" style="1193" customWidth="1"/>
    <col min="20" max="20" width="9.140625" style="786"/>
    <col min="21" max="21" width="14.140625" style="786" customWidth="1"/>
    <col min="22" max="22" width="11.42578125" style="786" customWidth="1"/>
    <col min="23" max="23" width="12.7109375" style="786" customWidth="1"/>
    <col min="24" max="24" width="14" style="786" customWidth="1"/>
    <col min="25" max="25" width="15.42578125" style="786" customWidth="1"/>
    <col min="26" max="26" width="9" style="786" customWidth="1"/>
    <col min="27" max="27" width="14.28515625" style="786" customWidth="1"/>
    <col min="28" max="28" width="13.5703125" style="786" customWidth="1"/>
    <col min="29" max="29" width="9.140625" style="786"/>
    <col min="30" max="30" width="10.7109375" style="786" customWidth="1"/>
    <col min="31" max="31" width="10.42578125" style="786" hidden="1" customWidth="1"/>
    <col min="32" max="35" width="0" style="786" hidden="1" customWidth="1"/>
    <col min="36" max="16384" width="9.140625" style="786"/>
  </cols>
  <sheetData>
    <row r="1" spans="1:29" ht="26.25" customHeight="1">
      <c r="I1" s="1194"/>
      <c r="R1" s="3187" t="s">
        <v>728</v>
      </c>
      <c r="S1" s="3187"/>
      <c r="T1" s="3187"/>
      <c r="U1" s="3187"/>
      <c r="V1" s="3187"/>
      <c r="W1" s="3187"/>
    </row>
    <row r="2" spans="1:29" ht="26.25" customHeight="1">
      <c r="I2" s="1194"/>
      <c r="R2" s="3187"/>
      <c r="S2" s="3187"/>
      <c r="T2" s="3187"/>
      <c r="U2" s="3187"/>
      <c r="V2" s="3187"/>
      <c r="W2" s="3187"/>
    </row>
    <row r="3" spans="1:29" ht="15.75" thickBot="1">
      <c r="I3" s="1194"/>
    </row>
    <row r="4" spans="1:29" ht="15" customHeight="1" thickBot="1">
      <c r="A4" s="898"/>
      <c r="B4" s="3145" t="s">
        <v>1027</v>
      </c>
      <c r="C4" s="3146"/>
      <c r="D4" s="3146"/>
      <c r="E4" s="3146"/>
      <c r="F4" s="3147"/>
      <c r="G4" s="786"/>
      <c r="H4" s="3145" t="s">
        <v>1028</v>
      </c>
      <c r="I4" s="3146"/>
      <c r="J4" s="3146"/>
      <c r="K4" s="3146"/>
      <c r="L4" s="3147"/>
      <c r="N4" s="3145" t="s">
        <v>1029</v>
      </c>
      <c r="O4" s="3146"/>
      <c r="P4" s="3146"/>
      <c r="Q4" s="3146"/>
      <c r="R4" s="3147"/>
      <c r="S4" s="1236"/>
      <c r="U4" s="3188" t="s">
        <v>621</v>
      </c>
      <c r="V4" s="3189"/>
      <c r="W4" s="3189"/>
      <c r="X4" s="3189"/>
      <c r="Y4" s="3189"/>
      <c r="Z4" s="3189"/>
      <c r="AA4" s="3189"/>
      <c r="AB4" s="3190"/>
      <c r="AC4" s="1195"/>
    </row>
    <row r="5" spans="1:29" ht="31.5" customHeight="1" thickBot="1">
      <c r="A5" s="898"/>
      <c r="B5" s="832"/>
      <c r="C5" s="1196" t="s">
        <v>311</v>
      </c>
      <c r="D5" s="1197" t="s">
        <v>342</v>
      </c>
      <c r="E5" s="1198" t="s">
        <v>190</v>
      </c>
      <c r="F5" s="1199" t="s">
        <v>343</v>
      </c>
      <c r="G5" s="786"/>
      <c r="H5" s="832"/>
      <c r="I5" s="1196" t="s">
        <v>311</v>
      </c>
      <c r="J5" s="1197" t="s">
        <v>342</v>
      </c>
      <c r="K5" s="1198" t="s">
        <v>190</v>
      </c>
      <c r="L5" s="1199" t="s">
        <v>343</v>
      </c>
      <c r="N5" s="832"/>
      <c r="O5" s="1196" t="s">
        <v>311</v>
      </c>
      <c r="P5" s="1197" t="s">
        <v>342</v>
      </c>
      <c r="Q5" s="1198" t="s">
        <v>190</v>
      </c>
      <c r="R5" s="1199" t="s">
        <v>343</v>
      </c>
      <c r="S5" s="1238"/>
      <c r="U5" s="1200" t="s">
        <v>622</v>
      </c>
      <c r="V5" s="1201"/>
      <c r="W5" s="2776" t="s">
        <v>623</v>
      </c>
      <c r="X5" s="3184" t="s">
        <v>228</v>
      </c>
      <c r="Y5" s="3185"/>
      <c r="Z5" s="3185"/>
      <c r="AA5" s="3185"/>
      <c r="AB5" s="3186"/>
    </row>
    <row r="6" spans="1:29">
      <c r="A6" s="898"/>
      <c r="B6" s="15" t="s">
        <v>191</v>
      </c>
      <c r="C6" s="16"/>
      <c r="D6" s="871">
        <f>W6</f>
        <v>55383.32303680529</v>
      </c>
      <c r="E6" s="1202">
        <f>V27</f>
        <v>0.08</v>
      </c>
      <c r="F6" s="1203">
        <f>D6*E6</f>
        <v>4430.6658429444233</v>
      </c>
      <c r="G6" s="786"/>
      <c r="H6" s="15" t="s">
        <v>191</v>
      </c>
      <c r="I6" s="16"/>
      <c r="J6" s="871">
        <f>W6</f>
        <v>55383.32303680529</v>
      </c>
      <c r="K6" s="1202">
        <f>V28</f>
        <v>0.16</v>
      </c>
      <c r="L6" s="1203">
        <f>J6*K6</f>
        <v>8861.3316858888466</v>
      </c>
      <c r="N6" s="15" t="s">
        <v>191</v>
      </c>
      <c r="O6" s="16"/>
      <c r="P6" s="871">
        <f>W6</f>
        <v>55383.32303680529</v>
      </c>
      <c r="Q6" s="1202">
        <f>V29</f>
        <v>0.24</v>
      </c>
      <c r="R6" s="1203">
        <f>Q6*P6</f>
        <v>13291.99752883327</v>
      </c>
      <c r="S6" s="1227"/>
      <c r="U6" s="2777" t="s">
        <v>191</v>
      </c>
      <c r="V6" s="2778"/>
      <c r="W6" s="2779">
        <v>55383.32303680529</v>
      </c>
      <c r="X6" s="2780" t="s">
        <v>861</v>
      </c>
      <c r="Y6" s="2781"/>
      <c r="Z6" s="2781"/>
      <c r="AA6" s="2781"/>
      <c r="AB6" s="2782"/>
    </row>
    <row r="7" spans="1:29">
      <c r="A7" s="898"/>
      <c r="B7" s="18" t="s">
        <v>466</v>
      </c>
      <c r="C7" s="749"/>
      <c r="D7" s="871">
        <f>W7</f>
        <v>43803</v>
      </c>
      <c r="E7" s="1204">
        <f>U27</f>
        <v>0.5</v>
      </c>
      <c r="F7" s="1203">
        <f>E7*D7</f>
        <v>21901.5</v>
      </c>
      <c r="G7" s="786"/>
      <c r="H7" s="18" t="s">
        <v>466</v>
      </c>
      <c r="I7" s="749"/>
      <c r="J7" s="871">
        <f>W7</f>
        <v>43803</v>
      </c>
      <c r="K7" s="1204">
        <f>U28</f>
        <v>1</v>
      </c>
      <c r="L7" s="1203">
        <f t="shared" ref="L7" si="0">J7*K7</f>
        <v>43803</v>
      </c>
      <c r="N7" s="18" t="s">
        <v>466</v>
      </c>
      <c r="O7" s="749"/>
      <c r="P7" s="871">
        <f>W7</f>
        <v>43803</v>
      </c>
      <c r="Q7" s="1204">
        <f>U29</f>
        <v>1.5</v>
      </c>
      <c r="R7" s="1203">
        <f t="shared" ref="R7" si="1">Q7*P7</f>
        <v>65704.5</v>
      </c>
      <c r="S7" s="1227"/>
      <c r="U7" s="2764" t="s">
        <v>466</v>
      </c>
      <c r="V7" s="2765"/>
      <c r="W7" s="2999">
        <v>43803</v>
      </c>
      <c r="X7" s="2772" t="s">
        <v>1172</v>
      </c>
      <c r="Y7" s="2773"/>
      <c r="Z7" s="2773"/>
      <c r="AA7" s="2773"/>
      <c r="AB7" s="2774"/>
    </row>
    <row r="8" spans="1:29" ht="15.75" thickBot="1">
      <c r="A8" s="898"/>
      <c r="B8" s="18"/>
      <c r="C8" s="749"/>
      <c r="D8" s="871"/>
      <c r="E8" s="1204"/>
      <c r="F8" s="1203"/>
      <c r="G8" s="786"/>
      <c r="H8" s="18"/>
      <c r="I8" s="749"/>
      <c r="J8" s="871"/>
      <c r="K8" s="1204"/>
      <c r="L8" s="1203"/>
      <c r="N8" s="18"/>
      <c r="O8" s="749"/>
      <c r="P8" s="871"/>
      <c r="Q8" s="1204"/>
      <c r="R8" s="1203"/>
      <c r="S8" s="1227"/>
      <c r="T8" s="1225"/>
      <c r="U8" s="1765"/>
      <c r="V8" s="1767"/>
      <c r="W8" s="2783"/>
      <c r="X8" s="1767"/>
      <c r="Y8" s="1767"/>
      <c r="Z8" s="1767"/>
      <c r="AA8" s="1767"/>
      <c r="AB8" s="2784"/>
    </row>
    <row r="9" spans="1:29" ht="15" customHeight="1">
      <c r="A9" s="898"/>
      <c r="B9" s="868" t="s">
        <v>217</v>
      </c>
      <c r="C9" s="867"/>
      <c r="D9" s="866">
        <f>SUM(D6:D7)</f>
        <v>99186.32303680529</v>
      </c>
      <c r="E9" s="1206">
        <f>SUM(E6:E8)</f>
        <v>0.57999999999999996</v>
      </c>
      <c r="F9" s="1207">
        <f>SUM(F6:F7)</f>
        <v>26332.165842944421</v>
      </c>
      <c r="G9" s="786"/>
      <c r="H9" s="868" t="s">
        <v>217</v>
      </c>
      <c r="I9" s="867"/>
      <c r="J9" s="866"/>
      <c r="K9" s="1206">
        <f>SUM(K6:K8)</f>
        <v>1.1599999999999999</v>
      </c>
      <c r="L9" s="1207">
        <f>SUM(L6:L7)</f>
        <v>52664.331685888843</v>
      </c>
      <c r="N9" s="868" t="s">
        <v>217</v>
      </c>
      <c r="O9" s="867"/>
      <c r="P9" s="866"/>
      <c r="Q9" s="1206">
        <f>SUM(Q6:Q8)</f>
        <v>1.74</v>
      </c>
      <c r="R9" s="1207">
        <f>SUM(R6:R7)</f>
        <v>78996.497528833264</v>
      </c>
      <c r="S9" s="1232"/>
      <c r="U9" s="2761"/>
      <c r="V9" s="2762"/>
      <c r="W9" s="2763"/>
      <c r="X9" s="2766"/>
      <c r="Y9" s="2767"/>
      <c r="Z9" s="2767"/>
      <c r="AA9" s="2767"/>
      <c r="AB9" s="2768"/>
    </row>
    <row r="10" spans="1:29">
      <c r="A10" s="898"/>
      <c r="B10" s="863"/>
      <c r="C10" s="862"/>
      <c r="D10" s="861"/>
      <c r="E10" s="1208"/>
      <c r="F10" s="1209"/>
      <c r="G10" s="786"/>
      <c r="H10" s="863"/>
      <c r="I10" s="862"/>
      <c r="J10" s="861"/>
      <c r="K10" s="860"/>
      <c r="L10" s="1209"/>
      <c r="N10" s="863"/>
      <c r="O10" s="862"/>
      <c r="P10" s="861"/>
      <c r="Q10" s="1208"/>
      <c r="R10" s="1209"/>
      <c r="S10" s="1232"/>
      <c r="U10" s="2761" t="s">
        <v>313</v>
      </c>
      <c r="V10" s="2762"/>
      <c r="W10" s="2763">
        <v>5155.4902174195804</v>
      </c>
      <c r="X10" s="3170" t="s">
        <v>832</v>
      </c>
      <c r="Y10" s="3171"/>
      <c r="Z10" s="3171"/>
      <c r="AA10" s="3171"/>
      <c r="AB10" s="3172"/>
    </row>
    <row r="11" spans="1:29" ht="16.5" customHeight="1">
      <c r="A11" s="898"/>
      <c r="B11" s="832" t="s">
        <v>195</v>
      </c>
      <c r="C11" s="859"/>
      <c r="D11" s="830"/>
      <c r="E11" s="858"/>
      <c r="F11" s="1210"/>
      <c r="G11" s="786"/>
      <c r="H11" s="832" t="s">
        <v>195</v>
      </c>
      <c r="I11" s="859"/>
      <c r="J11" s="830"/>
      <c r="K11" s="858"/>
      <c r="L11" s="1210"/>
      <c r="N11" s="832" t="s">
        <v>195</v>
      </c>
      <c r="O11" s="859"/>
      <c r="P11" s="830"/>
      <c r="Q11" s="858"/>
      <c r="R11" s="1210"/>
      <c r="S11" s="1235"/>
      <c r="U11" s="2761" t="s">
        <v>673</v>
      </c>
      <c r="V11" s="2762"/>
      <c r="W11" s="2763">
        <v>178.16741415351552</v>
      </c>
      <c r="X11" s="3170" t="s">
        <v>832</v>
      </c>
      <c r="Y11" s="3171"/>
      <c r="Z11" s="3171"/>
      <c r="AA11" s="3171"/>
      <c r="AB11" s="3172"/>
    </row>
    <row r="12" spans="1:29">
      <c r="A12" s="898"/>
      <c r="B12" s="822" t="s">
        <v>196</v>
      </c>
      <c r="C12" s="855">
        <v>0.22</v>
      </c>
      <c r="D12" s="1211"/>
      <c r="E12" s="853"/>
      <c r="F12" s="1212">
        <f>C12*F9</f>
        <v>5793.0764854477729</v>
      </c>
      <c r="G12" s="786"/>
      <c r="H12" s="822" t="s">
        <v>196</v>
      </c>
      <c r="I12" s="855">
        <f>W17</f>
        <v>0.22</v>
      </c>
      <c r="J12" s="1211"/>
      <c r="K12" s="853"/>
      <c r="L12" s="1213">
        <f>I12*L9</f>
        <v>11586.152970895546</v>
      </c>
      <c r="N12" s="822" t="s">
        <v>196</v>
      </c>
      <c r="O12" s="855">
        <f>W17</f>
        <v>0.22</v>
      </c>
      <c r="P12" s="1211"/>
      <c r="Q12" s="853"/>
      <c r="R12" s="1213">
        <f>O12*R9</f>
        <v>17379.229456343317</v>
      </c>
      <c r="S12" s="1239"/>
      <c r="U12" s="2761" t="s">
        <v>674</v>
      </c>
      <c r="V12" s="2762"/>
      <c r="W12" s="2763">
        <v>1410.7821990248415</v>
      </c>
      <c r="X12" s="3170" t="s">
        <v>832</v>
      </c>
      <c r="Y12" s="3171"/>
      <c r="Z12" s="3171"/>
      <c r="AA12" s="3171"/>
      <c r="AB12" s="3172"/>
    </row>
    <row r="13" spans="1:29">
      <c r="A13" s="898"/>
      <c r="B13" s="787" t="s">
        <v>198</v>
      </c>
      <c r="C13" s="848"/>
      <c r="D13" s="847"/>
      <c r="E13" s="846"/>
      <c r="F13" s="1214">
        <f>F12+F9</f>
        <v>32125.242328392196</v>
      </c>
      <c r="G13" s="786"/>
      <c r="H13" s="787" t="s">
        <v>198</v>
      </c>
      <c r="I13" s="848"/>
      <c r="J13" s="847"/>
      <c r="K13" s="846"/>
      <c r="L13" s="1214">
        <f>L9+L12</f>
        <v>64250.484656784392</v>
      </c>
      <c r="N13" s="787" t="s">
        <v>198</v>
      </c>
      <c r="O13" s="848"/>
      <c r="P13" s="847"/>
      <c r="Q13" s="846"/>
      <c r="R13" s="1214">
        <f>R12+R9</f>
        <v>96375.726985176589</v>
      </c>
      <c r="S13" s="1235"/>
      <c r="U13" s="2761" t="s">
        <v>685</v>
      </c>
      <c r="V13" s="2762"/>
      <c r="W13" s="2763">
        <v>799.70498223424943</v>
      </c>
      <c r="X13" s="3170" t="s">
        <v>832</v>
      </c>
      <c r="Y13" s="3171"/>
      <c r="Z13" s="3171"/>
      <c r="AA13" s="3171"/>
      <c r="AB13" s="3172"/>
    </row>
    <row r="14" spans="1:29">
      <c r="A14" s="898"/>
      <c r="B14" s="29" t="s">
        <v>313</v>
      </c>
      <c r="C14" s="30"/>
      <c r="D14" s="16">
        <f>W10</f>
        <v>5155.4902174195804</v>
      </c>
      <c r="E14" s="841"/>
      <c r="F14" s="1203">
        <f>D14*E7*W27</f>
        <v>6444.3627717744757</v>
      </c>
      <c r="G14" s="786"/>
      <c r="H14" s="29" t="s">
        <v>313</v>
      </c>
      <c r="I14" s="30"/>
      <c r="J14" s="16">
        <f>W10</f>
        <v>5155.4902174195804</v>
      </c>
      <c r="K14" s="841"/>
      <c r="L14" s="1203">
        <f>J14*K7*W28</f>
        <v>12888.725543548951</v>
      </c>
      <c r="N14" s="29" t="s">
        <v>313</v>
      </c>
      <c r="O14" s="30"/>
      <c r="P14" s="16">
        <f>W10</f>
        <v>5155.4902174195804</v>
      </c>
      <c r="Q14" s="841"/>
      <c r="R14" s="1203">
        <f>P14*Q7*W29</f>
        <v>19333.088315323424</v>
      </c>
      <c r="S14" s="1227"/>
      <c r="U14" s="2761" t="s">
        <v>686</v>
      </c>
      <c r="V14" s="2762"/>
      <c r="W14" s="2763">
        <v>1572.2963237683009</v>
      </c>
      <c r="X14" s="3170" t="s">
        <v>832</v>
      </c>
      <c r="Y14" s="3171"/>
      <c r="Z14" s="3171"/>
      <c r="AA14" s="3171"/>
      <c r="AB14" s="3172"/>
    </row>
    <row r="15" spans="1:29">
      <c r="A15" s="898"/>
      <c r="B15" s="835" t="s">
        <v>673</v>
      </c>
      <c r="C15" s="821"/>
      <c r="D15" s="16">
        <f t="shared" ref="D15:D18" si="2">W11</f>
        <v>178.16741415351552</v>
      </c>
      <c r="E15" s="838"/>
      <c r="F15" s="1203">
        <f>D15*E7*W27</f>
        <v>222.70926769189441</v>
      </c>
      <c r="G15" s="786"/>
      <c r="H15" s="835" t="s">
        <v>673</v>
      </c>
      <c r="I15" s="821"/>
      <c r="J15" s="16">
        <f t="shared" ref="J15:J18" si="3">W11</f>
        <v>178.16741415351552</v>
      </c>
      <c r="K15" s="838"/>
      <c r="L15" s="1203">
        <f>J15*K7*W28</f>
        <v>445.41853538378882</v>
      </c>
      <c r="N15" s="835" t="s">
        <v>673</v>
      </c>
      <c r="O15" s="821"/>
      <c r="P15" s="16">
        <f t="shared" ref="P15:P18" si="4">W11</f>
        <v>178.16741415351552</v>
      </c>
      <c r="Q15" s="838"/>
      <c r="R15" s="1203">
        <f>P15*Q7*W29</f>
        <v>668.12780307568323</v>
      </c>
      <c r="S15" s="1227"/>
      <c r="U15" s="3000" t="s">
        <v>1173</v>
      </c>
      <c r="V15" s="3001"/>
      <c r="W15" s="3002">
        <v>1000</v>
      </c>
      <c r="X15" s="3240" t="s">
        <v>238</v>
      </c>
      <c r="Y15" s="3241"/>
      <c r="Z15" s="3241"/>
      <c r="AA15" s="3241"/>
      <c r="AB15" s="3242"/>
    </row>
    <row r="16" spans="1:29" ht="15.75" thickBot="1">
      <c r="A16" s="898"/>
      <c r="B16" s="822" t="s">
        <v>674</v>
      </c>
      <c r="C16" s="821"/>
      <c r="D16" s="16">
        <f t="shared" si="2"/>
        <v>1410.7821990248415</v>
      </c>
      <c r="E16" s="838"/>
      <c r="F16" s="1203">
        <f>D16*E7*W27</f>
        <v>1763.4777487810518</v>
      </c>
      <c r="G16" s="786"/>
      <c r="H16" s="822" t="s">
        <v>674</v>
      </c>
      <c r="I16" s="821"/>
      <c r="J16" s="16">
        <f t="shared" si="3"/>
        <v>1410.7821990248415</v>
      </c>
      <c r="K16" s="838"/>
      <c r="L16" s="1203">
        <f>J16*K7*W28</f>
        <v>3526.9554975621036</v>
      </c>
      <c r="N16" s="822" t="s">
        <v>674</v>
      </c>
      <c r="O16" s="821"/>
      <c r="P16" s="16">
        <f t="shared" si="4"/>
        <v>1410.7821990248415</v>
      </c>
      <c r="Q16" s="838"/>
      <c r="R16" s="1203">
        <f>P16*Q7*W29</f>
        <v>5290.4332463431556</v>
      </c>
      <c r="S16" s="1227"/>
      <c r="U16" s="2785"/>
      <c r="V16" s="2786"/>
      <c r="W16" s="2787"/>
      <c r="X16" s="2766"/>
      <c r="Y16" s="2767"/>
      <c r="Z16" s="2767"/>
      <c r="AA16" s="2767"/>
      <c r="AB16" s="2768"/>
    </row>
    <row r="17" spans="1:41">
      <c r="A17" s="898"/>
      <c r="B17" s="822" t="s">
        <v>685</v>
      </c>
      <c r="C17" s="821"/>
      <c r="D17" s="16">
        <f t="shared" si="2"/>
        <v>799.70498223424943</v>
      </c>
      <c r="E17" s="838"/>
      <c r="F17" s="1203">
        <f>D17*E7*W27</f>
        <v>999.63122779281184</v>
      </c>
      <c r="G17" s="786"/>
      <c r="H17" s="822" t="s">
        <v>685</v>
      </c>
      <c r="I17" s="821"/>
      <c r="J17" s="16">
        <f t="shared" si="3"/>
        <v>799.70498223424943</v>
      </c>
      <c r="K17" s="838"/>
      <c r="L17" s="1203">
        <f>J17*K7*W28</f>
        <v>1999.2624555856237</v>
      </c>
      <c r="N17" s="822" t="s">
        <v>685</v>
      </c>
      <c r="O17" s="821"/>
      <c r="P17" s="16">
        <f t="shared" si="4"/>
        <v>799.70498223424943</v>
      </c>
      <c r="Q17" s="838"/>
      <c r="R17" s="1203">
        <f>P17*Q7*W29</f>
        <v>2998.8936833784351</v>
      </c>
      <c r="S17" s="1227"/>
      <c r="U17" s="2791" t="s">
        <v>196</v>
      </c>
      <c r="V17" s="2792"/>
      <c r="W17" s="2793">
        <v>0.22</v>
      </c>
      <c r="X17" s="2802" t="s">
        <v>546</v>
      </c>
      <c r="Y17" s="2794"/>
      <c r="Z17" s="2794"/>
      <c r="AA17" s="2794"/>
      <c r="AB17" s="2795"/>
    </row>
    <row r="18" spans="1:41">
      <c r="A18" s="1218"/>
      <c r="B18" s="835" t="s">
        <v>686</v>
      </c>
      <c r="C18" s="386"/>
      <c r="D18" s="16">
        <f t="shared" si="2"/>
        <v>1572.2963237683009</v>
      </c>
      <c r="E18" s="833"/>
      <c r="F18" s="1203">
        <f>D18*E7*W27</f>
        <v>1965.3704047103761</v>
      </c>
      <c r="G18" s="786"/>
      <c r="H18" s="835" t="s">
        <v>686</v>
      </c>
      <c r="I18" s="386"/>
      <c r="J18" s="16">
        <f t="shared" si="3"/>
        <v>1572.2963237683009</v>
      </c>
      <c r="K18" s="833"/>
      <c r="L18" s="1203">
        <f>J18*K7*W28</f>
        <v>3930.7408094207522</v>
      </c>
      <c r="N18" s="835" t="s">
        <v>686</v>
      </c>
      <c r="O18" s="386"/>
      <c r="P18" s="16">
        <f t="shared" si="4"/>
        <v>1572.2963237683009</v>
      </c>
      <c r="Q18" s="833"/>
      <c r="R18" s="1203">
        <f>P18*Q7*W29</f>
        <v>5896.1112141311287</v>
      </c>
      <c r="S18" s="1227"/>
      <c r="U18" s="2769" t="s">
        <v>315</v>
      </c>
      <c r="V18" s="2770"/>
      <c r="W18" s="2788">
        <v>0.11</v>
      </c>
      <c r="X18" s="2803" t="s">
        <v>546</v>
      </c>
      <c r="Y18" s="2789"/>
      <c r="Z18" s="2789"/>
      <c r="AA18" s="2789"/>
      <c r="AB18" s="2796"/>
    </row>
    <row r="19" spans="1:41" ht="15.75" customHeight="1">
      <c r="A19" s="898"/>
      <c r="B19" s="3003" t="str">
        <f>$U$15</f>
        <v>Flex Funding Administration</v>
      </c>
      <c r="C19" s="826"/>
      <c r="D19" s="3004">
        <f>$W$15</f>
        <v>1000</v>
      </c>
      <c r="E19" s="3005"/>
      <c r="F19" s="3006">
        <f>D19*E7</f>
        <v>500</v>
      </c>
      <c r="G19" s="786"/>
      <c r="H19" s="3003" t="str">
        <f>$U$15</f>
        <v>Flex Funding Administration</v>
      </c>
      <c r="I19" s="826"/>
      <c r="J19" s="3004">
        <f>$W$15</f>
        <v>1000</v>
      </c>
      <c r="K19" s="3005"/>
      <c r="L19" s="3006">
        <f>J19*K7</f>
        <v>1000</v>
      </c>
      <c r="N19" s="3003" t="str">
        <f>$U$15</f>
        <v>Flex Funding Administration</v>
      </c>
      <c r="O19" s="826"/>
      <c r="P19" s="3004">
        <f>$W$15</f>
        <v>1000</v>
      </c>
      <c r="Q19" s="3005"/>
      <c r="R19" s="3006">
        <f>P19*Q7</f>
        <v>1500</v>
      </c>
      <c r="S19" s="1232"/>
      <c r="U19" s="2771" t="s">
        <v>653</v>
      </c>
      <c r="V19" s="2790"/>
      <c r="W19" s="2805">
        <v>6.3E-3</v>
      </c>
      <c r="X19" s="2806" t="s">
        <v>860</v>
      </c>
      <c r="Y19" s="2789"/>
      <c r="Z19" s="2789"/>
      <c r="AA19" s="2789"/>
      <c r="AB19" s="2796"/>
    </row>
    <row r="20" spans="1:41" ht="15.75" thickBot="1">
      <c r="A20" s="898"/>
      <c r="B20" s="816" t="s">
        <v>203</v>
      </c>
      <c r="C20" s="815"/>
      <c r="D20" s="814"/>
      <c r="E20" s="813"/>
      <c r="F20" s="1220">
        <f>SUM(F13:F19)</f>
        <v>44020.793749142795</v>
      </c>
      <c r="G20" s="1221"/>
      <c r="H20" s="816" t="s">
        <v>203</v>
      </c>
      <c r="I20" s="815"/>
      <c r="J20" s="814"/>
      <c r="K20" s="813"/>
      <c r="L20" s="1220">
        <f>SUM(L13:L19)</f>
        <v>88041.587498285589</v>
      </c>
      <c r="N20" s="816" t="s">
        <v>203</v>
      </c>
      <c r="O20" s="815"/>
      <c r="P20" s="814"/>
      <c r="Q20" s="813"/>
      <c r="R20" s="1220">
        <f>SUM(R13:R19)</f>
        <v>132062.38124742842</v>
      </c>
      <c r="S20" s="1235"/>
      <c r="U20" s="2807"/>
      <c r="V20" s="2808"/>
      <c r="W20" s="2809"/>
      <c r="X20" s="2810"/>
      <c r="Y20" s="2789"/>
      <c r="Z20" s="2789"/>
      <c r="AA20" s="2789"/>
      <c r="AB20" s="2796"/>
    </row>
    <row r="21" spans="1:41" ht="16.5" thickTop="1" thickBot="1">
      <c r="A21" s="898"/>
      <c r="B21" s="2769" t="s">
        <v>315</v>
      </c>
      <c r="C21" s="890">
        <f>W18</f>
        <v>0.11</v>
      </c>
      <c r="D21" s="830"/>
      <c r="E21" s="829"/>
      <c r="F21" s="1210">
        <f>C21*F20</f>
        <v>4842.2873124057078</v>
      </c>
      <c r="G21" s="1221"/>
      <c r="H21" s="2769" t="s">
        <v>315</v>
      </c>
      <c r="I21" s="890">
        <f>W18</f>
        <v>0.11</v>
      </c>
      <c r="J21" s="830"/>
      <c r="K21" s="829"/>
      <c r="L21" s="1210">
        <f>I21*L20</f>
        <v>9684.5746248114156</v>
      </c>
      <c r="N21" s="2769" t="s">
        <v>315</v>
      </c>
      <c r="O21" s="890">
        <f>W18</f>
        <v>0.11</v>
      </c>
      <c r="P21" s="830"/>
      <c r="Q21" s="829"/>
      <c r="R21" s="1210">
        <f>O21*R20</f>
        <v>14526.861937217127</v>
      </c>
      <c r="S21" s="1235"/>
      <c r="U21" s="2797" t="s">
        <v>651</v>
      </c>
      <c r="V21" s="2798"/>
      <c r="W21" s="2799">
        <f>'[6]Spring 2019 CAF'!BU25</f>
        <v>1.8120393120392975E-2</v>
      </c>
      <c r="X21" s="2804" t="s">
        <v>652</v>
      </c>
      <c r="Y21" s="2800"/>
      <c r="Z21" s="2800"/>
      <c r="AA21" s="2800"/>
      <c r="AB21" s="2801"/>
    </row>
    <row r="22" spans="1:41" ht="15.75" customHeight="1">
      <c r="A22" s="898"/>
      <c r="B22" s="2771" t="s">
        <v>653</v>
      </c>
      <c r="C22" s="2811">
        <f>W19</f>
        <v>6.3E-3</v>
      </c>
      <c r="D22" s="830"/>
      <c r="E22" s="829"/>
      <c r="F22" s="1210">
        <f>C22*F9</f>
        <v>165.89264481054985</v>
      </c>
      <c r="G22" s="1221"/>
      <c r="H22" s="2771" t="s">
        <v>653</v>
      </c>
      <c r="I22" s="2811">
        <f>W19</f>
        <v>6.3E-3</v>
      </c>
      <c r="J22" s="830"/>
      <c r="K22" s="829"/>
      <c r="L22" s="1210">
        <f>I22*L9</f>
        <v>331.78528962109971</v>
      </c>
      <c r="N22" s="2771" t="s">
        <v>653</v>
      </c>
      <c r="O22" s="2811">
        <f>W19</f>
        <v>6.3E-3</v>
      </c>
      <c r="P22" s="830"/>
      <c r="Q22" s="829"/>
      <c r="R22" s="1210">
        <f>O22*R9</f>
        <v>497.67793443164959</v>
      </c>
      <c r="S22" s="1235"/>
      <c r="W22" s="1215"/>
    </row>
    <row r="23" spans="1:41" ht="15.75" thickBot="1">
      <c r="A23" s="898"/>
      <c r="B23" s="2807"/>
      <c r="C23" s="2812"/>
      <c r="D23" s="830"/>
      <c r="E23" s="829"/>
      <c r="F23" s="2824">
        <f>C23*(F14+F15+F16+F17+F18)</f>
        <v>0</v>
      </c>
      <c r="G23" s="1221"/>
      <c r="H23" s="2807"/>
      <c r="I23" s="2812"/>
      <c r="J23" s="830"/>
      <c r="K23" s="829"/>
      <c r="L23" s="2824">
        <f>I23*(L14+L15+L16+L17+L18)</f>
        <v>0</v>
      </c>
      <c r="N23" s="2807"/>
      <c r="O23" s="2812"/>
      <c r="P23" s="830"/>
      <c r="Q23" s="829"/>
      <c r="R23" s="2824">
        <f>O23*(R14+R15+R16+R17+R18)</f>
        <v>0</v>
      </c>
      <c r="S23" s="2822"/>
    </row>
    <row r="24" spans="1:41" ht="15" customHeight="1" thickBot="1">
      <c r="A24" s="898"/>
      <c r="B24" s="2807"/>
      <c r="C24" s="2812"/>
      <c r="D24" s="830"/>
      <c r="E24" s="829"/>
      <c r="F24" s="2813">
        <f>SUM(F20:F23)</f>
        <v>49028.973706359051</v>
      </c>
      <c r="G24" s="1221"/>
      <c r="H24" s="2807"/>
      <c r="I24" s="2812"/>
      <c r="J24" s="830"/>
      <c r="K24" s="829"/>
      <c r="L24" s="2813">
        <f>SUM(L20:L23)</f>
        <v>98057.947412718102</v>
      </c>
      <c r="N24" s="2807"/>
      <c r="O24" s="2812"/>
      <c r="P24" s="830"/>
      <c r="Q24" s="829"/>
      <c r="R24" s="2813">
        <f>SUM(R20:R23)</f>
        <v>147086.92111907719</v>
      </c>
      <c r="S24" s="2822"/>
      <c r="T24" s="3235" t="s">
        <v>1174</v>
      </c>
      <c r="U24" s="3167" t="s">
        <v>625</v>
      </c>
      <c r="V24" s="3168"/>
      <c r="W24" s="3169"/>
      <c r="X24" s="3176" t="s">
        <v>626</v>
      </c>
      <c r="Y24" s="3177"/>
      <c r="Z24" s="3237" t="s">
        <v>890</v>
      </c>
    </row>
    <row r="25" spans="1:41" ht="15" customHeight="1">
      <c r="A25" s="898"/>
      <c r="B25" s="832" t="s">
        <v>205</v>
      </c>
      <c r="C25" s="890">
        <f>W21</f>
        <v>1.8120393120392975E-2</v>
      </c>
      <c r="D25" s="830"/>
      <c r="E25" s="829"/>
      <c r="F25" s="2813">
        <f>F24*C25</f>
        <v>888.42427784863662</v>
      </c>
      <c r="G25" s="1221"/>
      <c r="H25" s="832" t="s">
        <v>205</v>
      </c>
      <c r="I25" s="890">
        <f>W21</f>
        <v>1.8120393120392975E-2</v>
      </c>
      <c r="J25" s="830"/>
      <c r="K25" s="829"/>
      <c r="L25" s="2813">
        <f>I25*L24</f>
        <v>1776.8485556972732</v>
      </c>
      <c r="N25" s="832" t="s">
        <v>205</v>
      </c>
      <c r="O25" s="890">
        <f>W21</f>
        <v>1.8120393120392975E-2</v>
      </c>
      <c r="P25" s="830"/>
      <c r="Q25" s="829"/>
      <c r="R25" s="2813">
        <f>R24*O25</f>
        <v>2665.2728335459105</v>
      </c>
      <c r="S25" s="2822"/>
      <c r="T25" s="3234"/>
      <c r="U25" s="3180" t="s">
        <v>466</v>
      </c>
      <c r="V25" s="3178" t="s">
        <v>1025</v>
      </c>
      <c r="W25" s="3173" t="s">
        <v>1175</v>
      </c>
      <c r="X25" s="3178" t="s">
        <v>712</v>
      </c>
      <c r="Y25" s="3178" t="s">
        <v>1051</v>
      </c>
      <c r="Z25" s="3238"/>
      <c r="AO25" s="2827"/>
    </row>
    <row r="26" spans="1:41" ht="18" customHeight="1" thickBot="1">
      <c r="A26" s="898"/>
      <c r="B26" s="29"/>
      <c r="C26" s="30"/>
      <c r="D26" s="830"/>
      <c r="E26" s="829"/>
      <c r="F26" s="1220">
        <f>SUM(F24:F25)</f>
        <v>49917.397984207688</v>
      </c>
      <c r="G26" s="1221"/>
      <c r="H26" s="29"/>
      <c r="I26" s="30"/>
      <c r="J26" s="830"/>
      <c r="K26" s="829"/>
      <c r="L26" s="1220">
        <f>SUM(L24:L25)</f>
        <v>99834.795968415376</v>
      </c>
      <c r="N26" s="29"/>
      <c r="O26" s="30"/>
      <c r="P26" s="830"/>
      <c r="Q26" s="829"/>
      <c r="R26" s="1220">
        <f>SUM(R24:R25)</f>
        <v>149752.19395262311</v>
      </c>
      <c r="S26" s="1235"/>
      <c r="T26" s="3236"/>
      <c r="U26" s="3181"/>
      <c r="V26" s="3182"/>
      <c r="W26" s="3174"/>
      <c r="X26" s="3179"/>
      <c r="Y26" s="3179"/>
      <c r="Z26" s="3239"/>
    </row>
    <row r="27" spans="1:41" ht="20.25" customHeight="1" thickTop="1" thickBot="1">
      <c r="A27" s="898"/>
      <c r="B27" s="832"/>
      <c r="C27" s="890"/>
      <c r="D27" s="830"/>
      <c r="E27" s="829"/>
      <c r="F27" s="1203"/>
      <c r="G27" s="1221"/>
      <c r="H27" s="832"/>
      <c r="I27" s="890"/>
      <c r="J27" s="830"/>
      <c r="K27" s="829"/>
      <c r="L27" s="2825"/>
      <c r="N27" s="832"/>
      <c r="O27" s="890"/>
      <c r="P27" s="830"/>
      <c r="Q27" s="829"/>
      <c r="R27" s="2825"/>
      <c r="S27" s="1235"/>
      <c r="T27" s="3235" t="s">
        <v>1176</v>
      </c>
      <c r="U27" s="2844">
        <v>0.5</v>
      </c>
      <c r="V27" s="2845">
        <v>0.08</v>
      </c>
      <c r="W27" s="3007">
        <v>2.5</v>
      </c>
      <c r="X27" s="2860">
        <f>F29</f>
        <v>0</v>
      </c>
      <c r="Y27" s="2863">
        <f>F28</f>
        <v>4159.783165350641</v>
      </c>
      <c r="Z27" s="3008">
        <f>F30</f>
        <v>0</v>
      </c>
    </row>
    <row r="28" spans="1:41" ht="15" customHeight="1" thickTop="1" thickBot="1">
      <c r="A28" s="898"/>
      <c r="B28" s="798" t="s">
        <v>318</v>
      </c>
      <c r="C28" s="811"/>
      <c r="D28" s="811"/>
      <c r="E28" s="811"/>
      <c r="F28" s="2829">
        <f>F26/12</f>
        <v>4159.783165350641</v>
      </c>
      <c r="G28" s="1221"/>
      <c r="H28" s="798" t="s">
        <v>318</v>
      </c>
      <c r="I28" s="811"/>
      <c r="J28" s="811"/>
      <c r="K28" s="811"/>
      <c r="L28" s="1266">
        <f>L26/12</f>
        <v>8319.5663307012819</v>
      </c>
      <c r="N28" s="798" t="s">
        <v>318</v>
      </c>
      <c r="O28" s="811"/>
      <c r="P28" s="811"/>
      <c r="Q28" s="811"/>
      <c r="R28" s="1266">
        <f>R26/12</f>
        <v>12479.349496051926</v>
      </c>
      <c r="S28" s="3009"/>
      <c r="T28" s="3234"/>
      <c r="U28" s="2847">
        <f t="shared" ref="U28:U50" si="5">U27+0.5</f>
        <v>1</v>
      </c>
      <c r="V28" s="1223">
        <v>0.16</v>
      </c>
      <c r="W28" s="3010">
        <v>2.5</v>
      </c>
      <c r="X28" s="2861">
        <f>L29</f>
        <v>0</v>
      </c>
      <c r="Y28" s="2864">
        <f>L28</f>
        <v>8319.5663307012819</v>
      </c>
      <c r="Z28" s="3008">
        <f>L30</f>
        <v>0</v>
      </c>
    </row>
    <row r="29" spans="1:41">
      <c r="B29" s="1225"/>
      <c r="C29" s="1225"/>
      <c r="D29" s="1225"/>
      <c r="E29" s="1225"/>
      <c r="F29" s="2828"/>
      <c r="G29" s="1227"/>
      <c r="H29" s="1225"/>
      <c r="R29" s="786"/>
      <c r="S29" s="1225"/>
      <c r="T29" s="3234"/>
      <c r="U29" s="2849">
        <f t="shared" si="5"/>
        <v>1.5</v>
      </c>
      <c r="V29" s="1223">
        <v>0.24</v>
      </c>
      <c r="W29" s="3010">
        <v>2.5</v>
      </c>
      <c r="X29" s="2861">
        <f>R29</f>
        <v>0</v>
      </c>
      <c r="Y29" s="2864">
        <f>R28</f>
        <v>12479.349496051926</v>
      </c>
      <c r="Z29" s="3008">
        <f>R30</f>
        <v>0</v>
      </c>
    </row>
    <row r="30" spans="1:41" ht="15" customHeight="1" thickBot="1">
      <c r="B30" s="1225"/>
      <c r="C30" s="1225"/>
      <c r="D30" s="1225"/>
      <c r="E30" s="1225"/>
      <c r="F30" s="2823"/>
      <c r="G30" s="2823"/>
      <c r="H30" s="2823"/>
      <c r="I30" s="2823"/>
      <c r="J30" s="2823"/>
      <c r="K30" s="2823"/>
      <c r="L30" s="2823"/>
      <c r="M30" s="2823"/>
      <c r="N30" s="2823"/>
      <c r="O30" s="2823"/>
      <c r="P30" s="2823"/>
      <c r="Q30" s="2823"/>
      <c r="R30" s="2823"/>
      <c r="S30" s="2823"/>
      <c r="T30" s="3234"/>
      <c r="U30" s="2853">
        <f t="shared" si="5"/>
        <v>2</v>
      </c>
      <c r="V30" s="2843">
        <v>0.32</v>
      </c>
      <c r="W30" s="3011">
        <v>2.5</v>
      </c>
      <c r="X30" s="2861">
        <f>F57</f>
        <v>0</v>
      </c>
      <c r="Y30" s="2864">
        <f>F56</f>
        <v>16639.132661402564</v>
      </c>
      <c r="Z30" s="3008">
        <f>F58</f>
        <v>0</v>
      </c>
    </row>
    <row r="31" spans="1:41" ht="15.75" thickBot="1">
      <c r="B31" s="1225"/>
      <c r="C31" s="1225"/>
      <c r="D31" s="1225"/>
      <c r="E31" s="1225"/>
      <c r="F31" s="1226"/>
      <c r="G31" s="1227"/>
      <c r="H31" s="1225"/>
      <c r="R31" s="786"/>
      <c r="S31" s="1225"/>
      <c r="T31" s="3235" t="s">
        <v>1177</v>
      </c>
      <c r="U31" s="2844">
        <f t="shared" si="5"/>
        <v>2.5</v>
      </c>
      <c r="V31" s="2845">
        <v>0.33750000000000002</v>
      </c>
      <c r="W31" s="3007">
        <v>2.2000000000000002</v>
      </c>
      <c r="X31" s="2860">
        <f>L57</f>
        <v>0</v>
      </c>
      <c r="Y31" s="2863">
        <f>L56</f>
        <v>19755.44844125885</v>
      </c>
      <c r="Z31" s="3012">
        <f>L58</f>
        <v>0</v>
      </c>
    </row>
    <row r="32" spans="1:41">
      <c r="B32" s="3145" t="s">
        <v>1030</v>
      </c>
      <c r="C32" s="3146"/>
      <c r="D32" s="3146"/>
      <c r="E32" s="3146"/>
      <c r="F32" s="3147"/>
      <c r="G32" s="786"/>
      <c r="H32" s="3145" t="s">
        <v>1031</v>
      </c>
      <c r="I32" s="3146"/>
      <c r="J32" s="3146"/>
      <c r="K32" s="3146"/>
      <c r="L32" s="3147"/>
      <c r="N32" s="3145" t="s">
        <v>1032</v>
      </c>
      <c r="O32" s="3146"/>
      <c r="P32" s="3146"/>
      <c r="Q32" s="3146"/>
      <c r="R32" s="3147"/>
      <c r="S32" s="1236"/>
      <c r="T32" s="3234"/>
      <c r="U32" s="2847">
        <f>U31+0.5</f>
        <v>3</v>
      </c>
      <c r="V32" s="1223">
        <v>0.36</v>
      </c>
      <c r="W32" s="3013">
        <f t="shared" ref="W32:W37" si="6">W31*(1+(U31-U32)/U32/2)</f>
        <v>2.0166666666666666</v>
      </c>
      <c r="X32" s="2861">
        <f>R57</f>
        <v>0</v>
      </c>
      <c r="Y32" s="2864">
        <f>R56</f>
        <v>22946.65609991836</v>
      </c>
      <c r="Z32" s="3008">
        <f>R58</f>
        <v>0</v>
      </c>
    </row>
    <row r="33" spans="2:26" ht="18.75" customHeight="1">
      <c r="B33" s="832"/>
      <c r="C33" s="1196" t="s">
        <v>311</v>
      </c>
      <c r="D33" s="1197" t="s">
        <v>342</v>
      </c>
      <c r="E33" s="1198" t="s">
        <v>190</v>
      </c>
      <c r="F33" s="1199" t="s">
        <v>343</v>
      </c>
      <c r="G33" s="786"/>
      <c r="H33" s="832"/>
      <c r="I33" s="1196" t="s">
        <v>311</v>
      </c>
      <c r="J33" s="1197" t="s">
        <v>342</v>
      </c>
      <c r="K33" s="1198" t="s">
        <v>190</v>
      </c>
      <c r="L33" s="1199" t="s">
        <v>343</v>
      </c>
      <c r="N33" s="832"/>
      <c r="O33" s="1196" t="s">
        <v>311</v>
      </c>
      <c r="P33" s="1197" t="s">
        <v>342</v>
      </c>
      <c r="Q33" s="1198" t="s">
        <v>190</v>
      </c>
      <c r="R33" s="1199" t="s">
        <v>343</v>
      </c>
      <c r="S33" s="1238"/>
      <c r="T33" s="3234"/>
      <c r="U33" s="2849">
        <f t="shared" si="5"/>
        <v>3.5</v>
      </c>
      <c r="V33" s="1223">
        <v>0.38500000000000001</v>
      </c>
      <c r="W33" s="3013">
        <f t="shared" si="6"/>
        <v>1.8726190476190476</v>
      </c>
      <c r="X33" s="2861">
        <f>F85</f>
        <v>0</v>
      </c>
      <c r="Y33" s="2864">
        <f>F84</f>
        <v>26114.495654388928</v>
      </c>
      <c r="Z33" s="3008">
        <f>F86</f>
        <v>0</v>
      </c>
    </row>
    <row r="34" spans="2:26">
      <c r="B34" s="15" t="s">
        <v>191</v>
      </c>
      <c r="C34" s="16"/>
      <c r="D34" s="871">
        <f>W6</f>
        <v>55383.32303680529</v>
      </c>
      <c r="E34" s="1202">
        <f>V30</f>
        <v>0.32</v>
      </c>
      <c r="F34" s="1203">
        <f>D34*E34</f>
        <v>17722.663371777693</v>
      </c>
      <c r="G34" s="786"/>
      <c r="H34" s="15" t="s">
        <v>191</v>
      </c>
      <c r="I34" s="16"/>
      <c r="J34" s="871">
        <f>W6</f>
        <v>55383.32303680529</v>
      </c>
      <c r="K34" s="1202">
        <f>V31</f>
        <v>0.33750000000000002</v>
      </c>
      <c r="L34" s="1203">
        <f>J34*K34</f>
        <v>18691.871524921786</v>
      </c>
      <c r="N34" s="15" t="s">
        <v>191</v>
      </c>
      <c r="O34" s="16"/>
      <c r="P34" s="871">
        <f>W6</f>
        <v>55383.32303680529</v>
      </c>
      <c r="Q34" s="1202">
        <f>V32</f>
        <v>0.36</v>
      </c>
      <c r="R34" s="1203">
        <f>P34*Q34</f>
        <v>19937.996293249904</v>
      </c>
      <c r="S34" s="1227"/>
      <c r="T34" s="3234"/>
      <c r="U34" s="2847">
        <f>U33+0.5</f>
        <v>4</v>
      </c>
      <c r="V34" s="1223">
        <v>0.42</v>
      </c>
      <c r="W34" s="3013">
        <f t="shared" si="6"/>
        <v>1.7555803571428572</v>
      </c>
      <c r="X34" s="2861">
        <f>L85</f>
        <v>0</v>
      </c>
      <c r="Y34" s="2864">
        <f>L84</f>
        <v>29315.345781924403</v>
      </c>
      <c r="Z34" s="3008">
        <f>L86</f>
        <v>0</v>
      </c>
    </row>
    <row r="35" spans="2:26">
      <c r="B35" s="18" t="s">
        <v>466</v>
      </c>
      <c r="C35" s="749"/>
      <c r="D35" s="871">
        <f>W7</f>
        <v>43803</v>
      </c>
      <c r="E35" s="1204">
        <f>U30</f>
        <v>2</v>
      </c>
      <c r="F35" s="1203">
        <f t="shared" ref="F35" si="7">D35*E35</f>
        <v>87606</v>
      </c>
      <c r="G35" s="786"/>
      <c r="H35" s="18" t="s">
        <v>466</v>
      </c>
      <c r="I35" s="749"/>
      <c r="J35" s="871">
        <f>W7</f>
        <v>43803</v>
      </c>
      <c r="K35" s="1204">
        <f>U31</f>
        <v>2.5</v>
      </c>
      <c r="L35" s="1203">
        <f t="shared" ref="L35" si="8">J35*K35</f>
        <v>109507.5</v>
      </c>
      <c r="N35" s="18" t="s">
        <v>466</v>
      </c>
      <c r="O35" s="749"/>
      <c r="P35" s="871">
        <f>W7</f>
        <v>43803</v>
      </c>
      <c r="Q35" s="1204">
        <f>U32</f>
        <v>3</v>
      </c>
      <c r="R35" s="1203">
        <f t="shared" ref="R35" si="9">P35*Q35</f>
        <v>131409</v>
      </c>
      <c r="S35" s="1227"/>
      <c r="T35" s="3234"/>
      <c r="U35" s="2849">
        <f t="shared" si="5"/>
        <v>4.5</v>
      </c>
      <c r="V35" s="1223">
        <v>0.47249999999999998</v>
      </c>
      <c r="W35" s="3013">
        <f t="shared" si="6"/>
        <v>1.6580481150793651</v>
      </c>
      <c r="X35" s="2861">
        <f>R85</f>
        <v>0</v>
      </c>
      <c r="Y35" s="2864">
        <f>R84</f>
        <v>32602.950097490728</v>
      </c>
      <c r="Z35" s="3008">
        <f>R86</f>
        <v>0</v>
      </c>
    </row>
    <row r="36" spans="2:26">
      <c r="B36" s="18"/>
      <c r="C36" s="749"/>
      <c r="D36" s="871"/>
      <c r="E36" s="1204"/>
      <c r="F36" s="1203"/>
      <c r="G36" s="786"/>
      <c r="H36" s="18"/>
      <c r="I36" s="749"/>
      <c r="J36" s="871"/>
      <c r="K36" s="1204"/>
      <c r="L36" s="1203"/>
      <c r="N36" s="18"/>
      <c r="O36" s="749"/>
      <c r="P36" s="871"/>
      <c r="Q36" s="1204"/>
      <c r="R36" s="1203"/>
      <c r="S36" s="1227"/>
      <c r="T36" s="3234"/>
      <c r="U36" s="2847">
        <f t="shared" si="5"/>
        <v>5</v>
      </c>
      <c r="V36" s="1223">
        <v>0.52</v>
      </c>
      <c r="W36" s="3013">
        <f t="shared" si="6"/>
        <v>1.5751457093253969</v>
      </c>
      <c r="X36" s="2861">
        <f>F113</f>
        <v>0</v>
      </c>
      <c r="Y36" s="2864">
        <f>F112</f>
        <v>35837.655988481281</v>
      </c>
      <c r="Z36" s="3008">
        <f>F114</f>
        <v>0</v>
      </c>
    </row>
    <row r="37" spans="2:26" ht="15.75" thickBot="1">
      <c r="B37" s="868" t="s">
        <v>217</v>
      </c>
      <c r="C37" s="867"/>
      <c r="D37" s="866"/>
      <c r="E37" s="1206">
        <f>SUM(E34:E36)</f>
        <v>2.3199999999999998</v>
      </c>
      <c r="F37" s="1207">
        <f>SUM(F34:F35)</f>
        <v>105328.66337177769</v>
      </c>
      <c r="G37" s="786"/>
      <c r="H37" s="868" t="s">
        <v>217</v>
      </c>
      <c r="I37" s="867"/>
      <c r="J37" s="866"/>
      <c r="K37" s="1206">
        <f>SUM(K34:K36)</f>
        <v>2.8374999999999999</v>
      </c>
      <c r="L37" s="1207">
        <f>SUM(L34:L35)</f>
        <v>128199.37152492179</v>
      </c>
      <c r="N37" s="868" t="s">
        <v>217</v>
      </c>
      <c r="O37" s="867"/>
      <c r="P37" s="866"/>
      <c r="Q37" s="1206">
        <f>SUM(Q34:Q36)</f>
        <v>3.36</v>
      </c>
      <c r="R37" s="1207">
        <f>SUM(R34:R35)</f>
        <v>151346.99629324989</v>
      </c>
      <c r="S37" s="1232"/>
      <c r="T37" s="3236"/>
      <c r="U37" s="3014">
        <f t="shared" si="5"/>
        <v>5.5</v>
      </c>
      <c r="V37" s="2851">
        <v>0.57199999999999995</v>
      </c>
      <c r="W37" s="3015">
        <f t="shared" si="6"/>
        <v>1.5035481770833334</v>
      </c>
      <c r="X37" s="2862">
        <f>L113</f>
        <v>0</v>
      </c>
      <c r="Y37" s="2865">
        <f>L112</f>
        <v>39083.335776170301</v>
      </c>
      <c r="Z37" s="3016">
        <f>L114</f>
        <v>0</v>
      </c>
    </row>
    <row r="38" spans="2:26">
      <c r="B38" s="863"/>
      <c r="C38" s="862"/>
      <c r="D38" s="861"/>
      <c r="E38" s="1208"/>
      <c r="F38" s="1209"/>
      <c r="G38" s="786"/>
      <c r="H38" s="863"/>
      <c r="I38" s="862"/>
      <c r="J38" s="861"/>
      <c r="K38" s="860"/>
      <c r="L38" s="1209"/>
      <c r="N38" s="863"/>
      <c r="O38" s="862"/>
      <c r="P38" s="861"/>
      <c r="Q38" s="1208"/>
      <c r="R38" s="1209"/>
      <c r="S38" s="1232"/>
      <c r="T38" s="3234" t="s">
        <v>1178</v>
      </c>
      <c r="U38" s="2856">
        <f t="shared" si="5"/>
        <v>6</v>
      </c>
      <c r="V38" s="2845">
        <v>0.61799999999999999</v>
      </c>
      <c r="W38" s="3017">
        <f t="shared" ref="W38:W45" si="10">W37*(1+(U37-U38)/U38/3)</f>
        <v>1.4617829499421298</v>
      </c>
      <c r="X38" s="2860">
        <f>R113</f>
        <v>0</v>
      </c>
      <c r="Y38" s="2863">
        <f>R112</f>
        <v>42382.863602738558</v>
      </c>
      <c r="Z38" s="3012">
        <f>R114</f>
        <v>0</v>
      </c>
    </row>
    <row r="39" spans="2:26">
      <c r="B39" s="832" t="s">
        <v>195</v>
      </c>
      <c r="C39" s="859"/>
      <c r="D39" s="830"/>
      <c r="E39" s="858"/>
      <c r="F39" s="1210"/>
      <c r="G39" s="786"/>
      <c r="H39" s="832" t="s">
        <v>195</v>
      </c>
      <c r="I39" s="859"/>
      <c r="J39" s="830"/>
      <c r="K39" s="858"/>
      <c r="L39" s="1210"/>
      <c r="N39" s="832" t="s">
        <v>195</v>
      </c>
      <c r="O39" s="859"/>
      <c r="P39" s="830"/>
      <c r="Q39" s="858"/>
      <c r="R39" s="1210"/>
      <c r="S39" s="1235"/>
      <c r="T39" s="3234"/>
      <c r="U39" s="2849">
        <f t="shared" si="5"/>
        <v>6.5</v>
      </c>
      <c r="V39" s="1223">
        <v>0.66949999999999998</v>
      </c>
      <c r="W39" s="3018">
        <f t="shared" si="10"/>
        <v>1.4243013358410495</v>
      </c>
      <c r="X39" s="2861">
        <f>F141</f>
        <v>0</v>
      </c>
      <c r="Y39" s="2864">
        <f>F140</f>
        <v>45705.599651113276</v>
      </c>
      <c r="Z39" s="3008">
        <f>F142</f>
        <v>0</v>
      </c>
    </row>
    <row r="40" spans="2:26">
      <c r="B40" s="822" t="s">
        <v>196</v>
      </c>
      <c r="C40" s="855">
        <f>W17</f>
        <v>0.22</v>
      </c>
      <c r="D40" s="1211"/>
      <c r="E40" s="853"/>
      <c r="F40" s="1212">
        <f>C40*F37</f>
        <v>23172.305941791092</v>
      </c>
      <c r="G40" s="786"/>
      <c r="H40" s="822" t="s">
        <v>196</v>
      </c>
      <c r="I40" s="855">
        <f>W17</f>
        <v>0.22</v>
      </c>
      <c r="J40" s="1211"/>
      <c r="K40" s="853"/>
      <c r="L40" s="1213">
        <f>I40*L37</f>
        <v>28203.861735482795</v>
      </c>
      <c r="N40" s="822" t="s">
        <v>196</v>
      </c>
      <c r="O40" s="855">
        <f>W17</f>
        <v>0.22</v>
      </c>
      <c r="P40" s="1211"/>
      <c r="Q40" s="853"/>
      <c r="R40" s="1213">
        <f>O40*R37</f>
        <v>33296.339184514974</v>
      </c>
      <c r="S40" s="1239"/>
      <c r="T40" s="3234"/>
      <c r="U40" s="2847">
        <f t="shared" si="5"/>
        <v>7</v>
      </c>
      <c r="V40" s="1223">
        <v>0.71399999999999997</v>
      </c>
      <c r="W40" s="3018">
        <f t="shared" si="10"/>
        <v>1.3903893992734053</v>
      </c>
      <c r="X40" s="2861">
        <f>L141</f>
        <v>0</v>
      </c>
      <c r="Y40" s="2864">
        <f>L140</f>
        <v>48972.859025117526</v>
      </c>
      <c r="Z40" s="3008">
        <f>L142</f>
        <v>0</v>
      </c>
    </row>
    <row r="41" spans="2:26">
      <c r="B41" s="787" t="s">
        <v>198</v>
      </c>
      <c r="C41" s="848"/>
      <c r="D41" s="847"/>
      <c r="E41" s="846"/>
      <c r="F41" s="1214">
        <f>F40+F37</f>
        <v>128500.96931356878</v>
      </c>
      <c r="G41" s="786"/>
      <c r="H41" s="787" t="s">
        <v>198</v>
      </c>
      <c r="I41" s="848"/>
      <c r="J41" s="847"/>
      <c r="K41" s="846"/>
      <c r="L41" s="1214">
        <f>L40+L37</f>
        <v>156403.23326040458</v>
      </c>
      <c r="N41" s="787" t="s">
        <v>198</v>
      </c>
      <c r="O41" s="848"/>
      <c r="P41" s="847"/>
      <c r="Q41" s="846"/>
      <c r="R41" s="1214">
        <f>R40+R37</f>
        <v>184643.33547776486</v>
      </c>
      <c r="S41" s="1235"/>
      <c r="T41" s="3234"/>
      <c r="U41" s="2849">
        <f t="shared" si="5"/>
        <v>7.5</v>
      </c>
      <c r="V41" s="1223">
        <v>0.76500000000000001</v>
      </c>
      <c r="W41" s="3018">
        <f t="shared" si="10"/>
        <v>1.3594918570673296</v>
      </c>
      <c r="X41" s="2861">
        <f>R141</f>
        <v>0</v>
      </c>
      <c r="Y41" s="2864">
        <f>R140</f>
        <v>52271.966968677356</v>
      </c>
      <c r="Z41" s="3008">
        <f>R142</f>
        <v>0</v>
      </c>
    </row>
    <row r="42" spans="2:26">
      <c r="B42" s="29" t="s">
        <v>313</v>
      </c>
      <c r="C42" s="30"/>
      <c r="D42" s="16">
        <f>W10</f>
        <v>5155.4902174195804</v>
      </c>
      <c r="E42" s="841"/>
      <c r="F42" s="1203">
        <f>D42*E35*W30</f>
        <v>25777.451087097903</v>
      </c>
      <c r="G42" s="786"/>
      <c r="H42" s="29" t="s">
        <v>313</v>
      </c>
      <c r="I42" s="30"/>
      <c r="J42" s="16">
        <f>W10</f>
        <v>5155.4902174195804</v>
      </c>
      <c r="K42" s="841"/>
      <c r="L42" s="1203">
        <f>J42*K35*W31</f>
        <v>28355.196195807697</v>
      </c>
      <c r="N42" s="29" t="s">
        <v>313</v>
      </c>
      <c r="O42" s="30"/>
      <c r="P42" s="16">
        <f>W10</f>
        <v>5155.4902174195804</v>
      </c>
      <c r="Q42" s="841"/>
      <c r="R42" s="1203">
        <f>P42*$Q$35*$W$32</f>
        <v>31190.715815388459</v>
      </c>
      <c r="S42" s="1227"/>
      <c r="T42" s="3234"/>
      <c r="U42" s="2847">
        <f t="shared" si="5"/>
        <v>8</v>
      </c>
      <c r="V42" s="1223">
        <v>0.8</v>
      </c>
      <c r="W42" s="3018">
        <f t="shared" si="10"/>
        <v>1.3311691100450935</v>
      </c>
      <c r="X42" s="2861">
        <f>F169</f>
        <v>0</v>
      </c>
      <c r="Y42" s="2864">
        <f>F168</f>
        <v>55459.94671863113</v>
      </c>
      <c r="Z42" s="3008">
        <f>F170</f>
        <v>0</v>
      </c>
    </row>
    <row r="43" spans="2:26">
      <c r="B43" s="835" t="s">
        <v>673</v>
      </c>
      <c r="C43" s="821"/>
      <c r="D43" s="16">
        <f t="shared" ref="D43:D46" si="11">W11</f>
        <v>178.16741415351552</v>
      </c>
      <c r="E43" s="838"/>
      <c r="F43" s="1203">
        <f>D43*E35*W30</f>
        <v>890.83707076757764</v>
      </c>
      <c r="G43" s="786"/>
      <c r="H43" s="835" t="s">
        <v>673</v>
      </c>
      <c r="I43" s="821"/>
      <c r="J43" s="16">
        <f t="shared" ref="J43:J46" si="12">W11</f>
        <v>178.16741415351552</v>
      </c>
      <c r="K43" s="838"/>
      <c r="L43" s="1203">
        <f>J43*K35*W31</f>
        <v>979.92077784433548</v>
      </c>
      <c r="N43" s="835" t="s">
        <v>673</v>
      </c>
      <c r="O43" s="821"/>
      <c r="P43" s="16">
        <f t="shared" ref="P43:P46" si="13">W11</f>
        <v>178.16741415351552</v>
      </c>
      <c r="Q43" s="838"/>
      <c r="R43" s="1203">
        <f>P43*$Q$35*$W$32</f>
        <v>1077.9128556287687</v>
      </c>
      <c r="S43" s="1227"/>
      <c r="T43" s="3234"/>
      <c r="U43" s="2849">
        <f t="shared" si="5"/>
        <v>8.5</v>
      </c>
      <c r="V43" s="1223">
        <v>0.81</v>
      </c>
      <c r="W43" s="3018">
        <f t="shared" si="10"/>
        <v>1.30506775494617</v>
      </c>
      <c r="X43" s="2861">
        <f>L169</f>
        <v>0</v>
      </c>
      <c r="Y43" s="2864">
        <f>L168</f>
        <v>58479.999365961288</v>
      </c>
      <c r="Z43" s="3008">
        <f>L170</f>
        <v>0</v>
      </c>
    </row>
    <row r="44" spans="2:26" ht="15" customHeight="1">
      <c r="B44" s="822" t="s">
        <v>674</v>
      </c>
      <c r="C44" s="821"/>
      <c r="D44" s="16">
        <f t="shared" si="11"/>
        <v>1410.7821990248415</v>
      </c>
      <c r="E44" s="838"/>
      <c r="F44" s="1203">
        <f>D44*E35*W30</f>
        <v>7053.9109951242071</v>
      </c>
      <c r="G44" s="786"/>
      <c r="H44" s="822" t="s">
        <v>674</v>
      </c>
      <c r="I44" s="821"/>
      <c r="J44" s="16">
        <f t="shared" si="12"/>
        <v>1410.7821990248415</v>
      </c>
      <c r="K44" s="838"/>
      <c r="L44" s="1203">
        <f>J44*K35*W31</f>
        <v>7759.3020946366287</v>
      </c>
      <c r="N44" s="822" t="s">
        <v>674</v>
      </c>
      <c r="O44" s="821"/>
      <c r="P44" s="16">
        <f t="shared" si="13"/>
        <v>1410.7821990248415</v>
      </c>
      <c r="Q44" s="838"/>
      <c r="R44" s="1203">
        <f>P44*$Q$35*$W$32</f>
        <v>8535.232304100291</v>
      </c>
      <c r="S44" s="1227"/>
      <c r="T44" s="3234"/>
      <c r="U44" s="2847">
        <f t="shared" si="5"/>
        <v>9</v>
      </c>
      <c r="V44" s="1223">
        <v>0.81</v>
      </c>
      <c r="W44" s="3018">
        <f t="shared" si="10"/>
        <v>1.280899833558278</v>
      </c>
      <c r="X44" s="2861">
        <f>R169</f>
        <v>0</v>
      </c>
      <c r="Y44" s="2864">
        <f>R168</f>
        <v>61428.653592769238</v>
      </c>
      <c r="Z44" s="3008">
        <f>R170</f>
        <v>0</v>
      </c>
    </row>
    <row r="45" spans="2:26" ht="15" customHeight="1" thickBot="1">
      <c r="B45" s="822" t="s">
        <v>685</v>
      </c>
      <c r="C45" s="821"/>
      <c r="D45" s="16">
        <f t="shared" si="11"/>
        <v>799.70498223424943</v>
      </c>
      <c r="E45" s="838"/>
      <c r="F45" s="1203">
        <f>D45*E35*W30</f>
        <v>3998.5249111712474</v>
      </c>
      <c r="G45" s="786"/>
      <c r="H45" s="822" t="s">
        <v>685</v>
      </c>
      <c r="I45" s="821"/>
      <c r="J45" s="16">
        <f t="shared" si="12"/>
        <v>799.70498223424943</v>
      </c>
      <c r="K45" s="838"/>
      <c r="L45" s="1203">
        <f>J45*K35*W31</f>
        <v>4398.3774022883727</v>
      </c>
      <c r="N45" s="822" t="s">
        <v>685</v>
      </c>
      <c r="O45" s="821"/>
      <c r="P45" s="16">
        <f t="shared" si="13"/>
        <v>799.70498223424943</v>
      </c>
      <c r="Q45" s="838"/>
      <c r="R45" s="1203">
        <f>P45*$Q$35*$W$32</f>
        <v>4838.2151425172087</v>
      </c>
      <c r="S45" s="1227"/>
      <c r="T45" s="3234"/>
      <c r="U45" s="3014">
        <f t="shared" si="5"/>
        <v>9.5</v>
      </c>
      <c r="V45" s="2851">
        <v>0.81</v>
      </c>
      <c r="W45" s="3019">
        <f t="shared" si="10"/>
        <v>1.2584279066537467</v>
      </c>
      <c r="X45" s="2862">
        <f>F197</f>
        <v>0</v>
      </c>
      <c r="Y45" s="2865">
        <f>F196</f>
        <v>64370.39135357827</v>
      </c>
      <c r="Z45" s="3016">
        <f>F198</f>
        <v>0</v>
      </c>
    </row>
    <row r="46" spans="2:26" ht="15" customHeight="1">
      <c r="B46" s="835" t="s">
        <v>686</v>
      </c>
      <c r="C46" s="386"/>
      <c r="D46" s="16">
        <f t="shared" si="11"/>
        <v>1572.2963237683009</v>
      </c>
      <c r="E46" s="833"/>
      <c r="F46" s="1203">
        <f>D46*E35*W30</f>
        <v>7861.4816188415043</v>
      </c>
      <c r="G46" s="786"/>
      <c r="H46" s="835" t="s">
        <v>686</v>
      </c>
      <c r="I46" s="386"/>
      <c r="J46" s="16">
        <f t="shared" si="12"/>
        <v>1572.2963237683009</v>
      </c>
      <c r="K46" s="833"/>
      <c r="L46" s="1203">
        <f>J46*K35*W31</f>
        <v>8647.629780725656</v>
      </c>
      <c r="N46" s="835" t="s">
        <v>686</v>
      </c>
      <c r="O46" s="386"/>
      <c r="P46" s="16">
        <f t="shared" si="13"/>
        <v>1572.2963237683009</v>
      </c>
      <c r="Q46" s="833"/>
      <c r="R46" s="1203">
        <f>P46*$Q$35*$W$32</f>
        <v>9512.3927587982198</v>
      </c>
      <c r="S46" s="1227"/>
      <c r="T46" s="3235" t="s">
        <v>1179</v>
      </c>
      <c r="U46" s="2856">
        <f t="shared" si="5"/>
        <v>10</v>
      </c>
      <c r="V46" s="2845">
        <v>0.8</v>
      </c>
      <c r="W46" s="3017">
        <f>W45*(1+(U45-U46)/U46/3.5)</f>
        <v>1.2404503651301217</v>
      </c>
      <c r="X46" s="3020">
        <f>L197</f>
        <v>0</v>
      </c>
      <c r="Y46" s="2863">
        <f>L196</f>
        <v>67267.49377703575</v>
      </c>
      <c r="Z46" s="3012">
        <f>L198</f>
        <v>0</v>
      </c>
    </row>
    <row r="47" spans="2:26">
      <c r="B47" s="3003" t="str">
        <f>$U$15</f>
        <v>Flex Funding Administration</v>
      </c>
      <c r="C47" s="826"/>
      <c r="D47" s="3004">
        <f>$W$15</f>
        <v>1000</v>
      </c>
      <c r="E47" s="3005"/>
      <c r="F47" s="3006">
        <f>D47*E35</f>
        <v>2000</v>
      </c>
      <c r="G47" s="786"/>
      <c r="H47" s="3003" t="str">
        <f>$U$15</f>
        <v>Flex Funding Administration</v>
      </c>
      <c r="I47" s="826"/>
      <c r="J47" s="3004">
        <f>$W$15</f>
        <v>1000</v>
      </c>
      <c r="K47" s="3005"/>
      <c r="L47" s="3006">
        <f>J47*K35</f>
        <v>2500</v>
      </c>
      <c r="N47" s="3003" t="str">
        <f>$U$15</f>
        <v>Flex Funding Administration</v>
      </c>
      <c r="O47" s="826"/>
      <c r="P47" s="3004">
        <f>$W$15</f>
        <v>1000</v>
      </c>
      <c r="Q47" s="3005"/>
      <c r="R47" s="3006">
        <f>P47*Q35</f>
        <v>3000</v>
      </c>
      <c r="S47" s="1232"/>
      <c r="T47" s="3234"/>
      <c r="U47" s="2849">
        <f t="shared" si="5"/>
        <v>10.5</v>
      </c>
      <c r="V47" s="1223">
        <v>0.79</v>
      </c>
      <c r="W47" s="3013">
        <f>W46*(1+(U46-U47)/U47/3.5)</f>
        <v>1.2235734894140657</v>
      </c>
      <c r="X47" s="2859">
        <f>R197</f>
        <v>0</v>
      </c>
      <c r="Y47" s="2864">
        <f>R196</f>
        <v>70159.083829095631</v>
      </c>
      <c r="Z47" s="3008">
        <f>R198</f>
        <v>0</v>
      </c>
    </row>
    <row r="48" spans="2:26" ht="15" customHeight="1" thickBot="1">
      <c r="B48" s="816" t="s">
        <v>203</v>
      </c>
      <c r="C48" s="815"/>
      <c r="D48" s="814"/>
      <c r="E48" s="813"/>
      <c r="F48" s="1220">
        <f>SUM(F41:F47)</f>
        <v>176083.17499657118</v>
      </c>
      <c r="G48" s="1221"/>
      <c r="H48" s="816" t="s">
        <v>203</v>
      </c>
      <c r="I48" s="815"/>
      <c r="J48" s="814"/>
      <c r="K48" s="813"/>
      <c r="L48" s="1220">
        <f>SUM(L41:L47)</f>
        <v>209043.65951170726</v>
      </c>
      <c r="N48" s="816" t="s">
        <v>203</v>
      </c>
      <c r="O48" s="815"/>
      <c r="P48" s="814"/>
      <c r="Q48" s="813"/>
      <c r="R48" s="1220">
        <f>SUM(R41:R47)</f>
        <v>242797.80435419781</v>
      </c>
      <c r="S48" s="1235"/>
      <c r="T48" s="3234"/>
      <c r="U48" s="2847">
        <f t="shared" si="5"/>
        <v>11</v>
      </c>
      <c r="V48" s="1223">
        <v>0.77</v>
      </c>
      <c r="W48" s="3013">
        <f>W47*(1+(U47-U48)/U48/3.5)</f>
        <v>1.2076829246164804</v>
      </c>
      <c r="X48" s="2859" t="e">
        <f>#REF!</f>
        <v>#REF!</v>
      </c>
      <c r="Y48" s="2864">
        <f>F224</f>
        <v>72981.57036464088</v>
      </c>
      <c r="Z48" s="3008" t="e">
        <f>#REF!</f>
        <v>#REF!</v>
      </c>
    </row>
    <row r="49" spans="1:35" ht="14.25" customHeight="1" thickTop="1">
      <c r="A49" s="898"/>
      <c r="B49" s="2769" t="s">
        <v>315</v>
      </c>
      <c r="C49" s="890">
        <f>W18</f>
        <v>0.11</v>
      </c>
      <c r="D49" s="830"/>
      <c r="E49" s="829"/>
      <c r="F49" s="1210">
        <f>C49*F48</f>
        <v>19369.149249622831</v>
      </c>
      <c r="G49" s="1221"/>
      <c r="H49" s="2769" t="s">
        <v>315</v>
      </c>
      <c r="I49" s="890">
        <f>W18</f>
        <v>0.11</v>
      </c>
      <c r="J49" s="830"/>
      <c r="K49" s="829"/>
      <c r="L49" s="1210">
        <f>I49*L48</f>
        <v>22994.802546287799</v>
      </c>
      <c r="N49" s="2769" t="s">
        <v>315</v>
      </c>
      <c r="O49" s="890">
        <f>W18</f>
        <v>0.11</v>
      </c>
      <c r="P49" s="830"/>
      <c r="Q49" s="829"/>
      <c r="R49" s="1210">
        <f>O49*R48</f>
        <v>26707.758478961758</v>
      </c>
      <c r="S49" s="1235"/>
      <c r="T49" s="3234"/>
      <c r="U49" s="2849">
        <f t="shared" si="5"/>
        <v>11.5</v>
      </c>
      <c r="V49" s="1223">
        <v>0.75</v>
      </c>
      <c r="W49" s="3013">
        <f>W48*(1+(U48-U49)/U49/3.5)</f>
        <v>1.1926806522609961</v>
      </c>
      <c r="X49" s="2859" t="e">
        <f>#REF!</f>
        <v>#REF!</v>
      </c>
      <c r="Y49" s="2864">
        <f>L224</f>
        <v>75799.184448924236</v>
      </c>
      <c r="Z49" s="3008" t="e">
        <f>#REF!</f>
        <v>#REF!</v>
      </c>
    </row>
    <row r="50" spans="1:35" ht="15.75" thickBot="1">
      <c r="A50" s="898"/>
      <c r="B50" s="2771" t="s">
        <v>653</v>
      </c>
      <c r="C50" s="2811">
        <f>C22</f>
        <v>6.3E-3</v>
      </c>
      <c r="D50" s="830"/>
      <c r="E50" s="829"/>
      <c r="F50" s="1210">
        <f>C50*F37</f>
        <v>663.57057924219941</v>
      </c>
      <c r="G50" s="1221"/>
      <c r="H50" s="2771" t="s">
        <v>653</v>
      </c>
      <c r="I50" s="2811">
        <f>I22</f>
        <v>6.3E-3</v>
      </c>
      <c r="J50" s="830"/>
      <c r="K50" s="829"/>
      <c r="L50" s="1210">
        <f>I50*L37</f>
        <v>807.6560406070073</v>
      </c>
      <c r="N50" s="2771" t="s">
        <v>653</v>
      </c>
      <c r="O50" s="2811">
        <f>O22</f>
        <v>6.3E-3</v>
      </c>
      <c r="P50" s="830"/>
      <c r="Q50" s="829"/>
      <c r="R50" s="1210">
        <f>O50*R37</f>
        <v>953.48607664747431</v>
      </c>
      <c r="S50" s="1235"/>
      <c r="T50" s="3236"/>
      <c r="U50" s="2850">
        <f t="shared" si="5"/>
        <v>12</v>
      </c>
      <c r="V50" s="2851">
        <v>0.72</v>
      </c>
      <c r="W50" s="3015">
        <f>W49*(1+(U49-U50)/U50/3.5)</f>
        <v>1.1784820730674128</v>
      </c>
      <c r="X50" s="3021" t="e">
        <f>#REF!</f>
        <v>#REF!</v>
      </c>
      <c r="Y50" s="2865">
        <f>R224</f>
        <v>78548.269817754277</v>
      </c>
      <c r="Z50" s="3016" t="e">
        <f>#REF!</f>
        <v>#REF!</v>
      </c>
    </row>
    <row r="51" spans="1:35" ht="15.75" thickBot="1">
      <c r="A51" s="843"/>
      <c r="B51" s="2807"/>
      <c r="C51" s="2812"/>
      <c r="D51" s="830"/>
      <c r="E51" s="829"/>
      <c r="F51" s="2824">
        <f>C51*(F42+F43+F44+F45+F46)</f>
        <v>0</v>
      </c>
      <c r="G51" s="1221"/>
      <c r="H51" s="2807"/>
      <c r="I51" s="2812"/>
      <c r="J51" s="830"/>
      <c r="K51" s="829"/>
      <c r="L51" s="2824">
        <f>I51*(L42+L43+L44+L45+L46)</f>
        <v>0</v>
      </c>
      <c r="N51" s="2807"/>
      <c r="O51" s="2812"/>
      <c r="P51" s="830"/>
      <c r="Q51" s="829"/>
      <c r="R51" s="2813">
        <f>O51*(R42+R43+R44+R45+R46)</f>
        <v>0</v>
      </c>
      <c r="S51" s="2822"/>
      <c r="U51" s="384"/>
      <c r="V51" s="2866"/>
      <c r="W51" s="30"/>
      <c r="X51" s="2859"/>
      <c r="Y51" s="2859"/>
      <c r="Z51" s="2867"/>
      <c r="AC51" s="1230"/>
    </row>
    <row r="52" spans="1:35" ht="15.75" thickBot="1">
      <c r="A52" s="843"/>
      <c r="B52" s="2807"/>
      <c r="C52" s="2812"/>
      <c r="D52" s="830"/>
      <c r="E52" s="829"/>
      <c r="F52" s="2813">
        <f>SUM(F48:F51)</f>
        <v>196115.8948254362</v>
      </c>
      <c r="G52" s="1221"/>
      <c r="H52" s="2807"/>
      <c r="I52" s="2812"/>
      <c r="J52" s="830"/>
      <c r="K52" s="829"/>
      <c r="L52" s="2813">
        <f>SUM(L48:L51)</f>
        <v>232846.11809860208</v>
      </c>
      <c r="N52" s="2807"/>
      <c r="O52" s="2812"/>
      <c r="P52" s="830"/>
      <c r="Q52" s="829"/>
      <c r="R52" s="2824">
        <f>SUM(R48:R51)</f>
        <v>270459.04890980705</v>
      </c>
      <c r="S52" s="2822"/>
      <c r="U52" s="3022"/>
      <c r="V52" s="3022"/>
      <c r="W52" s="3022"/>
      <c r="X52" s="3022"/>
      <c r="Y52" s="3022"/>
      <c r="Z52" s="3022"/>
      <c r="AA52" s="1230"/>
      <c r="AB52" s="1230"/>
      <c r="AC52" s="1230"/>
    </row>
    <row r="53" spans="1:35">
      <c r="A53" s="843"/>
      <c r="B53" s="832" t="s">
        <v>205</v>
      </c>
      <c r="C53" s="890">
        <f>W21</f>
        <v>1.8120393120392975E-2</v>
      </c>
      <c r="D53" s="830"/>
      <c r="E53" s="829"/>
      <c r="F53" s="2813">
        <f>C53*F52</f>
        <v>3553.6971113945465</v>
      </c>
      <c r="G53" s="1221"/>
      <c r="H53" s="832" t="s">
        <v>205</v>
      </c>
      <c r="I53" s="890">
        <f>W21</f>
        <v>1.8120393120392975E-2</v>
      </c>
      <c r="J53" s="830"/>
      <c r="K53" s="829"/>
      <c r="L53" s="2813">
        <f>I53*L52</f>
        <v>4219.2631965041192</v>
      </c>
      <c r="N53" s="832" t="s">
        <v>205</v>
      </c>
      <c r="O53" s="890">
        <f>W21</f>
        <v>1.8120393120392975E-2</v>
      </c>
      <c r="P53" s="830"/>
      <c r="Q53" s="829"/>
      <c r="R53" s="2813">
        <f>R52*O53</f>
        <v>4900.8242892132948</v>
      </c>
      <c r="S53" s="2822"/>
      <c r="U53" s="3022"/>
      <c r="V53" s="3022"/>
      <c r="W53" s="3022"/>
      <c r="X53" s="3022"/>
      <c r="Y53" s="3022"/>
      <c r="Z53" s="3022"/>
      <c r="AA53" s="1230"/>
      <c r="AB53" s="1230"/>
      <c r="AC53" s="1230"/>
    </row>
    <row r="54" spans="1:35" ht="15.75" customHeight="1" thickBot="1">
      <c r="A54" s="843"/>
      <c r="B54" s="29"/>
      <c r="C54" s="30"/>
      <c r="D54" s="830"/>
      <c r="E54" s="829"/>
      <c r="F54" s="1220">
        <f>SUM(F52:F53)</f>
        <v>199669.59193683075</v>
      </c>
      <c r="G54" s="1221"/>
      <c r="H54" s="29"/>
      <c r="I54" s="30"/>
      <c r="J54" s="830"/>
      <c r="K54" s="829"/>
      <c r="L54" s="1220">
        <f>SUM(L52:L53)</f>
        <v>237065.3812951062</v>
      </c>
      <c r="N54" s="29"/>
      <c r="O54" s="30"/>
      <c r="P54" s="830"/>
      <c r="Q54" s="829"/>
      <c r="R54" s="1220">
        <f>SUM(R52:R53)</f>
        <v>275359.87319902034</v>
      </c>
      <c r="S54" s="1235"/>
      <c r="U54" s="3022"/>
      <c r="V54" s="3022"/>
      <c r="W54" s="3022"/>
      <c r="X54" s="3022"/>
      <c r="Y54" s="3022"/>
      <c r="Z54" s="3022"/>
      <c r="AA54" s="1230"/>
      <c r="AB54" s="1230"/>
      <c r="AC54" s="1230"/>
    </row>
    <row r="55" spans="1:35" ht="17.25" customHeight="1" thickTop="1" thickBot="1">
      <c r="A55" s="843"/>
      <c r="B55" s="832"/>
      <c r="C55" s="890"/>
      <c r="D55" s="830"/>
      <c r="E55" s="829"/>
      <c r="F55" s="2825"/>
      <c r="G55" s="1221"/>
      <c r="H55" s="832"/>
      <c r="I55" s="890"/>
      <c r="J55" s="830"/>
      <c r="K55" s="829"/>
      <c r="L55" s="2825"/>
      <c r="N55" s="832"/>
      <c r="O55" s="890"/>
      <c r="P55" s="830"/>
      <c r="Q55" s="829"/>
      <c r="R55" s="2826"/>
      <c r="S55" s="2822"/>
      <c r="U55" s="3022"/>
      <c r="V55" s="3022"/>
      <c r="W55" s="3022"/>
      <c r="X55" s="3022"/>
      <c r="Y55" s="3022"/>
      <c r="Z55" s="3022"/>
      <c r="AA55" s="1230"/>
      <c r="AB55" s="1230"/>
      <c r="AC55" s="1230"/>
    </row>
    <row r="56" spans="1:35" ht="16.5" thickTop="1" thickBot="1">
      <c r="A56" s="843"/>
      <c r="B56" s="798" t="s">
        <v>318</v>
      </c>
      <c r="C56" s="811"/>
      <c r="D56" s="811"/>
      <c r="E56" s="811"/>
      <c r="F56" s="1266">
        <f>F54/12</f>
        <v>16639.132661402564</v>
      </c>
      <c r="G56" s="1221"/>
      <c r="H56" s="798" t="s">
        <v>318</v>
      </c>
      <c r="I56" s="811"/>
      <c r="J56" s="811"/>
      <c r="K56" s="811"/>
      <c r="L56" s="1266">
        <f>L54/12</f>
        <v>19755.44844125885</v>
      </c>
      <c r="N56" s="798" t="s">
        <v>318</v>
      </c>
      <c r="O56" s="811"/>
      <c r="P56" s="811"/>
      <c r="Q56" s="811"/>
      <c r="R56" s="1266">
        <f>R54/12</f>
        <v>22946.65609991836</v>
      </c>
      <c r="S56" s="3009"/>
      <c r="U56" s="3022"/>
      <c r="V56" s="3022"/>
      <c r="W56" s="3022"/>
      <c r="X56" s="3022"/>
      <c r="Y56" s="3022"/>
      <c r="Z56" s="3022"/>
      <c r="AA56" s="1230"/>
      <c r="AB56" s="1230"/>
      <c r="AC56" s="1230"/>
    </row>
    <row r="57" spans="1:35" ht="15.75" thickBot="1">
      <c r="A57" s="843"/>
      <c r="C57" s="1225"/>
      <c r="D57" s="1225"/>
      <c r="E57" s="1225"/>
      <c r="F57" s="1226"/>
      <c r="G57" s="1225"/>
      <c r="H57" s="1225"/>
      <c r="I57" s="1225"/>
      <c r="J57" s="1225"/>
      <c r="K57" s="1225"/>
      <c r="L57" s="1226"/>
      <c r="M57" s="1225"/>
      <c r="N57" s="1225"/>
      <c r="O57" s="1225"/>
      <c r="P57" s="1225"/>
      <c r="Q57" s="1225"/>
      <c r="R57" s="1226"/>
      <c r="S57" s="1226"/>
      <c r="U57" s="3022"/>
      <c r="V57" s="3022"/>
      <c r="W57" s="3022"/>
      <c r="X57" s="3022"/>
      <c r="Y57" s="3022"/>
      <c r="Z57" s="3022"/>
      <c r="AA57" s="1230"/>
      <c r="AB57" s="1230"/>
      <c r="AC57" s="1230"/>
      <c r="AE57" s="3167" t="s">
        <v>624</v>
      </c>
      <c r="AF57" s="3168"/>
      <c r="AG57" s="2987" t="s">
        <v>209</v>
      </c>
      <c r="AH57" s="2987" t="s">
        <v>190</v>
      </c>
      <c r="AI57" s="2988" t="s">
        <v>210</v>
      </c>
    </row>
    <row r="58" spans="1:35">
      <c r="A58" s="843"/>
      <c r="C58" s="1225"/>
      <c r="D58" s="1225"/>
      <c r="E58" s="1225"/>
      <c r="F58" s="2823"/>
      <c r="G58" s="2823"/>
      <c r="H58" s="2823"/>
      <c r="I58" s="2823"/>
      <c r="J58" s="2823"/>
      <c r="K58" s="2823"/>
      <c r="L58" s="2823"/>
      <c r="M58" s="2823"/>
      <c r="N58" s="2823"/>
      <c r="O58" s="2823"/>
      <c r="P58" s="2823"/>
      <c r="Q58" s="2823"/>
      <c r="R58" s="2823"/>
      <c r="S58" s="2823"/>
      <c r="U58" s="2090"/>
      <c r="V58" s="2815"/>
      <c r="W58" s="2090"/>
      <c r="X58" s="2090"/>
      <c r="Y58" s="2090"/>
      <c r="Z58" s="2090"/>
      <c r="AA58" s="1230"/>
      <c r="AB58" s="1230"/>
      <c r="AC58" s="1230"/>
      <c r="AE58" s="1251" t="s">
        <v>192</v>
      </c>
      <c r="AF58" s="1045"/>
      <c r="AG58" s="1252">
        <f>W7</f>
        <v>43803</v>
      </c>
      <c r="AH58" s="1253">
        <v>0.25</v>
      </c>
      <c r="AI58" s="1254">
        <f>AH58*AG58</f>
        <v>10950.75</v>
      </c>
    </row>
    <row r="59" spans="1:35" ht="15.75" thickBot="1">
      <c r="A59" s="843"/>
      <c r="C59" s="1225"/>
      <c r="D59" s="1225"/>
      <c r="E59" s="1225"/>
      <c r="F59" s="1226"/>
      <c r="G59" s="1225"/>
      <c r="H59" s="1225"/>
      <c r="I59" s="1225"/>
      <c r="J59" s="1225"/>
      <c r="K59" s="1225"/>
      <c r="L59" s="1226"/>
      <c r="M59" s="1225"/>
      <c r="N59" s="1225"/>
      <c r="O59" s="1225"/>
      <c r="P59" s="1225"/>
      <c r="Q59" s="1225"/>
      <c r="R59" s="1226"/>
      <c r="S59" s="1226"/>
      <c r="U59" s="2821"/>
      <c r="V59" s="2821"/>
      <c r="W59" s="2090"/>
      <c r="X59" s="2090"/>
      <c r="Y59" s="2090"/>
      <c r="Z59" s="2090"/>
      <c r="AA59" s="1230"/>
      <c r="AB59" s="1230"/>
      <c r="AC59" s="1230"/>
      <c r="AE59" s="1222" t="s">
        <v>196</v>
      </c>
      <c r="AF59" s="1255"/>
      <c r="AG59" s="1256">
        <f>W17</f>
        <v>0.22</v>
      </c>
      <c r="AH59" s="1257"/>
      <c r="AI59" s="1258">
        <f>AG59*AI58</f>
        <v>2409.165</v>
      </c>
    </row>
    <row r="60" spans="1:35">
      <c r="A60" s="843"/>
      <c r="B60" s="3145" t="s">
        <v>1033</v>
      </c>
      <c r="C60" s="3146"/>
      <c r="D60" s="3146"/>
      <c r="E60" s="3146"/>
      <c r="F60" s="3147"/>
      <c r="G60" s="786"/>
      <c r="H60" s="3145" t="s">
        <v>1034</v>
      </c>
      <c r="I60" s="3146"/>
      <c r="J60" s="3146"/>
      <c r="K60" s="3146"/>
      <c r="L60" s="3147"/>
      <c r="N60" s="3145" t="s">
        <v>1035</v>
      </c>
      <c r="O60" s="3146"/>
      <c r="P60" s="3146"/>
      <c r="Q60" s="3146"/>
      <c r="R60" s="3147"/>
      <c r="S60" s="1236"/>
      <c r="U60" s="2090"/>
      <c r="V60" s="2819"/>
      <c r="W60" s="2090"/>
      <c r="X60" s="2090"/>
      <c r="Y60" s="2090"/>
      <c r="Z60" s="2090"/>
      <c r="AA60" s="1230"/>
      <c r="AB60" s="1230"/>
      <c r="AC60" s="1230"/>
      <c r="AE60" s="37"/>
      <c r="AF60" s="25"/>
      <c r="AG60" s="1259"/>
      <c r="AH60" s="2989"/>
      <c r="AI60" s="1254">
        <f>AI58+AI59</f>
        <v>13359.915000000001</v>
      </c>
    </row>
    <row r="61" spans="1:35" ht="45">
      <c r="A61" s="843"/>
      <c r="B61" s="832"/>
      <c r="C61" s="1196" t="s">
        <v>311</v>
      </c>
      <c r="D61" s="1197" t="s">
        <v>342</v>
      </c>
      <c r="E61" s="1198" t="s">
        <v>190</v>
      </c>
      <c r="F61" s="1199" t="s">
        <v>343</v>
      </c>
      <c r="G61" s="786"/>
      <c r="H61" s="832"/>
      <c r="I61" s="1196" t="s">
        <v>311</v>
      </c>
      <c r="J61" s="1197" t="s">
        <v>342</v>
      </c>
      <c r="K61" s="1198" t="s">
        <v>190</v>
      </c>
      <c r="L61" s="1199" t="s">
        <v>343</v>
      </c>
      <c r="N61" s="832"/>
      <c r="O61" s="1196" t="s">
        <v>311</v>
      </c>
      <c r="P61" s="1197" t="s">
        <v>342</v>
      </c>
      <c r="Q61" s="1198" t="s">
        <v>190</v>
      </c>
      <c r="R61" s="1199" t="s">
        <v>343</v>
      </c>
      <c r="S61" s="1238"/>
      <c r="U61" s="2090"/>
      <c r="V61" s="2820"/>
      <c r="W61" s="2090"/>
      <c r="X61" s="2090"/>
      <c r="Y61" s="2090"/>
      <c r="Z61" s="2090"/>
      <c r="AA61" s="1230"/>
      <c r="AB61" s="1230"/>
      <c r="AC61" s="1230"/>
      <c r="AE61" s="1260" t="s">
        <v>205</v>
      </c>
      <c r="AF61" s="1261"/>
      <c r="AG61" s="1262">
        <f>W21</f>
        <v>1.8120393120392975E-2</v>
      </c>
      <c r="AH61" s="1263"/>
      <c r="AI61" s="1254">
        <f>AI60*(1+AG61)</f>
        <v>13602.001911855037</v>
      </c>
    </row>
    <row r="62" spans="1:35" ht="15.75" thickBot="1">
      <c r="A62" s="843"/>
      <c r="B62" s="15" t="s">
        <v>191</v>
      </c>
      <c r="C62" s="16"/>
      <c r="D62" s="871">
        <f>W6</f>
        <v>55383.32303680529</v>
      </c>
      <c r="E62" s="1202">
        <f>V33</f>
        <v>0.38500000000000001</v>
      </c>
      <c r="F62" s="1203">
        <f>D62*E62</f>
        <v>21322.579369170038</v>
      </c>
      <c r="G62" s="786"/>
      <c r="H62" s="15" t="s">
        <v>191</v>
      </c>
      <c r="I62" s="16"/>
      <c r="J62" s="871">
        <f>W6</f>
        <v>55383.32303680529</v>
      </c>
      <c r="K62" s="1202">
        <f>V34</f>
        <v>0.42</v>
      </c>
      <c r="L62" s="1203">
        <f>J62*K62</f>
        <v>23260.99567545822</v>
      </c>
      <c r="N62" s="15" t="s">
        <v>191</v>
      </c>
      <c r="O62" s="16"/>
      <c r="P62" s="871">
        <f>W6</f>
        <v>55383.32303680529</v>
      </c>
      <c r="Q62" s="1202">
        <f>V35</f>
        <v>0.47249999999999998</v>
      </c>
      <c r="R62" s="1203">
        <f>P62*Q62</f>
        <v>26168.620134890498</v>
      </c>
      <c r="S62" s="1227"/>
      <c r="U62" s="2821"/>
      <c r="V62" s="2821"/>
      <c r="W62" s="2090"/>
      <c r="X62" s="2090"/>
      <c r="Y62" s="2090"/>
      <c r="Z62" s="2090"/>
      <c r="AA62" s="1230"/>
      <c r="AB62" s="1230"/>
      <c r="AC62" s="1230"/>
      <c r="AE62" s="1264" t="s">
        <v>626</v>
      </c>
      <c r="AF62" s="387"/>
      <c r="AG62" s="1265"/>
      <c r="AH62" s="387"/>
      <c r="AI62" s="1224">
        <f>AI61/12</f>
        <v>1133.500159321253</v>
      </c>
    </row>
    <row r="63" spans="1:35">
      <c r="A63" s="843"/>
      <c r="B63" s="18" t="s">
        <v>466</v>
      </c>
      <c r="C63" s="749"/>
      <c r="D63" s="871">
        <f>W7</f>
        <v>43803</v>
      </c>
      <c r="E63" s="1204">
        <f>U33</f>
        <v>3.5</v>
      </c>
      <c r="F63" s="1203">
        <f t="shared" ref="F63" si="14">D63*E63</f>
        <v>153310.5</v>
      </c>
      <c r="G63" s="786"/>
      <c r="H63" s="18" t="s">
        <v>466</v>
      </c>
      <c r="I63" s="749"/>
      <c r="J63" s="871">
        <f>W7</f>
        <v>43803</v>
      </c>
      <c r="K63" s="1204">
        <f>U34</f>
        <v>4</v>
      </c>
      <c r="L63" s="1203">
        <f t="shared" ref="L63" si="15">J63*K63</f>
        <v>175212</v>
      </c>
      <c r="N63" s="18" t="s">
        <v>466</v>
      </c>
      <c r="O63" s="749"/>
      <c r="P63" s="871">
        <f>W7</f>
        <v>43803</v>
      </c>
      <c r="Q63" s="1204">
        <f>U35</f>
        <v>4.5</v>
      </c>
      <c r="R63" s="1203">
        <f t="shared" ref="R63" si="16">P63*Q63</f>
        <v>197113.5</v>
      </c>
      <c r="S63" s="1227"/>
      <c r="U63" s="2090"/>
      <c r="V63" s="2816"/>
      <c r="W63" s="2090"/>
      <c r="X63" s="2090"/>
      <c r="Y63" s="2090"/>
      <c r="Z63" s="2090"/>
      <c r="AA63" s="1230"/>
      <c r="AB63" s="1230"/>
      <c r="AC63" s="1230"/>
    </row>
    <row r="64" spans="1:35" ht="15" customHeight="1">
      <c r="A64" s="843"/>
      <c r="B64" s="18"/>
      <c r="C64" s="749"/>
      <c r="D64" s="871"/>
      <c r="E64" s="1204"/>
      <c r="F64" s="1203"/>
      <c r="G64" s="786"/>
      <c r="H64" s="18"/>
      <c r="I64" s="749"/>
      <c r="J64" s="871"/>
      <c r="K64" s="1204"/>
      <c r="L64" s="1203"/>
      <c r="N64" s="18"/>
      <c r="O64" s="749"/>
      <c r="P64" s="871"/>
      <c r="Q64" s="1204"/>
      <c r="R64" s="1203"/>
      <c r="S64" s="1227"/>
      <c r="U64" s="2090"/>
      <c r="V64" s="2816"/>
      <c r="W64" s="2090"/>
      <c r="X64" s="2090"/>
      <c r="Y64" s="2090"/>
      <c r="Z64" s="2090"/>
      <c r="AA64" s="1230"/>
      <c r="AB64" s="1230"/>
      <c r="AC64" s="1230"/>
    </row>
    <row r="65" spans="1:31">
      <c r="A65" s="843"/>
      <c r="B65" s="868" t="s">
        <v>217</v>
      </c>
      <c r="C65" s="867"/>
      <c r="D65" s="866"/>
      <c r="E65" s="1206">
        <f>SUM(E62:E64)</f>
        <v>3.8849999999999998</v>
      </c>
      <c r="F65" s="1207">
        <f>SUM(F62:F63)</f>
        <v>174633.07936917004</v>
      </c>
      <c r="G65" s="786"/>
      <c r="H65" s="868" t="s">
        <v>217</v>
      </c>
      <c r="I65" s="867"/>
      <c r="J65" s="866"/>
      <c r="K65" s="1206">
        <f>SUM(K62:K64)</f>
        <v>4.42</v>
      </c>
      <c r="L65" s="1207">
        <f>SUM(L62:L63)</f>
        <v>198472.99567545822</v>
      </c>
      <c r="N65" s="868" t="s">
        <v>217</v>
      </c>
      <c r="O65" s="867"/>
      <c r="P65" s="866"/>
      <c r="Q65" s="1206">
        <f>SUM(Q62:Q64)</f>
        <v>4.9725000000000001</v>
      </c>
      <c r="R65" s="1207">
        <f>SUM(R62:R63)</f>
        <v>223282.12013489049</v>
      </c>
      <c r="S65" s="1232"/>
      <c r="T65" s="1225"/>
      <c r="U65" s="2090"/>
      <c r="V65" s="2816"/>
      <c r="W65" s="2090"/>
      <c r="X65" s="2090"/>
      <c r="Y65" s="2090"/>
      <c r="Z65" s="2090"/>
      <c r="AA65" s="1230"/>
      <c r="AB65" s="1230"/>
      <c r="AC65" s="1230"/>
    </row>
    <row r="66" spans="1:31" s="1225" customFormat="1">
      <c r="A66" s="843"/>
      <c r="B66" s="863"/>
      <c r="C66" s="862"/>
      <c r="D66" s="861"/>
      <c r="E66" s="1208"/>
      <c r="F66" s="1209"/>
      <c r="G66" s="786"/>
      <c r="H66" s="863"/>
      <c r="I66" s="862"/>
      <c r="J66" s="861"/>
      <c r="K66" s="860"/>
      <c r="L66" s="1209"/>
      <c r="M66" s="786"/>
      <c r="N66" s="863"/>
      <c r="O66" s="862"/>
      <c r="P66" s="861"/>
      <c r="Q66" s="1208"/>
      <c r="R66" s="1209"/>
      <c r="S66" s="1232"/>
      <c r="T66" s="786"/>
      <c r="U66" s="2090"/>
      <c r="V66" s="2816"/>
      <c r="W66" s="2090"/>
      <c r="X66" s="2090"/>
      <c r="Y66" s="2090"/>
      <c r="Z66" s="2090"/>
      <c r="AA66" s="1230"/>
      <c r="AB66" s="1230"/>
      <c r="AC66" s="1230"/>
      <c r="AD66" s="786"/>
      <c r="AE66" s="786"/>
    </row>
    <row r="67" spans="1:31">
      <c r="A67" s="1229"/>
      <c r="B67" s="832" t="s">
        <v>195</v>
      </c>
      <c r="C67" s="859"/>
      <c r="D67" s="830"/>
      <c r="E67" s="858"/>
      <c r="F67" s="1210"/>
      <c r="G67" s="786"/>
      <c r="H67" s="832" t="s">
        <v>195</v>
      </c>
      <c r="I67" s="859"/>
      <c r="J67" s="830"/>
      <c r="K67" s="858"/>
      <c r="L67" s="1210"/>
      <c r="N67" s="832" t="s">
        <v>195</v>
      </c>
      <c r="O67" s="859"/>
      <c r="P67" s="830"/>
      <c r="Q67" s="858"/>
      <c r="R67" s="1210"/>
      <c r="S67" s="1235"/>
      <c r="U67" s="2090"/>
      <c r="V67" s="2816"/>
      <c r="W67" s="2090"/>
      <c r="X67" s="2090"/>
      <c r="Y67" s="2090"/>
      <c r="Z67" s="2090"/>
      <c r="AA67" s="1230"/>
      <c r="AB67" s="1230"/>
      <c r="AC67" s="1230"/>
    </row>
    <row r="68" spans="1:31">
      <c r="A68" s="843"/>
      <c r="B68" s="822" t="s">
        <v>196</v>
      </c>
      <c r="C68" s="855">
        <f>W17</f>
        <v>0.22</v>
      </c>
      <c r="D68" s="1211"/>
      <c r="E68" s="853"/>
      <c r="F68" s="1212">
        <f>C68*F65</f>
        <v>38419.277461217411</v>
      </c>
      <c r="G68" s="786"/>
      <c r="H68" s="822" t="s">
        <v>196</v>
      </c>
      <c r="I68" s="855">
        <f>W17</f>
        <v>0.22</v>
      </c>
      <c r="J68" s="1211"/>
      <c r="K68" s="853"/>
      <c r="L68" s="1213">
        <f>I68*L65</f>
        <v>43664.059048600808</v>
      </c>
      <c r="N68" s="822" t="s">
        <v>196</v>
      </c>
      <c r="O68" s="855">
        <f>W17</f>
        <v>0.22</v>
      </c>
      <c r="P68" s="1211"/>
      <c r="Q68" s="853"/>
      <c r="R68" s="1213">
        <f>O68*R65</f>
        <v>49122.066429675906</v>
      </c>
      <c r="S68" s="1239"/>
      <c r="U68" s="2090"/>
      <c r="V68" s="2816"/>
      <c r="W68" s="2090"/>
      <c r="X68" s="2090"/>
      <c r="Y68" s="2090"/>
      <c r="Z68" s="2090"/>
      <c r="AA68" s="1230"/>
      <c r="AB68" s="1230"/>
      <c r="AC68" s="1230"/>
    </row>
    <row r="69" spans="1:31">
      <c r="A69" s="843"/>
      <c r="B69" s="787" t="s">
        <v>198</v>
      </c>
      <c r="C69" s="848"/>
      <c r="D69" s="847"/>
      <c r="E69" s="846"/>
      <c r="F69" s="1214">
        <f>F68+F65</f>
        <v>213052.35683038743</v>
      </c>
      <c r="G69" s="786"/>
      <c r="H69" s="787" t="s">
        <v>198</v>
      </c>
      <c r="I69" s="848"/>
      <c r="J69" s="847"/>
      <c r="K69" s="846"/>
      <c r="L69" s="1214">
        <f>L68+L65</f>
        <v>242137.05472405904</v>
      </c>
      <c r="N69" s="787" t="s">
        <v>198</v>
      </c>
      <c r="O69" s="848"/>
      <c r="P69" s="847"/>
      <c r="Q69" s="846"/>
      <c r="R69" s="1214">
        <f>R68+R65</f>
        <v>272404.18656456639</v>
      </c>
      <c r="S69" s="1235"/>
      <c r="U69" s="1495"/>
      <c r="V69" s="2816"/>
      <c r="W69" s="2090"/>
      <c r="X69" s="1495"/>
      <c r="Y69" s="1495"/>
      <c r="Z69" s="1495"/>
      <c r="AA69" s="1230"/>
      <c r="AB69" s="1230"/>
      <c r="AC69" s="1230"/>
    </row>
    <row r="70" spans="1:31" ht="15" customHeight="1">
      <c r="A70" s="843"/>
      <c r="B70" s="29" t="s">
        <v>313</v>
      </c>
      <c r="C70" s="30"/>
      <c r="D70" s="16">
        <f>W10</f>
        <v>5155.4902174195804</v>
      </c>
      <c r="E70" s="841"/>
      <c r="F70" s="1203">
        <f>D70*$E$63*$W$33</f>
        <v>33789.942133337499</v>
      </c>
      <c r="G70" s="786"/>
      <c r="H70" s="29" t="s">
        <v>313</v>
      </c>
      <c r="I70" s="30"/>
      <c r="J70" s="16">
        <f>W10</f>
        <v>5155.4902174195804</v>
      </c>
      <c r="K70" s="841"/>
      <c r="L70" s="1203">
        <f>J70*$K$63*$W$34</f>
        <v>36203.509428575897</v>
      </c>
      <c r="N70" s="29" t="s">
        <v>313</v>
      </c>
      <c r="O70" s="30"/>
      <c r="P70" s="16">
        <f>W10</f>
        <v>5155.4902174195804</v>
      </c>
      <c r="Q70" s="841"/>
      <c r="R70" s="1203">
        <f>P70*$Q$63*$W$35</f>
        <v>38466.228767861889</v>
      </c>
      <c r="S70" s="1227"/>
      <c r="U70" s="1495"/>
      <c r="V70" s="2816"/>
      <c r="W70" s="2090"/>
      <c r="X70" s="1495"/>
      <c r="Y70" s="1495"/>
      <c r="Z70" s="1495"/>
      <c r="AA70" s="1230"/>
      <c r="AB70" s="1230"/>
      <c r="AC70" s="1230"/>
    </row>
    <row r="71" spans="1:31">
      <c r="B71" s="835" t="s">
        <v>673</v>
      </c>
      <c r="C71" s="821"/>
      <c r="D71" s="16">
        <f t="shared" ref="D71:D74" si="17">W11</f>
        <v>178.16741415351552</v>
      </c>
      <c r="E71" s="838"/>
      <c r="F71" s="1203">
        <f>D71*$E$63*$W$33</f>
        <v>1167.7389269311664</v>
      </c>
      <c r="G71" s="786"/>
      <c r="H71" s="835" t="s">
        <v>673</v>
      </c>
      <c r="I71" s="821"/>
      <c r="J71" s="16">
        <f t="shared" ref="J71:J74" si="18">W11</f>
        <v>178.16741415351552</v>
      </c>
      <c r="K71" s="838"/>
      <c r="L71" s="1203">
        <f>J71*$K$63*$W$34</f>
        <v>1251.1488502833924</v>
      </c>
      <c r="N71" s="835" t="s">
        <v>673</v>
      </c>
      <c r="O71" s="821"/>
      <c r="P71" s="16">
        <f t="shared" ref="P71:P74" si="19">W11</f>
        <v>178.16741415351552</v>
      </c>
      <c r="Q71" s="838"/>
      <c r="R71" s="1203">
        <f>P71*$Q$63*$W$35</f>
        <v>1329.3456534261045</v>
      </c>
      <c r="S71" s="1227"/>
      <c r="U71" s="1495"/>
      <c r="V71" s="1495"/>
      <c r="W71" s="1495"/>
      <c r="X71" s="1495"/>
      <c r="Y71" s="1495"/>
      <c r="Z71" s="1495"/>
      <c r="AA71" s="1230"/>
      <c r="AB71" s="1230"/>
      <c r="AC71" s="1230"/>
    </row>
    <row r="72" spans="1:31">
      <c r="B72" s="822" t="s">
        <v>674</v>
      </c>
      <c r="C72" s="821"/>
      <c r="D72" s="16">
        <f t="shared" si="17"/>
        <v>1410.7821990248415</v>
      </c>
      <c r="E72" s="838"/>
      <c r="F72" s="1203">
        <f>D72*$E$63*$W$33</f>
        <v>9246.5016627753157</v>
      </c>
      <c r="G72" s="786"/>
      <c r="H72" s="822" t="s">
        <v>674</v>
      </c>
      <c r="I72" s="821"/>
      <c r="J72" s="16">
        <f t="shared" si="18"/>
        <v>1410.7821990248415</v>
      </c>
      <c r="K72" s="838"/>
      <c r="L72" s="1203">
        <f>J72*$K$63*$W$34</f>
        <v>9906.9660672592672</v>
      </c>
      <c r="N72" s="822" t="s">
        <v>674</v>
      </c>
      <c r="O72" s="821"/>
      <c r="P72" s="16">
        <f t="shared" si="19"/>
        <v>1410.7821990248415</v>
      </c>
      <c r="Q72" s="838"/>
      <c r="R72" s="1203">
        <f>P72*$Q$63*$W$35</f>
        <v>10526.151446462971</v>
      </c>
      <c r="S72" s="1227"/>
      <c r="U72" s="2090"/>
      <c r="V72" s="2587"/>
      <c r="W72" s="2090"/>
      <c r="X72" s="2090"/>
      <c r="Y72" s="2090"/>
      <c r="Z72" s="2090"/>
      <c r="AA72" s="1230"/>
      <c r="AB72" s="1230"/>
      <c r="AC72" s="1230"/>
    </row>
    <row r="73" spans="1:31">
      <c r="B73" s="822" t="s">
        <v>685</v>
      </c>
      <c r="C73" s="821"/>
      <c r="D73" s="16">
        <f t="shared" si="17"/>
        <v>799.70498223424943</v>
      </c>
      <c r="E73" s="838"/>
      <c r="F73" s="1203">
        <f>D73*$E$63*$W$33</f>
        <v>5241.3997377269761</v>
      </c>
      <c r="G73" s="786"/>
      <c r="H73" s="822" t="s">
        <v>685</v>
      </c>
      <c r="I73" s="821"/>
      <c r="J73" s="16">
        <f t="shared" si="18"/>
        <v>799.70498223424943</v>
      </c>
      <c r="K73" s="838"/>
      <c r="L73" s="1203">
        <f>J73*$K$63*$W$34</f>
        <v>5615.7854332789038</v>
      </c>
      <c r="N73" s="822" t="s">
        <v>685</v>
      </c>
      <c r="O73" s="821"/>
      <c r="P73" s="16">
        <f t="shared" si="19"/>
        <v>799.70498223424943</v>
      </c>
      <c r="Q73" s="838"/>
      <c r="R73" s="1203">
        <f>P73*$Q$63*$W$35</f>
        <v>5966.772022858835</v>
      </c>
      <c r="S73" s="1227"/>
      <c r="U73" s="2090"/>
      <c r="V73" s="2587"/>
      <c r="W73" s="2090"/>
      <c r="X73" s="2090"/>
      <c r="Y73" s="2090"/>
      <c r="Z73" s="2090"/>
      <c r="AA73" s="1230"/>
      <c r="AB73" s="1230"/>
      <c r="AC73" s="1230"/>
      <c r="AD73" s="1225"/>
      <c r="AE73" s="1225"/>
    </row>
    <row r="74" spans="1:31">
      <c r="B74" s="835" t="s">
        <v>686</v>
      </c>
      <c r="C74" s="386"/>
      <c r="D74" s="16">
        <f t="shared" si="17"/>
        <v>1572.2963237683009</v>
      </c>
      <c r="E74" s="833"/>
      <c r="F74" s="1203">
        <f>D74*$E$63*$W$33</f>
        <v>10305.092155364739</v>
      </c>
      <c r="G74" s="786"/>
      <c r="H74" s="835" t="s">
        <v>686</v>
      </c>
      <c r="I74" s="386"/>
      <c r="J74" s="16">
        <f t="shared" si="18"/>
        <v>1572.2963237683009</v>
      </c>
      <c r="K74" s="833"/>
      <c r="L74" s="1203">
        <f>J74*$K$63*$W$34</f>
        <v>11041.170166462221</v>
      </c>
      <c r="N74" s="835" t="s">
        <v>686</v>
      </c>
      <c r="O74" s="386"/>
      <c r="P74" s="16">
        <f t="shared" si="19"/>
        <v>1572.2963237683009</v>
      </c>
      <c r="Q74" s="833"/>
      <c r="R74" s="1203">
        <f>P74*$Q$63*$W$35</f>
        <v>11731.24330186611</v>
      </c>
      <c r="S74" s="1227"/>
      <c r="U74" s="2090"/>
      <c r="V74" s="2587"/>
      <c r="W74" s="2090"/>
      <c r="X74" s="2090"/>
      <c r="Y74" s="2090"/>
      <c r="Z74" s="2090"/>
      <c r="AA74" s="1230"/>
      <c r="AB74" s="1230"/>
      <c r="AC74" s="1230"/>
    </row>
    <row r="75" spans="1:31">
      <c r="B75" s="3003" t="str">
        <f>$U$15</f>
        <v>Flex Funding Administration</v>
      </c>
      <c r="C75" s="826"/>
      <c r="D75" s="3004">
        <f>$W$15</f>
        <v>1000</v>
      </c>
      <c r="E75" s="3005"/>
      <c r="F75" s="3006">
        <f>D75*E63</f>
        <v>3500</v>
      </c>
      <c r="G75" s="786"/>
      <c r="H75" s="3003" t="str">
        <f>$U$15</f>
        <v>Flex Funding Administration</v>
      </c>
      <c r="I75" s="826"/>
      <c r="J75" s="3004">
        <f>$W$15</f>
        <v>1000</v>
      </c>
      <c r="K75" s="3005"/>
      <c r="L75" s="3006">
        <f>J75*K63</f>
        <v>4000</v>
      </c>
      <c r="N75" s="3003" t="str">
        <f>$U$15</f>
        <v>Flex Funding Administration</v>
      </c>
      <c r="O75" s="826"/>
      <c r="P75" s="3004">
        <f>$W$15</f>
        <v>1000</v>
      </c>
      <c r="Q75" s="3005"/>
      <c r="R75" s="3006">
        <f>P75*Q63</f>
        <v>4500</v>
      </c>
      <c r="S75" s="1232"/>
      <c r="U75" s="2818"/>
      <c r="V75" s="2817"/>
      <c r="W75" s="2558"/>
      <c r="X75" s="2818"/>
      <c r="Y75" s="2090"/>
      <c r="Z75" s="2090"/>
      <c r="AA75" s="1230"/>
      <c r="AB75" s="1230"/>
      <c r="AC75" s="1230"/>
    </row>
    <row r="76" spans="1:31" ht="15.75" thickBot="1">
      <c r="B76" s="816" t="s">
        <v>203</v>
      </c>
      <c r="C76" s="815"/>
      <c r="D76" s="814"/>
      <c r="E76" s="813"/>
      <c r="F76" s="1220">
        <f>SUM(F69:F75)</f>
        <v>276303.03144652315</v>
      </c>
      <c r="G76" s="1221"/>
      <c r="H76" s="816" t="s">
        <v>203</v>
      </c>
      <c r="I76" s="815"/>
      <c r="J76" s="814"/>
      <c r="K76" s="813"/>
      <c r="L76" s="1220">
        <f>SUM(L69:L75)</f>
        <v>310155.63466991868</v>
      </c>
      <c r="N76" s="816" t="s">
        <v>203</v>
      </c>
      <c r="O76" s="815"/>
      <c r="P76" s="814"/>
      <c r="Q76" s="813"/>
      <c r="R76" s="1220">
        <f>SUM(R69:R75)</f>
        <v>344923.92775704229</v>
      </c>
      <c r="S76" s="1235"/>
      <c r="U76" s="2090"/>
      <c r="V76" s="2587"/>
      <c r="W76" s="2090"/>
      <c r="X76" s="2090"/>
      <c r="Y76" s="2090"/>
      <c r="Z76" s="2090"/>
      <c r="AA76" s="1230"/>
      <c r="AB76" s="1230"/>
      <c r="AC76" s="1230"/>
    </row>
    <row r="77" spans="1:31" ht="15.75" thickTop="1">
      <c r="B77" s="2769" t="s">
        <v>315</v>
      </c>
      <c r="C77" s="890">
        <f>W18</f>
        <v>0.11</v>
      </c>
      <c r="D77" s="830"/>
      <c r="E77" s="829"/>
      <c r="F77" s="1210">
        <f>C77*F76</f>
        <v>30393.333459117548</v>
      </c>
      <c r="G77" s="1221"/>
      <c r="H77" s="2769" t="s">
        <v>315</v>
      </c>
      <c r="I77" s="890">
        <f>W18</f>
        <v>0.11</v>
      </c>
      <c r="J77" s="830"/>
      <c r="K77" s="829"/>
      <c r="L77" s="1210">
        <f>I77*L76</f>
        <v>34117.119813691053</v>
      </c>
      <c r="N77" s="2769" t="s">
        <v>315</v>
      </c>
      <c r="O77" s="890">
        <f>W18</f>
        <v>0.11</v>
      </c>
      <c r="P77" s="830"/>
      <c r="Q77" s="829"/>
      <c r="R77" s="1210">
        <f>O77*R76</f>
        <v>37941.632053274654</v>
      </c>
      <c r="S77" s="1235"/>
      <c r="U77" s="2090"/>
      <c r="V77" s="2587"/>
      <c r="W77" s="2090"/>
      <c r="X77" s="2090"/>
      <c r="Y77" s="2090"/>
      <c r="Z77" s="2090"/>
      <c r="AA77" s="1230"/>
      <c r="AB77" s="1230"/>
      <c r="AC77" s="1230"/>
    </row>
    <row r="78" spans="1:31">
      <c r="B78" s="2771" t="s">
        <v>653</v>
      </c>
      <c r="C78" s="2811">
        <f>C50</f>
        <v>6.3E-3</v>
      </c>
      <c r="D78" s="830"/>
      <c r="E78" s="829"/>
      <c r="F78" s="1210">
        <f>C78*F65</f>
        <v>1100.1884000257712</v>
      </c>
      <c r="G78" s="1221"/>
      <c r="H78" s="2771" t="s">
        <v>653</v>
      </c>
      <c r="I78" s="2811">
        <f>I50</f>
        <v>6.3E-3</v>
      </c>
      <c r="J78" s="830"/>
      <c r="K78" s="829"/>
      <c r="L78" s="1210">
        <f>I78*L65</f>
        <v>1250.3798727553867</v>
      </c>
      <c r="N78" s="2771" t="s">
        <v>653</v>
      </c>
      <c r="O78" s="2811">
        <f>O50</f>
        <v>6.3E-3</v>
      </c>
      <c r="P78" s="830"/>
      <c r="Q78" s="829"/>
      <c r="R78" s="1210">
        <f>O78*R65</f>
        <v>1406.6773568498102</v>
      </c>
      <c r="S78" s="1235"/>
      <c r="U78" s="1227"/>
      <c r="V78" s="1227"/>
      <c r="W78" s="1230"/>
      <c r="X78" s="1230"/>
      <c r="Y78" s="1230"/>
      <c r="Z78" s="1230"/>
      <c r="AA78" s="1230"/>
      <c r="AB78" s="1230"/>
    </row>
    <row r="79" spans="1:31" ht="15.75" thickBot="1">
      <c r="B79" s="2807"/>
      <c r="C79" s="2812"/>
      <c r="D79" s="830"/>
      <c r="E79" s="829"/>
      <c r="F79" s="2824">
        <f>C79*(F70+F71+F72+F73+F74)</f>
        <v>0</v>
      </c>
      <c r="G79" s="1221"/>
      <c r="H79" s="2807"/>
      <c r="I79" s="2812"/>
      <c r="J79" s="830"/>
      <c r="K79" s="829"/>
      <c r="L79" s="2824">
        <f>I79*(L70+L71+L72+L73+L74)</f>
        <v>0</v>
      </c>
      <c r="N79" s="2807"/>
      <c r="O79" s="2812"/>
      <c r="P79" s="830"/>
      <c r="Q79" s="829"/>
      <c r="R79" s="2824">
        <f>O79*(R70+R71+R72+R73+R74)</f>
        <v>0</v>
      </c>
      <c r="S79" s="2822"/>
      <c r="U79" s="1227"/>
      <c r="V79" s="1227"/>
      <c r="W79" s="1230"/>
      <c r="X79" s="1230"/>
      <c r="Y79" s="1230"/>
      <c r="Z79" s="1230"/>
    </row>
    <row r="80" spans="1:31">
      <c r="B80" s="2807"/>
      <c r="C80" s="2812"/>
      <c r="D80" s="830"/>
      <c r="E80" s="829"/>
      <c r="F80" s="2813">
        <f>SUM(F76:F79)</f>
        <v>307796.55330566649</v>
      </c>
      <c r="G80" s="1221"/>
      <c r="H80" s="2807"/>
      <c r="I80" s="2812"/>
      <c r="J80" s="830"/>
      <c r="K80" s="829"/>
      <c r="L80" s="2813">
        <f>SUM(L76:L79)</f>
        <v>345523.13435636513</v>
      </c>
      <c r="N80" s="2807"/>
      <c r="O80" s="2812"/>
      <c r="P80" s="830"/>
      <c r="Q80" s="829"/>
      <c r="R80" s="2813">
        <f>SUM(R76:R79)</f>
        <v>384272.23716716678</v>
      </c>
      <c r="S80" s="2822"/>
      <c r="U80" s="1192"/>
      <c r="V80" s="1192"/>
    </row>
    <row r="81" spans="1:22">
      <c r="B81" s="832" t="s">
        <v>205</v>
      </c>
      <c r="C81" s="890">
        <f>W21</f>
        <v>1.8120393120392975E-2</v>
      </c>
      <c r="D81" s="830"/>
      <c r="E81" s="829"/>
      <c r="F81" s="2813">
        <f>C81*F80</f>
        <v>5577.3945470006684</v>
      </c>
      <c r="G81" s="1221"/>
      <c r="H81" s="832" t="s">
        <v>205</v>
      </c>
      <c r="I81" s="890">
        <f>W21</f>
        <v>1.8120393120392975E-2</v>
      </c>
      <c r="J81" s="830"/>
      <c r="K81" s="829"/>
      <c r="L81" s="2813">
        <f>I81*L80</f>
        <v>6261.0150267276967</v>
      </c>
      <c r="N81" s="832" t="s">
        <v>205</v>
      </c>
      <c r="O81" s="890">
        <f>W21</f>
        <v>1.8120393120392975E-2</v>
      </c>
      <c r="P81" s="830"/>
      <c r="Q81" s="829"/>
      <c r="R81" s="2813">
        <f>O81*R80</f>
        <v>6963.1640027219464</v>
      </c>
      <c r="S81" s="2822"/>
      <c r="U81" s="1192"/>
      <c r="V81" s="1192"/>
    </row>
    <row r="82" spans="1:22" ht="15.75" thickBot="1">
      <c r="B82" s="29"/>
      <c r="C82" s="30"/>
      <c r="D82" s="830"/>
      <c r="E82" s="829"/>
      <c r="F82" s="1220">
        <f>SUM(F80:F81)</f>
        <v>313373.94785266713</v>
      </c>
      <c r="G82" s="1221"/>
      <c r="H82" s="29"/>
      <c r="I82" s="30"/>
      <c r="J82" s="830"/>
      <c r="K82" s="829"/>
      <c r="L82" s="1220">
        <f>SUM(L80:L81)</f>
        <v>351784.14938309282</v>
      </c>
      <c r="N82" s="29"/>
      <c r="O82" s="30"/>
      <c r="P82" s="830"/>
      <c r="Q82" s="829"/>
      <c r="R82" s="1220">
        <f>SUM(R80:R81)</f>
        <v>391235.40116988873</v>
      </c>
      <c r="S82" s="1235"/>
      <c r="T82" s="1230"/>
      <c r="U82" s="1192"/>
      <c r="V82" s="1192"/>
    </row>
    <row r="83" spans="1:22" ht="16.5" thickTop="1" thickBot="1">
      <c r="B83" s="832"/>
      <c r="C83" s="890"/>
      <c r="D83" s="830"/>
      <c r="E83" s="829"/>
      <c r="F83" s="2825"/>
      <c r="G83" s="1221"/>
      <c r="H83" s="832"/>
      <c r="I83" s="890"/>
      <c r="J83" s="830"/>
      <c r="K83" s="829"/>
      <c r="L83" s="2825"/>
      <c r="N83" s="832"/>
      <c r="O83" s="890"/>
      <c r="P83" s="830"/>
      <c r="Q83" s="829"/>
      <c r="R83" s="2825"/>
      <c r="S83" s="1235"/>
      <c r="T83" s="1230"/>
      <c r="U83" s="1192"/>
      <c r="V83" s="1192"/>
    </row>
    <row r="84" spans="1:22" ht="15" customHeight="1" thickTop="1" thickBot="1">
      <c r="B84" s="798" t="s">
        <v>318</v>
      </c>
      <c r="C84" s="811"/>
      <c r="D84" s="811"/>
      <c r="E84" s="811"/>
      <c r="F84" s="1266">
        <f>F82/12</f>
        <v>26114.495654388928</v>
      </c>
      <c r="G84" s="1221"/>
      <c r="H84" s="798" t="s">
        <v>318</v>
      </c>
      <c r="I84" s="811"/>
      <c r="J84" s="811"/>
      <c r="K84" s="811"/>
      <c r="L84" s="1266">
        <f>L82/12</f>
        <v>29315.345781924403</v>
      </c>
      <c r="N84" s="798" t="s">
        <v>318</v>
      </c>
      <c r="O84" s="811"/>
      <c r="P84" s="811"/>
      <c r="Q84" s="811"/>
      <c r="R84" s="1266">
        <f>R82/12</f>
        <v>32602.950097490728</v>
      </c>
      <c r="S84" s="3009"/>
      <c r="T84" s="1230"/>
      <c r="U84" s="1192"/>
      <c r="V84" s="1192"/>
    </row>
    <row r="85" spans="1:22">
      <c r="B85" s="1225"/>
      <c r="C85" s="1225"/>
      <c r="D85" s="1225"/>
      <c r="E85" s="1225"/>
      <c r="F85" s="1226"/>
      <c r="G85" s="1227"/>
      <c r="H85" s="1225"/>
      <c r="R85" s="786"/>
      <c r="S85" s="1225"/>
      <c r="T85" s="1230"/>
      <c r="U85" s="1192"/>
      <c r="V85" s="1192"/>
    </row>
    <row r="86" spans="1:22">
      <c r="B86" s="1225"/>
      <c r="C86" s="1225"/>
      <c r="D86" s="1225"/>
      <c r="E86" s="1225"/>
      <c r="F86" s="2823"/>
      <c r="G86" s="2823"/>
      <c r="H86" s="2823"/>
      <c r="I86" s="2823"/>
      <c r="J86" s="2823"/>
      <c r="K86" s="2823"/>
      <c r="L86" s="2823"/>
      <c r="M86" s="2823"/>
      <c r="N86" s="2823"/>
      <c r="O86" s="2823"/>
      <c r="P86" s="2823"/>
      <c r="Q86" s="2823"/>
      <c r="R86" s="2823"/>
      <c r="S86" s="2823"/>
      <c r="T86" s="1230"/>
      <c r="U86" s="1192"/>
      <c r="V86" s="1192"/>
    </row>
    <row r="87" spans="1:22" ht="15.75" thickBot="1">
      <c r="A87" s="1230"/>
      <c r="B87" s="1225"/>
      <c r="C87" s="1225"/>
      <c r="D87" s="1225"/>
      <c r="E87" s="1225"/>
      <c r="F87" s="1226"/>
      <c r="G87" s="1227"/>
      <c r="H87" s="1225"/>
      <c r="R87" s="786"/>
      <c r="S87" s="1225"/>
      <c r="T87" s="1230"/>
      <c r="U87" s="1192"/>
      <c r="V87" s="1192"/>
    </row>
    <row r="88" spans="1:22">
      <c r="A88" s="1230"/>
      <c r="B88" s="3145" t="s">
        <v>1036</v>
      </c>
      <c r="C88" s="3146"/>
      <c r="D88" s="3146"/>
      <c r="E88" s="3146"/>
      <c r="F88" s="3147"/>
      <c r="G88" s="786"/>
      <c r="H88" s="3145" t="s">
        <v>1037</v>
      </c>
      <c r="I88" s="3146"/>
      <c r="J88" s="3146"/>
      <c r="K88" s="3146"/>
      <c r="L88" s="3147"/>
      <c r="N88" s="3145" t="s">
        <v>1038</v>
      </c>
      <c r="O88" s="3146"/>
      <c r="P88" s="3146"/>
      <c r="Q88" s="3146"/>
      <c r="R88" s="3147"/>
      <c r="S88" s="1236"/>
      <c r="T88" s="1230"/>
      <c r="U88" s="1192"/>
      <c r="V88" s="1192"/>
    </row>
    <row r="89" spans="1:22" ht="45">
      <c r="A89" s="1230"/>
      <c r="B89" s="832"/>
      <c r="C89" s="1196" t="s">
        <v>311</v>
      </c>
      <c r="D89" s="1197" t="s">
        <v>342</v>
      </c>
      <c r="E89" s="1198" t="s">
        <v>190</v>
      </c>
      <c r="F89" s="1199" t="s">
        <v>343</v>
      </c>
      <c r="G89" s="786"/>
      <c r="H89" s="832"/>
      <c r="I89" s="1196" t="s">
        <v>311</v>
      </c>
      <c r="J89" s="1197" t="s">
        <v>342</v>
      </c>
      <c r="K89" s="1198" t="s">
        <v>190</v>
      </c>
      <c r="L89" s="1199" t="s">
        <v>343</v>
      </c>
      <c r="N89" s="832"/>
      <c r="O89" s="1196" t="s">
        <v>311</v>
      </c>
      <c r="P89" s="1197" t="s">
        <v>342</v>
      </c>
      <c r="Q89" s="1198" t="s">
        <v>190</v>
      </c>
      <c r="R89" s="1199" t="s">
        <v>343</v>
      </c>
      <c r="S89" s="1238"/>
      <c r="U89" s="1192"/>
      <c r="V89" s="1192"/>
    </row>
    <row r="90" spans="1:22">
      <c r="B90" s="15" t="s">
        <v>191</v>
      </c>
      <c r="C90" s="16"/>
      <c r="D90" s="871">
        <f>W6</f>
        <v>55383.32303680529</v>
      </c>
      <c r="E90" s="1202">
        <f>V36</f>
        <v>0.52</v>
      </c>
      <c r="F90" s="1203">
        <f>D90*E90</f>
        <v>28799.32797913875</v>
      </c>
      <c r="G90" s="786"/>
      <c r="H90" s="15" t="s">
        <v>191</v>
      </c>
      <c r="I90" s="16"/>
      <c r="J90" s="871">
        <f t="shared" ref="J90:J91" si="20">W6</f>
        <v>55383.32303680529</v>
      </c>
      <c r="K90" s="1202">
        <f>V37</f>
        <v>0.57199999999999995</v>
      </c>
      <c r="L90" s="1203">
        <f>J90*K90</f>
        <v>31679.260777052623</v>
      </c>
      <c r="N90" s="15" t="s">
        <v>191</v>
      </c>
      <c r="O90" s="16"/>
      <c r="P90" s="871">
        <f>W6</f>
        <v>55383.32303680529</v>
      </c>
      <c r="Q90" s="1202">
        <f>V38</f>
        <v>0.61799999999999999</v>
      </c>
      <c r="R90" s="1203">
        <f>P90*Q90</f>
        <v>34226.89363674567</v>
      </c>
      <c r="S90" s="1227"/>
      <c r="U90" s="1192"/>
      <c r="V90" s="1192"/>
    </row>
    <row r="91" spans="1:22">
      <c r="B91" s="18" t="s">
        <v>466</v>
      </c>
      <c r="C91" s="749"/>
      <c r="D91" s="871">
        <f>W7</f>
        <v>43803</v>
      </c>
      <c r="E91" s="1204">
        <f>U36</f>
        <v>5</v>
      </c>
      <c r="F91" s="1203">
        <f t="shared" ref="F91" si="21">D91*E91</f>
        <v>219015</v>
      </c>
      <c r="G91" s="786"/>
      <c r="H91" s="18" t="s">
        <v>466</v>
      </c>
      <c r="I91" s="749"/>
      <c r="J91" s="871">
        <f t="shared" si="20"/>
        <v>43803</v>
      </c>
      <c r="K91" s="1204">
        <f>U37</f>
        <v>5.5</v>
      </c>
      <c r="L91" s="1203">
        <f t="shared" ref="L91" si="22">J91*K91</f>
        <v>240916.5</v>
      </c>
      <c r="N91" s="18" t="s">
        <v>466</v>
      </c>
      <c r="O91" s="749"/>
      <c r="P91" s="871">
        <f>W7</f>
        <v>43803</v>
      </c>
      <c r="Q91" s="1204">
        <f>U38</f>
        <v>6</v>
      </c>
      <c r="R91" s="1203">
        <f t="shared" ref="R91" si="23">P91*Q91</f>
        <v>262818</v>
      </c>
      <c r="S91" s="1227"/>
      <c r="U91" s="1192"/>
      <c r="V91" s="1192"/>
    </row>
    <row r="92" spans="1:22" ht="15" customHeight="1">
      <c r="B92" s="18"/>
      <c r="C92" s="749"/>
      <c r="D92" s="871"/>
      <c r="E92" s="1204"/>
      <c r="F92" s="1203"/>
      <c r="G92" s="786"/>
      <c r="H92" s="18"/>
      <c r="I92" s="749"/>
      <c r="J92" s="871"/>
      <c r="K92" s="1204"/>
      <c r="L92" s="1203"/>
      <c r="N92" s="18"/>
      <c r="O92" s="749"/>
      <c r="P92" s="871"/>
      <c r="Q92" s="1204"/>
      <c r="R92" s="1203"/>
      <c r="S92" s="1227"/>
      <c r="U92" s="1192"/>
      <c r="V92" s="1192"/>
    </row>
    <row r="93" spans="1:22">
      <c r="B93" s="868" t="s">
        <v>217</v>
      </c>
      <c r="C93" s="867"/>
      <c r="D93" s="866"/>
      <c r="E93" s="1206">
        <f>SUM(E90:E92)</f>
        <v>5.52</v>
      </c>
      <c r="F93" s="1207">
        <f>SUM(F90:F91)</f>
        <v>247814.32797913876</v>
      </c>
      <c r="G93" s="786"/>
      <c r="H93" s="868" t="s">
        <v>217</v>
      </c>
      <c r="I93" s="867"/>
      <c r="J93" s="866"/>
      <c r="K93" s="1206">
        <f>SUM(K90:K92)</f>
        <v>6.0720000000000001</v>
      </c>
      <c r="L93" s="1207">
        <f>SUM(L90:L91)</f>
        <v>272595.76077705261</v>
      </c>
      <c r="N93" s="868" t="s">
        <v>217</v>
      </c>
      <c r="O93" s="867"/>
      <c r="P93" s="866"/>
      <c r="Q93" s="1206">
        <f>SUM(Q90:Q92)</f>
        <v>6.6180000000000003</v>
      </c>
      <c r="R93" s="1207">
        <f>SUM(R90:R91)</f>
        <v>297044.89363674569</v>
      </c>
      <c r="S93" s="1232"/>
      <c r="U93" s="1192"/>
      <c r="V93" s="1192"/>
    </row>
    <row r="94" spans="1:22">
      <c r="B94" s="863"/>
      <c r="C94" s="862"/>
      <c r="D94" s="861"/>
      <c r="E94" s="1208"/>
      <c r="F94" s="1209"/>
      <c r="G94" s="786"/>
      <c r="H94" s="863"/>
      <c r="I94" s="862"/>
      <c r="J94" s="861"/>
      <c r="K94" s="860"/>
      <c r="L94" s="1209"/>
      <c r="N94" s="863"/>
      <c r="O94" s="862"/>
      <c r="P94" s="861"/>
      <c r="Q94" s="1208"/>
      <c r="R94" s="1209"/>
      <c r="S94" s="1232"/>
      <c r="U94" s="1192"/>
      <c r="V94" s="1192"/>
    </row>
    <row r="95" spans="1:22">
      <c r="B95" s="832" t="s">
        <v>195</v>
      </c>
      <c r="C95" s="859"/>
      <c r="D95" s="830"/>
      <c r="E95" s="858"/>
      <c r="F95" s="1210"/>
      <c r="G95" s="786"/>
      <c r="H95" s="832" t="s">
        <v>195</v>
      </c>
      <c r="I95" s="859"/>
      <c r="J95" s="830"/>
      <c r="K95" s="858"/>
      <c r="L95" s="1210"/>
      <c r="N95" s="832" t="s">
        <v>195</v>
      </c>
      <c r="O95" s="859"/>
      <c r="P95" s="830"/>
      <c r="Q95" s="858"/>
      <c r="R95" s="1210"/>
      <c r="S95" s="1235"/>
      <c r="U95" s="1192"/>
      <c r="V95" s="1192"/>
    </row>
    <row r="96" spans="1:22">
      <c r="B96" s="822" t="s">
        <v>196</v>
      </c>
      <c r="C96" s="855">
        <v>0.22</v>
      </c>
      <c r="D96" s="1211"/>
      <c r="E96" s="853"/>
      <c r="F96" s="1212">
        <f>C96*F93</f>
        <v>54519.152155410527</v>
      </c>
      <c r="G96" s="786"/>
      <c r="H96" s="822" t="s">
        <v>196</v>
      </c>
      <c r="I96" s="855">
        <f>W17</f>
        <v>0.22</v>
      </c>
      <c r="J96" s="1211"/>
      <c r="K96" s="853"/>
      <c r="L96" s="1213">
        <f>I96*L93</f>
        <v>59971.067370951576</v>
      </c>
      <c r="N96" s="822" t="s">
        <v>196</v>
      </c>
      <c r="O96" s="855">
        <f>W17</f>
        <v>0.22</v>
      </c>
      <c r="P96" s="1211"/>
      <c r="Q96" s="853"/>
      <c r="R96" s="1213">
        <f>O96*R93</f>
        <v>65349.876600084055</v>
      </c>
      <c r="S96" s="1239"/>
      <c r="U96" s="1192"/>
      <c r="V96" s="1192"/>
    </row>
    <row r="97" spans="2:22">
      <c r="B97" s="787" t="s">
        <v>198</v>
      </c>
      <c r="C97" s="848"/>
      <c r="D97" s="847"/>
      <c r="E97" s="846"/>
      <c r="F97" s="1214">
        <f>F96+F93</f>
        <v>302333.48013454932</v>
      </c>
      <c r="G97" s="786"/>
      <c r="H97" s="787" t="s">
        <v>198</v>
      </c>
      <c r="I97" s="848"/>
      <c r="J97" s="847"/>
      <c r="K97" s="846"/>
      <c r="L97" s="1214">
        <f>L96+L93</f>
        <v>332566.82814800419</v>
      </c>
      <c r="N97" s="787" t="s">
        <v>198</v>
      </c>
      <c r="O97" s="848"/>
      <c r="P97" s="847"/>
      <c r="Q97" s="846"/>
      <c r="R97" s="1214">
        <f>R96+R93</f>
        <v>362394.77023682976</v>
      </c>
      <c r="S97" s="1235"/>
      <c r="U97" s="1192"/>
      <c r="V97" s="1192"/>
    </row>
    <row r="98" spans="2:22">
      <c r="B98" s="29" t="s">
        <v>313</v>
      </c>
      <c r="C98" s="30"/>
      <c r="D98" s="16">
        <f>W10</f>
        <v>5155.4902174195804</v>
      </c>
      <c r="E98" s="841"/>
      <c r="F98" s="1203">
        <f>D98*$E$91*$W$36</f>
        <v>40603.241477187548</v>
      </c>
      <c r="G98" s="786"/>
      <c r="H98" s="29" t="s">
        <v>313</v>
      </c>
      <c r="I98" s="30"/>
      <c r="J98" s="16">
        <f>W10</f>
        <v>5155.4902174195804</v>
      </c>
      <c r="K98" s="841"/>
      <c r="L98" s="1203">
        <f>J98*$K$91*$W$37</f>
        <v>42633.403551046926</v>
      </c>
      <c r="N98" s="29" t="s">
        <v>313</v>
      </c>
      <c r="O98" s="30"/>
      <c r="P98" s="16">
        <f>W10</f>
        <v>5155.4902174195804</v>
      </c>
      <c r="Q98" s="841"/>
      <c r="R98" s="1203">
        <f>P98*$Q$91*$W$38</f>
        <v>45217.246190504316</v>
      </c>
      <c r="S98" s="1227"/>
      <c r="U98" s="1192"/>
      <c r="V98" s="1192"/>
    </row>
    <row r="99" spans="2:22">
      <c r="B99" s="835" t="s">
        <v>673</v>
      </c>
      <c r="C99" s="821"/>
      <c r="D99" s="16">
        <f t="shared" ref="D99:D102" si="24">W11</f>
        <v>178.16741415351552</v>
      </c>
      <c r="E99" s="838"/>
      <c r="F99" s="1203">
        <f>D99*$E$91*$W$36</f>
        <v>1403.1981897275548</v>
      </c>
      <c r="G99" s="786"/>
      <c r="H99" s="835" t="s">
        <v>673</v>
      </c>
      <c r="I99" s="821"/>
      <c r="J99" s="16">
        <f t="shared" ref="J99:J102" si="25">W11</f>
        <v>178.16741415351552</v>
      </c>
      <c r="K99" s="838"/>
      <c r="L99" s="1203">
        <f>J99*$K$91*$W$37</f>
        <v>1473.3580992139325</v>
      </c>
      <c r="N99" s="835" t="s">
        <v>673</v>
      </c>
      <c r="O99" s="821"/>
      <c r="P99" s="16">
        <f t="shared" ref="P99:P102" si="26">W11</f>
        <v>178.16741415351552</v>
      </c>
      <c r="Q99" s="838"/>
      <c r="R99" s="1203">
        <f>P99*$Q$91*$W$38</f>
        <v>1562.6525294693224</v>
      </c>
      <c r="S99" s="1227"/>
      <c r="U99" s="1192"/>
      <c r="V99" s="1192"/>
    </row>
    <row r="100" spans="2:22">
      <c r="B100" s="822" t="s">
        <v>674</v>
      </c>
      <c r="C100" s="821"/>
      <c r="D100" s="16">
        <f t="shared" si="24"/>
        <v>1410.7821990248415</v>
      </c>
      <c r="E100" s="838"/>
      <c r="F100" s="1203">
        <f>D100*$E$91*$W$36</f>
        <v>11110.937637933135</v>
      </c>
      <c r="G100" s="786"/>
      <c r="H100" s="822" t="s">
        <v>674</v>
      </c>
      <c r="I100" s="821"/>
      <c r="J100" s="16">
        <f t="shared" si="25"/>
        <v>1410.7821990248415</v>
      </c>
      <c r="K100" s="838"/>
      <c r="L100" s="1203">
        <f>J100*$K$91*$W$37</f>
        <v>11666.484519829792</v>
      </c>
      <c r="N100" s="822" t="s">
        <v>674</v>
      </c>
      <c r="O100" s="821"/>
      <c r="P100" s="16">
        <f t="shared" si="26"/>
        <v>1410.7821990248415</v>
      </c>
      <c r="Q100" s="838"/>
      <c r="R100" s="1203">
        <f>P100*$Q$91*$W$38</f>
        <v>12373.544187698266</v>
      </c>
      <c r="S100" s="1227"/>
      <c r="U100" s="1192"/>
      <c r="V100" s="1192"/>
    </row>
    <row r="101" spans="2:22">
      <c r="B101" s="822" t="s">
        <v>685</v>
      </c>
      <c r="C101" s="821"/>
      <c r="D101" s="16">
        <f t="shared" si="24"/>
        <v>799.70498223424943</v>
      </c>
      <c r="E101" s="838"/>
      <c r="F101" s="1203">
        <f>D101*$E$91*$W$36</f>
        <v>6298.2593574621042</v>
      </c>
      <c r="G101" s="786"/>
      <c r="H101" s="822" t="s">
        <v>685</v>
      </c>
      <c r="I101" s="821"/>
      <c r="J101" s="16">
        <f t="shared" si="25"/>
        <v>799.70498223424943</v>
      </c>
      <c r="K101" s="838"/>
      <c r="L101" s="1203">
        <f>J101*$K$91*$W$37</f>
        <v>6613.1723253352093</v>
      </c>
      <c r="N101" s="822" t="s">
        <v>685</v>
      </c>
      <c r="O101" s="821"/>
      <c r="P101" s="16">
        <f t="shared" si="26"/>
        <v>799.70498223424943</v>
      </c>
      <c r="Q101" s="838"/>
      <c r="R101" s="1203">
        <f>P101*$Q$91*$W$38</f>
        <v>7013.9706480827972</v>
      </c>
      <c r="S101" s="1227"/>
      <c r="U101" s="1192"/>
      <c r="V101" s="1192"/>
    </row>
    <row r="102" spans="2:22">
      <c r="B102" s="835" t="s">
        <v>686</v>
      </c>
      <c r="C102" s="821"/>
      <c r="D102" s="16">
        <f t="shared" si="24"/>
        <v>1572.2963237683009</v>
      </c>
      <c r="E102" s="833"/>
      <c r="F102" s="1203">
        <f>D102*$E$91*$W$36</f>
        <v>12382.97904085867</v>
      </c>
      <c r="G102" s="786"/>
      <c r="H102" s="835" t="s">
        <v>686</v>
      </c>
      <c r="I102" s="386"/>
      <c r="J102" s="16">
        <f t="shared" si="25"/>
        <v>1572.2963237683009</v>
      </c>
      <c r="K102" s="833"/>
      <c r="L102" s="1203">
        <f>J102*$K$91*$W$37</f>
        <v>13002.127992901604</v>
      </c>
      <c r="N102" s="835" t="s">
        <v>686</v>
      </c>
      <c r="O102" s="386"/>
      <c r="P102" s="16">
        <f t="shared" si="26"/>
        <v>1572.2963237683009</v>
      </c>
      <c r="Q102" s="833"/>
      <c r="R102" s="1203">
        <f>P102*$Q$91*$W$38</f>
        <v>13790.135750047159</v>
      </c>
      <c r="S102" s="1227"/>
      <c r="U102" s="1192"/>
      <c r="V102" s="1192"/>
    </row>
    <row r="103" spans="2:22">
      <c r="B103" s="3003" t="str">
        <f>$U$15</f>
        <v>Flex Funding Administration</v>
      </c>
      <c r="C103" s="826"/>
      <c r="D103" s="3004">
        <f>$W$15</f>
        <v>1000</v>
      </c>
      <c r="E103" s="3005"/>
      <c r="F103" s="3006">
        <f>D103*E91</f>
        <v>5000</v>
      </c>
      <c r="G103" s="786"/>
      <c r="H103" s="3003" t="str">
        <f>$U$15</f>
        <v>Flex Funding Administration</v>
      </c>
      <c r="I103" s="826"/>
      <c r="J103" s="3004">
        <f>$W$15</f>
        <v>1000</v>
      </c>
      <c r="K103" s="3005"/>
      <c r="L103" s="3006">
        <f>J103*K91</f>
        <v>5500</v>
      </c>
      <c r="N103" s="3003" t="str">
        <f>$U$15</f>
        <v>Flex Funding Administration</v>
      </c>
      <c r="O103" s="826"/>
      <c r="P103" s="3004">
        <f>$W$15</f>
        <v>1000</v>
      </c>
      <c r="Q103" s="3005"/>
      <c r="R103" s="3006">
        <f>P103*Q91</f>
        <v>6000</v>
      </c>
      <c r="S103" s="1232"/>
      <c r="U103" s="1192"/>
      <c r="V103" s="1192"/>
    </row>
    <row r="104" spans="2:22" ht="15" customHeight="1" thickBot="1">
      <c r="B104" s="816" t="s">
        <v>203</v>
      </c>
      <c r="C104" s="815"/>
      <c r="D104" s="814"/>
      <c r="E104" s="813"/>
      <c r="F104" s="1220">
        <f>SUM(F97:F103)</f>
        <v>379132.09583771834</v>
      </c>
      <c r="G104" s="1221"/>
      <c r="H104" s="816" t="s">
        <v>203</v>
      </c>
      <c r="I104" s="815"/>
      <c r="J104" s="814"/>
      <c r="K104" s="813"/>
      <c r="L104" s="1220">
        <f>SUM(L97:L103)</f>
        <v>413455.37463633163</v>
      </c>
      <c r="N104" s="816" t="s">
        <v>203</v>
      </c>
      <c r="O104" s="815"/>
      <c r="P104" s="814"/>
      <c r="Q104" s="813"/>
      <c r="R104" s="1220">
        <f>SUM(R97:R103)</f>
        <v>448352.31954263162</v>
      </c>
      <c r="S104" s="1235"/>
    </row>
    <row r="105" spans="2:22" ht="15.75" thickTop="1">
      <c r="B105" s="2769" t="s">
        <v>315</v>
      </c>
      <c r="C105" s="890">
        <f>C77</f>
        <v>0.11</v>
      </c>
      <c r="D105" s="830"/>
      <c r="E105" s="829"/>
      <c r="F105" s="1210">
        <f>C105*F104</f>
        <v>41704.530542149019</v>
      </c>
      <c r="G105" s="1221"/>
      <c r="H105" s="2769" t="s">
        <v>315</v>
      </c>
      <c r="I105" s="890">
        <f>I77</f>
        <v>0.11</v>
      </c>
      <c r="J105" s="830"/>
      <c r="K105" s="829"/>
      <c r="L105" s="1210">
        <f>I105*L104</f>
        <v>45480.091209996477</v>
      </c>
      <c r="N105" s="2769" t="s">
        <v>315</v>
      </c>
      <c r="O105" s="890">
        <f>O77</f>
        <v>0.11</v>
      </c>
      <c r="P105" s="830"/>
      <c r="Q105" s="829"/>
      <c r="R105" s="1210">
        <f>O105*R104</f>
        <v>49318.755149689481</v>
      </c>
      <c r="S105" s="1235"/>
    </row>
    <row r="106" spans="2:22">
      <c r="B106" s="2771" t="s">
        <v>653</v>
      </c>
      <c r="C106" s="2811">
        <f>C78</f>
        <v>6.3E-3</v>
      </c>
      <c r="D106" s="830"/>
      <c r="E106" s="829"/>
      <c r="F106" s="1210">
        <f>C106*F93</f>
        <v>1561.2302662685743</v>
      </c>
      <c r="G106" s="1221"/>
      <c r="H106" s="2771" t="s">
        <v>653</v>
      </c>
      <c r="I106" s="2811">
        <f>I78</f>
        <v>6.3E-3</v>
      </c>
      <c r="J106" s="830"/>
      <c r="K106" s="829"/>
      <c r="L106" s="1210">
        <f>I106*L93</f>
        <v>1717.3532928954314</v>
      </c>
      <c r="N106" s="2771" t="s">
        <v>653</v>
      </c>
      <c r="O106" s="2811">
        <f>O78</f>
        <v>6.3E-3</v>
      </c>
      <c r="P106" s="830"/>
      <c r="Q106" s="829"/>
      <c r="R106" s="1210">
        <f>O106*R93</f>
        <v>1871.3828299114978</v>
      </c>
      <c r="S106" s="1235"/>
    </row>
    <row r="107" spans="2:22" ht="15.75" thickBot="1">
      <c r="B107" s="2807"/>
      <c r="C107" s="2812"/>
      <c r="D107" s="830"/>
      <c r="E107" s="829"/>
      <c r="F107" s="2824">
        <f>C107*(F98+F99+F100+F101+F102)</f>
        <v>0</v>
      </c>
      <c r="G107" s="1221"/>
      <c r="H107" s="2807"/>
      <c r="I107" s="2812"/>
      <c r="J107" s="830"/>
      <c r="K107" s="829"/>
      <c r="L107" s="2824">
        <f>I107*(L98+L99+L100+L101+L102)</f>
        <v>0</v>
      </c>
      <c r="N107" s="2807"/>
      <c r="O107" s="2812"/>
      <c r="P107" s="830"/>
      <c r="Q107" s="829"/>
      <c r="R107" s="2824">
        <f>O107*(R98+R99+R100+R101+R102)</f>
        <v>0</v>
      </c>
      <c r="S107" s="2822"/>
    </row>
    <row r="108" spans="2:22">
      <c r="B108" s="2807"/>
      <c r="C108" s="2812"/>
      <c r="D108" s="830"/>
      <c r="E108" s="829"/>
      <c r="F108" s="2813">
        <f>SUM(F104:F107)</f>
        <v>422397.85664613597</v>
      </c>
      <c r="G108" s="1221"/>
      <c r="H108" s="2807"/>
      <c r="I108" s="2812"/>
      <c r="J108" s="830"/>
      <c r="K108" s="829"/>
      <c r="L108" s="2813">
        <f>SUM(L104:L107)</f>
        <v>460652.81913922355</v>
      </c>
      <c r="N108" s="2807"/>
      <c r="O108" s="2812"/>
      <c r="P108" s="830"/>
      <c r="Q108" s="829"/>
      <c r="R108" s="2813">
        <f>SUM(R104:R107)</f>
        <v>499542.45752223261</v>
      </c>
      <c r="S108" s="2822"/>
    </row>
    <row r="109" spans="2:22">
      <c r="B109" s="832" t="s">
        <v>205</v>
      </c>
      <c r="C109" s="890">
        <f>W21</f>
        <v>1.8120393120392975E-2</v>
      </c>
      <c r="D109" s="830"/>
      <c r="E109" s="829"/>
      <c r="F109" s="2813">
        <f>C109*F108</f>
        <v>7654.0152156393806</v>
      </c>
      <c r="G109" s="1221"/>
      <c r="H109" s="832" t="s">
        <v>205</v>
      </c>
      <c r="I109" s="890">
        <f>W21</f>
        <v>1.8120393120392975E-2</v>
      </c>
      <c r="J109" s="830"/>
      <c r="K109" s="829"/>
      <c r="L109" s="2813">
        <f>I109*L108</f>
        <v>8347.2101748200166</v>
      </c>
      <c r="N109" s="832" t="s">
        <v>205</v>
      </c>
      <c r="O109" s="890">
        <f>AG61</f>
        <v>1.8120393120392975E-2</v>
      </c>
      <c r="P109" s="830"/>
      <c r="Q109" s="829"/>
      <c r="R109" s="2813">
        <f>O109*R108</f>
        <v>9051.9057106300643</v>
      </c>
      <c r="S109" s="2822"/>
    </row>
    <row r="110" spans="2:22" ht="15.75" thickBot="1">
      <c r="B110" s="29"/>
      <c r="C110" s="30"/>
      <c r="D110" s="830"/>
      <c r="E110" s="829"/>
      <c r="F110" s="1220">
        <f>SUM(F108:F109)</f>
        <v>430051.87186177535</v>
      </c>
      <c r="G110" s="1221"/>
      <c r="H110" s="29"/>
      <c r="I110" s="30"/>
      <c r="J110" s="830"/>
      <c r="K110" s="829"/>
      <c r="L110" s="1220">
        <f>SUM(L108:L109)</f>
        <v>469000.02931404358</v>
      </c>
      <c r="N110" s="29"/>
      <c r="O110" s="30"/>
      <c r="P110" s="830"/>
      <c r="Q110" s="829"/>
      <c r="R110" s="1220">
        <f>SUM(R108:R109)</f>
        <v>508594.36323286267</v>
      </c>
      <c r="S110" s="1235"/>
    </row>
    <row r="111" spans="2:22" ht="16.5" thickTop="1" thickBot="1">
      <c r="B111" s="832"/>
      <c r="C111" s="890"/>
      <c r="D111" s="830"/>
      <c r="E111" s="829"/>
      <c r="F111" s="2825"/>
      <c r="G111" s="1221"/>
      <c r="H111" s="832"/>
      <c r="I111" s="890"/>
      <c r="J111" s="830"/>
      <c r="K111" s="829"/>
      <c r="L111" s="2825"/>
      <c r="N111" s="832"/>
      <c r="O111" s="890"/>
      <c r="P111" s="830"/>
      <c r="Q111" s="829"/>
      <c r="R111" s="2825"/>
      <c r="S111" s="1235"/>
    </row>
    <row r="112" spans="2:22" ht="15.75" customHeight="1" thickTop="1" thickBot="1">
      <c r="B112" s="798" t="s">
        <v>318</v>
      </c>
      <c r="C112" s="811"/>
      <c r="D112" s="811"/>
      <c r="E112" s="811"/>
      <c r="F112" s="1266">
        <f>F110/12</f>
        <v>35837.655988481281</v>
      </c>
      <c r="G112" s="1221"/>
      <c r="H112" s="798" t="s">
        <v>318</v>
      </c>
      <c r="I112" s="811"/>
      <c r="J112" s="811"/>
      <c r="K112" s="811"/>
      <c r="L112" s="1266">
        <f>L110/12</f>
        <v>39083.335776170301</v>
      </c>
      <c r="N112" s="798" t="s">
        <v>318</v>
      </c>
      <c r="O112" s="811"/>
      <c r="P112" s="811"/>
      <c r="Q112" s="811"/>
      <c r="R112" s="1266">
        <f>R110/12</f>
        <v>42382.863602738558</v>
      </c>
      <c r="S112" s="3009"/>
    </row>
    <row r="113" spans="2:22">
      <c r="B113" s="1231"/>
      <c r="C113" s="1231"/>
      <c r="D113" s="1231"/>
      <c r="E113" s="1231"/>
      <c r="F113" s="1232"/>
      <c r="G113" s="1221"/>
      <c r="H113" s="1233"/>
      <c r="I113" s="1234"/>
      <c r="J113" s="1233"/>
      <c r="K113" s="1233"/>
      <c r="L113" s="1232"/>
      <c r="M113" s="1230"/>
      <c r="N113" s="1233"/>
      <c r="O113" s="1234"/>
      <c r="P113" s="1233"/>
      <c r="Q113" s="1233"/>
      <c r="R113" s="1232"/>
      <c r="S113" s="1232"/>
    </row>
    <row r="114" spans="2:22">
      <c r="B114" s="1231"/>
      <c r="C114" s="1231"/>
      <c r="D114" s="1231"/>
      <c r="E114" s="1231"/>
      <c r="F114" s="1529"/>
      <c r="G114" s="1529"/>
      <c r="H114" s="1529"/>
      <c r="I114" s="1529"/>
      <c r="J114" s="1529"/>
      <c r="K114" s="1529"/>
      <c r="L114" s="1529"/>
      <c r="M114" s="1529"/>
      <c r="N114" s="1529"/>
      <c r="O114" s="1529"/>
      <c r="P114" s="1529"/>
      <c r="Q114" s="1529"/>
      <c r="R114" s="1529"/>
      <c r="S114" s="1529"/>
      <c r="U114" s="1192"/>
      <c r="V114" s="1192"/>
    </row>
    <row r="115" spans="2:22" ht="15.75" thickBot="1">
      <c r="B115" s="1231"/>
      <c r="C115" s="1231"/>
      <c r="D115" s="1231"/>
      <c r="E115" s="1231"/>
      <c r="F115" s="1232"/>
      <c r="G115" s="1221"/>
      <c r="H115" s="1233"/>
      <c r="I115" s="1234"/>
      <c r="J115" s="1233"/>
      <c r="K115" s="1233"/>
      <c r="L115" s="1232"/>
      <c r="M115" s="1230"/>
      <c r="N115" s="1233"/>
      <c r="O115" s="1234"/>
      <c r="P115" s="1233"/>
      <c r="Q115" s="1233"/>
      <c r="R115" s="1232"/>
      <c r="S115" s="1232"/>
      <c r="U115" s="1192"/>
      <c r="V115" s="1192"/>
    </row>
    <row r="116" spans="2:22">
      <c r="B116" s="3145" t="s">
        <v>1039</v>
      </c>
      <c r="C116" s="3146"/>
      <c r="D116" s="3146"/>
      <c r="E116" s="3146"/>
      <c r="F116" s="3147"/>
      <c r="G116" s="786"/>
      <c r="H116" s="3145" t="s">
        <v>1040</v>
      </c>
      <c r="I116" s="3146"/>
      <c r="J116" s="3146"/>
      <c r="K116" s="3146"/>
      <c r="L116" s="3147"/>
      <c r="N116" s="3145" t="s">
        <v>1041</v>
      </c>
      <c r="O116" s="3146"/>
      <c r="P116" s="3146"/>
      <c r="Q116" s="3146"/>
      <c r="R116" s="3147"/>
      <c r="S116" s="1236"/>
      <c r="U116" s="1192"/>
      <c r="V116" s="1192"/>
    </row>
    <row r="117" spans="2:22" ht="45">
      <c r="B117" s="832"/>
      <c r="C117" s="1196" t="s">
        <v>311</v>
      </c>
      <c r="D117" s="1197" t="s">
        <v>342</v>
      </c>
      <c r="E117" s="1198" t="s">
        <v>190</v>
      </c>
      <c r="F117" s="1199" t="s">
        <v>343</v>
      </c>
      <c r="G117" s="786"/>
      <c r="H117" s="832"/>
      <c r="I117" s="1196" t="s">
        <v>311</v>
      </c>
      <c r="J117" s="1197" t="s">
        <v>342</v>
      </c>
      <c r="K117" s="1198" t="s">
        <v>190</v>
      </c>
      <c r="L117" s="1199" t="s">
        <v>343</v>
      </c>
      <c r="N117" s="832"/>
      <c r="O117" s="1196" t="s">
        <v>311</v>
      </c>
      <c r="P117" s="1197" t="s">
        <v>342</v>
      </c>
      <c r="Q117" s="1198" t="s">
        <v>190</v>
      </c>
      <c r="R117" s="1199" t="s">
        <v>343</v>
      </c>
      <c r="S117" s="1238"/>
      <c r="U117" s="1192"/>
      <c r="V117" s="1192"/>
    </row>
    <row r="118" spans="2:22">
      <c r="B118" s="15" t="s">
        <v>191</v>
      </c>
      <c r="C118" s="16"/>
      <c r="D118" s="871">
        <f>W6</f>
        <v>55383.32303680529</v>
      </c>
      <c r="E118" s="1202">
        <f>V39</f>
        <v>0.66949999999999998</v>
      </c>
      <c r="F118" s="1203">
        <f>D118*E118</f>
        <v>37079.134773141144</v>
      </c>
      <c r="G118" s="786"/>
      <c r="H118" s="15" t="s">
        <v>191</v>
      </c>
      <c r="I118" s="16"/>
      <c r="J118" s="871">
        <f>W6</f>
        <v>55383.32303680529</v>
      </c>
      <c r="K118" s="1202">
        <f>V40</f>
        <v>0.71399999999999997</v>
      </c>
      <c r="L118" s="1203">
        <f>J118*K118</f>
        <v>39543.692648278979</v>
      </c>
      <c r="N118" s="15" t="s">
        <v>191</v>
      </c>
      <c r="O118" s="16"/>
      <c r="P118" s="871">
        <f>W6</f>
        <v>55383.32303680529</v>
      </c>
      <c r="Q118" s="1202">
        <f>V41</f>
        <v>0.76500000000000001</v>
      </c>
      <c r="R118" s="1203">
        <f>P118*Q118</f>
        <v>42368.242123156051</v>
      </c>
      <c r="S118" s="1227"/>
      <c r="U118" s="1192"/>
      <c r="V118" s="1192"/>
    </row>
    <row r="119" spans="2:22">
      <c r="B119" s="18" t="s">
        <v>466</v>
      </c>
      <c r="C119" s="749"/>
      <c r="D119" s="871">
        <f>W7</f>
        <v>43803</v>
      </c>
      <c r="E119" s="1204">
        <f>U39</f>
        <v>6.5</v>
      </c>
      <c r="F119" s="1203">
        <f t="shared" ref="F119" si="27">D119*E119</f>
        <v>284719.5</v>
      </c>
      <c r="G119" s="786"/>
      <c r="H119" s="18" t="s">
        <v>466</v>
      </c>
      <c r="I119" s="749"/>
      <c r="J119" s="871">
        <f>W7</f>
        <v>43803</v>
      </c>
      <c r="K119" s="1204">
        <f>U40</f>
        <v>7</v>
      </c>
      <c r="L119" s="1203">
        <f t="shared" ref="L119" si="28">J119*K119</f>
        <v>306621</v>
      </c>
      <c r="N119" s="18" t="s">
        <v>466</v>
      </c>
      <c r="O119" s="749"/>
      <c r="P119" s="871">
        <f>W7</f>
        <v>43803</v>
      </c>
      <c r="Q119" s="1204">
        <f>U41</f>
        <v>7.5</v>
      </c>
      <c r="R119" s="1203">
        <f t="shared" ref="R119" si="29">P119*Q119</f>
        <v>328522.5</v>
      </c>
      <c r="S119" s="1227"/>
      <c r="U119" s="1192"/>
      <c r="V119" s="1192"/>
    </row>
    <row r="120" spans="2:22">
      <c r="B120" s="18"/>
      <c r="C120" s="749"/>
      <c r="D120" s="871"/>
      <c r="E120" s="1204"/>
      <c r="F120" s="1203"/>
      <c r="G120" s="786"/>
      <c r="H120" s="18"/>
      <c r="I120" s="749"/>
      <c r="J120" s="871"/>
      <c r="K120" s="1204"/>
      <c r="L120" s="1203"/>
      <c r="N120" s="18"/>
      <c r="O120" s="749"/>
      <c r="P120" s="871"/>
      <c r="Q120" s="1204"/>
      <c r="R120" s="1203"/>
      <c r="S120" s="1227"/>
      <c r="U120" s="1192"/>
      <c r="V120" s="1192"/>
    </row>
    <row r="121" spans="2:22">
      <c r="B121" s="868" t="s">
        <v>217</v>
      </c>
      <c r="C121" s="867"/>
      <c r="D121" s="866"/>
      <c r="E121" s="1206">
        <f>SUM(E118:E120)</f>
        <v>7.1695000000000002</v>
      </c>
      <c r="F121" s="1207">
        <f>SUM(F118:F119)</f>
        <v>321798.63477314112</v>
      </c>
      <c r="G121" s="786"/>
      <c r="H121" s="868" t="s">
        <v>217</v>
      </c>
      <c r="I121" s="867"/>
      <c r="J121" s="866"/>
      <c r="K121" s="1206">
        <f>SUM(K118:K120)</f>
        <v>7.7140000000000004</v>
      </c>
      <c r="L121" s="1207">
        <f>SUM(L118:L119)</f>
        <v>346164.69264827896</v>
      </c>
      <c r="N121" s="868" t="s">
        <v>217</v>
      </c>
      <c r="O121" s="867"/>
      <c r="P121" s="866"/>
      <c r="Q121" s="1206">
        <f>SUM(Q118:Q120)</f>
        <v>8.2650000000000006</v>
      </c>
      <c r="R121" s="1207">
        <f>SUM(R118:R119)</f>
        <v>370890.74212315603</v>
      </c>
      <c r="S121" s="1232"/>
      <c r="U121" s="1192"/>
      <c r="V121" s="1192"/>
    </row>
    <row r="122" spans="2:22">
      <c r="B122" s="863"/>
      <c r="C122" s="862"/>
      <c r="D122" s="861"/>
      <c r="E122" s="1208"/>
      <c r="F122" s="1209"/>
      <c r="G122" s="786"/>
      <c r="H122" s="863"/>
      <c r="I122" s="862"/>
      <c r="J122" s="861"/>
      <c r="K122" s="860"/>
      <c r="L122" s="1209"/>
      <c r="N122" s="863"/>
      <c r="O122" s="862"/>
      <c r="P122" s="861"/>
      <c r="Q122" s="1208"/>
      <c r="R122" s="1209"/>
      <c r="S122" s="1232"/>
      <c r="U122" s="1192"/>
      <c r="V122" s="1192"/>
    </row>
    <row r="123" spans="2:22">
      <c r="B123" s="832" t="s">
        <v>195</v>
      </c>
      <c r="C123" s="859"/>
      <c r="D123" s="830"/>
      <c r="E123" s="858"/>
      <c r="F123" s="1210"/>
      <c r="G123" s="786"/>
      <c r="H123" s="832" t="s">
        <v>195</v>
      </c>
      <c r="I123" s="859"/>
      <c r="J123" s="830"/>
      <c r="K123" s="858"/>
      <c r="L123" s="1210"/>
      <c r="N123" s="832" t="s">
        <v>195</v>
      </c>
      <c r="O123" s="859"/>
      <c r="P123" s="830"/>
      <c r="Q123" s="858"/>
      <c r="R123" s="1210"/>
      <c r="S123" s="1235"/>
    </row>
    <row r="124" spans="2:22" ht="15" customHeight="1">
      <c r="B124" s="822" t="s">
        <v>196</v>
      </c>
      <c r="C124" s="855">
        <f>W17</f>
        <v>0.22</v>
      </c>
      <c r="D124" s="1211"/>
      <c r="E124" s="853"/>
      <c r="F124" s="1212">
        <f>C124*F121</f>
        <v>70795.699650091046</v>
      </c>
      <c r="G124" s="786"/>
      <c r="H124" s="822" t="s">
        <v>196</v>
      </c>
      <c r="I124" s="855">
        <f>W17</f>
        <v>0.22</v>
      </c>
      <c r="J124" s="1211"/>
      <c r="K124" s="853"/>
      <c r="L124" s="1213">
        <f>I124*L121</f>
        <v>76156.232382621369</v>
      </c>
      <c r="N124" s="822" t="s">
        <v>196</v>
      </c>
      <c r="O124" s="855">
        <f>W17</f>
        <v>0.22</v>
      </c>
      <c r="P124" s="1211"/>
      <c r="Q124" s="853"/>
      <c r="R124" s="1213">
        <f>O124*R121</f>
        <v>81595.963267094325</v>
      </c>
      <c r="S124" s="1239"/>
    </row>
    <row r="125" spans="2:22">
      <c r="B125" s="787" t="s">
        <v>198</v>
      </c>
      <c r="C125" s="848"/>
      <c r="D125" s="847"/>
      <c r="E125" s="846"/>
      <c r="F125" s="1214">
        <f>F121+F124</f>
        <v>392594.33442323218</v>
      </c>
      <c r="G125" s="786"/>
      <c r="H125" s="787" t="s">
        <v>198</v>
      </c>
      <c r="I125" s="848"/>
      <c r="J125" s="847"/>
      <c r="K125" s="846"/>
      <c r="L125" s="1214">
        <f>L121+L124</f>
        <v>422320.92503090034</v>
      </c>
      <c r="N125" s="787" t="s">
        <v>198</v>
      </c>
      <c r="O125" s="848"/>
      <c r="P125" s="847"/>
      <c r="Q125" s="846"/>
      <c r="R125" s="1214">
        <f>R124+R121</f>
        <v>452486.70539025037</v>
      </c>
      <c r="S125" s="1235"/>
    </row>
    <row r="126" spans="2:22">
      <c r="B126" s="29" t="s">
        <v>313</v>
      </c>
      <c r="C126" s="30"/>
      <c r="D126" s="16">
        <f>W10</f>
        <v>5155.4902174195804</v>
      </c>
      <c r="E126" s="841"/>
      <c r="F126" s="1203">
        <f>D126*$E$119*$W$39</f>
        <v>47729.315423310116</v>
      </c>
      <c r="G126" s="786"/>
      <c r="H126" s="29" t="s">
        <v>313</v>
      </c>
      <c r="I126" s="30"/>
      <c r="J126" s="16">
        <f>W10</f>
        <v>5155.4902174195804</v>
      </c>
      <c r="K126" s="841"/>
      <c r="L126" s="1203">
        <f>J126*$K$119*$W$40</f>
        <v>50176.972624505499</v>
      </c>
      <c r="N126" s="29" t="s">
        <v>313</v>
      </c>
      <c r="O126" s="30"/>
      <c r="P126" s="16">
        <f>W10</f>
        <v>5155.4902174195804</v>
      </c>
      <c r="Q126" s="841"/>
      <c r="R126" s="1203">
        <f>P126*$Q$119*$W$41</f>
        <v>52566.352273291472</v>
      </c>
      <c r="S126" s="1227"/>
    </row>
    <row r="127" spans="2:22">
      <c r="B127" s="835" t="s">
        <v>673</v>
      </c>
      <c r="C127" s="821"/>
      <c r="D127" s="16">
        <f t="shared" ref="D127:D130" si="30">W11</f>
        <v>178.16741415351552</v>
      </c>
      <c r="E127" s="838"/>
      <c r="F127" s="1203">
        <f>D127*$E$119*$W$39</f>
        <v>1649.4665588842847</v>
      </c>
      <c r="G127" s="786"/>
      <c r="H127" s="835" t="s">
        <v>673</v>
      </c>
      <c r="I127" s="821"/>
      <c r="J127" s="16">
        <f t="shared" ref="J127:J130" si="31">W11</f>
        <v>178.16741415351552</v>
      </c>
      <c r="K127" s="838"/>
      <c r="L127" s="1203">
        <f>J127*$K$119*$W$40</f>
        <v>1734.0545875450173</v>
      </c>
      <c r="N127" s="835" t="s">
        <v>673</v>
      </c>
      <c r="O127" s="821"/>
      <c r="P127" s="16">
        <f t="shared" ref="P127:P130" si="32">W11</f>
        <v>178.16741415351552</v>
      </c>
      <c r="Q127" s="838"/>
      <c r="R127" s="1203">
        <f>P127*$Q$119*$W$41</f>
        <v>1816.6286155233513</v>
      </c>
      <c r="S127" s="1227"/>
    </row>
    <row r="128" spans="2:22">
      <c r="B128" s="822" t="s">
        <v>674</v>
      </c>
      <c r="C128" s="821"/>
      <c r="D128" s="16">
        <f t="shared" si="30"/>
        <v>1410.7821990248415</v>
      </c>
      <c r="E128" s="838"/>
      <c r="F128" s="1203">
        <f>D128*$E$119*$W$39</f>
        <v>13060.963309237059</v>
      </c>
      <c r="G128" s="786"/>
      <c r="H128" s="822" t="s">
        <v>674</v>
      </c>
      <c r="I128" s="821"/>
      <c r="J128" s="16">
        <f t="shared" si="31"/>
        <v>1410.7821990248415</v>
      </c>
      <c r="K128" s="838"/>
      <c r="L128" s="1203">
        <f>J128*$K$119*$W$40</f>
        <v>13730.756299454342</v>
      </c>
      <c r="N128" s="822" t="s">
        <v>674</v>
      </c>
      <c r="O128" s="821"/>
      <c r="P128" s="16">
        <f t="shared" si="32"/>
        <v>1410.7821990248415</v>
      </c>
      <c r="Q128" s="838"/>
      <c r="R128" s="1203">
        <f>P128*$Q$119*$W$41</f>
        <v>14384.601837523594</v>
      </c>
      <c r="S128" s="1227"/>
    </row>
    <row r="129" spans="2:19">
      <c r="B129" s="822" t="s">
        <v>685</v>
      </c>
      <c r="C129" s="821"/>
      <c r="D129" s="16">
        <f t="shared" si="30"/>
        <v>799.70498223424943</v>
      </c>
      <c r="E129" s="838"/>
      <c r="F129" s="1203">
        <f>D129*$E$119*$W$39</f>
        <v>7403.6356840873977</v>
      </c>
      <c r="G129" s="786"/>
      <c r="H129" s="822" t="s">
        <v>685</v>
      </c>
      <c r="I129" s="821"/>
      <c r="J129" s="16">
        <f t="shared" si="31"/>
        <v>799.70498223424943</v>
      </c>
      <c r="K129" s="838"/>
      <c r="L129" s="1203">
        <f>J129*$K$119*$W$40</f>
        <v>7783.3093089123913</v>
      </c>
      <c r="N129" s="822" t="s">
        <v>685</v>
      </c>
      <c r="O129" s="821"/>
      <c r="P129" s="16">
        <f t="shared" si="32"/>
        <v>799.70498223424943</v>
      </c>
      <c r="Q129" s="838"/>
      <c r="R129" s="1203">
        <f>P129*$Q$119*$W$41</f>
        <v>8153.9430855272667</v>
      </c>
      <c r="S129" s="1227"/>
    </row>
    <row r="130" spans="2:19">
      <c r="B130" s="835" t="s">
        <v>686</v>
      </c>
      <c r="C130" s="386"/>
      <c r="D130" s="16">
        <f t="shared" si="30"/>
        <v>1572.2963237683009</v>
      </c>
      <c r="E130" s="833"/>
      <c r="F130" s="1203">
        <f>D130*$E$119*$W$39</f>
        <v>14556.254402827553</v>
      </c>
      <c r="G130" s="786"/>
      <c r="H130" s="835" t="s">
        <v>686</v>
      </c>
      <c r="I130" s="386"/>
      <c r="J130" s="16">
        <f t="shared" si="31"/>
        <v>1572.2963237683009</v>
      </c>
      <c r="K130" s="833"/>
      <c r="L130" s="1203">
        <f>J130*$K$119*$W$40</f>
        <v>15302.72898758794</v>
      </c>
      <c r="N130" s="835" t="s">
        <v>686</v>
      </c>
      <c r="O130" s="386"/>
      <c r="P130" s="16">
        <f t="shared" si="32"/>
        <v>1572.2963237683009</v>
      </c>
      <c r="Q130" s="833"/>
      <c r="R130" s="1203">
        <f>P130*$Q$119*$W$41</f>
        <v>16031.430367949271</v>
      </c>
      <c r="S130" s="1227"/>
    </row>
    <row r="131" spans="2:19">
      <c r="B131" s="3003" t="str">
        <f>$U$15</f>
        <v>Flex Funding Administration</v>
      </c>
      <c r="C131" s="826"/>
      <c r="D131" s="3004">
        <f>$W$15</f>
        <v>1000</v>
      </c>
      <c r="E131" s="3005"/>
      <c r="F131" s="3006">
        <f>D131*E119</f>
        <v>6500</v>
      </c>
      <c r="G131" s="786"/>
      <c r="H131" s="3003" t="str">
        <f>$U$15</f>
        <v>Flex Funding Administration</v>
      </c>
      <c r="I131" s="826"/>
      <c r="J131" s="3004">
        <f>$W$15</f>
        <v>1000</v>
      </c>
      <c r="K131" s="3005"/>
      <c r="L131" s="3006">
        <f>J131*K119</f>
        <v>7000</v>
      </c>
      <c r="N131" s="3003" t="str">
        <f>$U$15</f>
        <v>Flex Funding Administration</v>
      </c>
      <c r="O131" s="826"/>
      <c r="P131" s="3004">
        <f>$W$15</f>
        <v>1000</v>
      </c>
      <c r="Q131" s="3005"/>
      <c r="R131" s="3006">
        <f>P131*Q119</f>
        <v>7500</v>
      </c>
      <c r="S131" s="1232"/>
    </row>
    <row r="132" spans="2:19" ht="15" customHeight="1" thickBot="1">
      <c r="B132" s="816" t="s">
        <v>203</v>
      </c>
      <c r="C132" s="815"/>
      <c r="D132" s="814"/>
      <c r="E132" s="813"/>
      <c r="F132" s="1220">
        <f>SUM(F125:F131)</f>
        <v>483493.96980157855</v>
      </c>
      <c r="G132" s="1221"/>
      <c r="H132" s="816" t="s">
        <v>203</v>
      </c>
      <c r="I132" s="815"/>
      <c r="J132" s="814"/>
      <c r="K132" s="813"/>
      <c r="L132" s="1220">
        <f>SUM(L125:L131)</f>
        <v>518048.74683890556</v>
      </c>
      <c r="N132" s="816" t="s">
        <v>203</v>
      </c>
      <c r="O132" s="815"/>
      <c r="P132" s="814"/>
      <c r="Q132" s="813"/>
      <c r="R132" s="1220">
        <f>SUM(R125:R131)</f>
        <v>552939.66157006531</v>
      </c>
      <c r="S132" s="1235"/>
    </row>
    <row r="133" spans="2:19" ht="15.75" thickTop="1">
      <c r="B133" s="2769" t="s">
        <v>315</v>
      </c>
      <c r="C133" s="890">
        <f>C105</f>
        <v>0.11</v>
      </c>
      <c r="D133" s="830"/>
      <c r="E133" s="829"/>
      <c r="F133" s="1210">
        <f>C133*F132</f>
        <v>53184.33667817364</v>
      </c>
      <c r="G133" s="1221"/>
      <c r="H133" s="2769" t="s">
        <v>315</v>
      </c>
      <c r="I133" s="890">
        <f>I105</f>
        <v>0.11</v>
      </c>
      <c r="J133" s="830"/>
      <c r="K133" s="829"/>
      <c r="L133" s="1210">
        <f>I133*L132</f>
        <v>56985.362152279609</v>
      </c>
      <c r="N133" s="2769" t="s">
        <v>315</v>
      </c>
      <c r="O133" s="890">
        <f>O105</f>
        <v>0.11</v>
      </c>
      <c r="P133" s="830"/>
      <c r="Q133" s="829"/>
      <c r="R133" s="1210">
        <f>O133*R132</f>
        <v>60823.362772707187</v>
      </c>
      <c r="S133" s="1235"/>
    </row>
    <row r="134" spans="2:19">
      <c r="B134" s="2771" t="s">
        <v>653</v>
      </c>
      <c r="C134" s="2811">
        <f>C106</f>
        <v>6.3E-3</v>
      </c>
      <c r="D134" s="830"/>
      <c r="E134" s="829"/>
      <c r="F134" s="1210">
        <f>C134*F121</f>
        <v>2027.3313990707891</v>
      </c>
      <c r="G134" s="1221"/>
      <c r="H134" s="2771" t="s">
        <v>653</v>
      </c>
      <c r="I134" s="2811">
        <f>I106</f>
        <v>6.3E-3</v>
      </c>
      <c r="J134" s="830"/>
      <c r="K134" s="829"/>
      <c r="L134" s="1210">
        <f>I134*L121</f>
        <v>2180.8375636841574</v>
      </c>
      <c r="N134" s="2771" t="s">
        <v>653</v>
      </c>
      <c r="O134" s="2811">
        <f>O106</f>
        <v>6.3E-3</v>
      </c>
      <c r="P134" s="830"/>
      <c r="Q134" s="829"/>
      <c r="R134" s="1210">
        <f>O134*R121</f>
        <v>2336.6116753758829</v>
      </c>
      <c r="S134" s="1235"/>
    </row>
    <row r="135" spans="2:19" ht="15.75" thickBot="1">
      <c r="B135" s="2807"/>
      <c r="C135" s="2812"/>
      <c r="D135" s="830"/>
      <c r="E135" s="829"/>
      <c r="F135" s="2824">
        <f>C135*(F126+F127+F128+F129+F130)</f>
        <v>0</v>
      </c>
      <c r="G135" s="1221"/>
      <c r="H135" s="2807"/>
      <c r="I135" s="2812"/>
      <c r="J135" s="830"/>
      <c r="K135" s="829"/>
      <c r="L135" s="2824">
        <f>I135*(L126+L127+L128+L129+L130)</f>
        <v>0</v>
      </c>
      <c r="N135" s="2807"/>
      <c r="O135" s="2812"/>
      <c r="P135" s="830"/>
      <c r="Q135" s="829"/>
      <c r="R135" s="2824">
        <f>O135*(R126+R127+R128+R129+R130)</f>
        <v>0</v>
      </c>
      <c r="S135" s="2822"/>
    </row>
    <row r="136" spans="2:19">
      <c r="B136" s="2807"/>
      <c r="C136" s="2812"/>
      <c r="D136" s="830"/>
      <c r="E136" s="829"/>
      <c r="F136" s="2813">
        <f>SUM(F132:F135)</f>
        <v>538705.63787882298</v>
      </c>
      <c r="G136" s="1221"/>
      <c r="H136" s="2807"/>
      <c r="I136" s="2812"/>
      <c r="J136" s="830"/>
      <c r="K136" s="829"/>
      <c r="L136" s="2813">
        <f>SUM(L132:L135)</f>
        <v>577214.94655486941</v>
      </c>
      <c r="N136" s="2807"/>
      <c r="O136" s="2812"/>
      <c r="P136" s="830"/>
      <c r="Q136" s="829"/>
      <c r="R136" s="2813">
        <f>SUM(R132:R135)</f>
        <v>616099.63601814839</v>
      </c>
      <c r="S136" s="2822"/>
    </row>
    <row r="137" spans="2:19">
      <c r="B137" s="832" t="s">
        <v>205</v>
      </c>
      <c r="C137" s="890">
        <f>$W$21</f>
        <v>1.8120393120392975E-2</v>
      </c>
      <c r="D137" s="830"/>
      <c r="E137" s="829"/>
      <c r="F137" s="2813">
        <f>C137*F136</f>
        <v>9761.5579345363331</v>
      </c>
      <c r="G137" s="1221"/>
      <c r="H137" s="832" t="s">
        <v>205</v>
      </c>
      <c r="I137" s="890">
        <f>$W$21</f>
        <v>1.8120393120392975E-2</v>
      </c>
      <c r="J137" s="830"/>
      <c r="K137" s="829"/>
      <c r="L137" s="2813">
        <f>I137*L136</f>
        <v>10459.361746540855</v>
      </c>
      <c r="N137" s="832" t="s">
        <v>205</v>
      </c>
      <c r="O137" s="890">
        <f>$W$21</f>
        <v>1.8120393120392975E-2</v>
      </c>
      <c r="P137" s="830"/>
      <c r="Q137" s="829"/>
      <c r="R137" s="2813">
        <f>O137*R136</f>
        <v>11163.967605979873</v>
      </c>
      <c r="S137" s="2822"/>
    </row>
    <row r="138" spans="2:19" ht="15.75" thickBot="1">
      <c r="B138" s="29"/>
      <c r="C138" s="30"/>
      <c r="D138" s="830"/>
      <c r="E138" s="829"/>
      <c r="F138" s="1220">
        <f>SUM(F136:F137)</f>
        <v>548467.19581335934</v>
      </c>
      <c r="G138" s="1221"/>
      <c r="H138" s="29"/>
      <c r="I138" s="30"/>
      <c r="J138" s="830"/>
      <c r="K138" s="829"/>
      <c r="L138" s="1220">
        <f>SUM(L136:L137)</f>
        <v>587674.30830141029</v>
      </c>
      <c r="N138" s="29"/>
      <c r="O138" s="30"/>
      <c r="P138" s="830"/>
      <c r="Q138" s="829"/>
      <c r="R138" s="1220">
        <f>SUM(R136:R137)</f>
        <v>627263.60362412827</v>
      </c>
      <c r="S138" s="1235"/>
    </row>
    <row r="139" spans="2:19" ht="16.5" thickTop="1" thickBot="1">
      <c r="B139" s="832"/>
      <c r="C139" s="890"/>
      <c r="D139" s="830"/>
      <c r="E139" s="829"/>
      <c r="F139" s="2825"/>
      <c r="G139" s="1221"/>
      <c r="H139" s="832"/>
      <c r="I139" s="890"/>
      <c r="J139" s="830"/>
      <c r="K139" s="829"/>
      <c r="L139" s="2825"/>
      <c r="N139" s="832"/>
      <c r="O139" s="890"/>
      <c r="P139" s="830"/>
      <c r="Q139" s="829"/>
      <c r="R139" s="2825"/>
      <c r="S139" s="1235"/>
    </row>
    <row r="140" spans="2:19" ht="16.5" thickTop="1" thickBot="1">
      <c r="B140" s="798" t="s">
        <v>318</v>
      </c>
      <c r="C140" s="811"/>
      <c r="D140" s="811"/>
      <c r="E140" s="811"/>
      <c r="F140" s="1266">
        <f>F138/12</f>
        <v>45705.599651113276</v>
      </c>
      <c r="G140" s="1221"/>
      <c r="H140" s="798" t="s">
        <v>318</v>
      </c>
      <c r="I140" s="811"/>
      <c r="J140" s="811"/>
      <c r="K140" s="811"/>
      <c r="L140" s="1266">
        <f>L138/12</f>
        <v>48972.859025117526</v>
      </c>
      <c r="N140" s="798" t="s">
        <v>318</v>
      </c>
      <c r="O140" s="811"/>
      <c r="P140" s="811"/>
      <c r="Q140" s="811"/>
      <c r="R140" s="1266">
        <f>R138/12</f>
        <v>52271.966968677356</v>
      </c>
      <c r="S140" s="3009"/>
    </row>
    <row r="141" spans="2:19">
      <c r="B141" s="1225"/>
      <c r="C141" s="1225"/>
      <c r="D141" s="1225"/>
      <c r="E141" s="1225"/>
      <c r="F141" s="1193"/>
      <c r="G141" s="1227"/>
      <c r="H141" s="1225"/>
      <c r="R141" s="786"/>
      <c r="S141" s="1225"/>
    </row>
    <row r="142" spans="2:19">
      <c r="B142" s="1225"/>
      <c r="C142" s="1225"/>
      <c r="D142" s="1225"/>
      <c r="E142" s="1225"/>
      <c r="F142" s="2695"/>
      <c r="G142" s="2695"/>
      <c r="H142" s="2695"/>
      <c r="I142" s="2695"/>
      <c r="J142" s="2695"/>
      <c r="K142" s="2695"/>
      <c r="L142" s="2695"/>
      <c r="M142" s="2695"/>
      <c r="N142" s="2695"/>
      <c r="O142" s="2695"/>
      <c r="P142" s="2695"/>
      <c r="Q142" s="2695"/>
      <c r="R142" s="2695"/>
      <c r="S142" s="2695"/>
    </row>
    <row r="143" spans="2:19" ht="15" customHeight="1" thickBot="1">
      <c r="B143" s="1225"/>
      <c r="C143" s="1225"/>
      <c r="D143" s="1225"/>
      <c r="E143" s="1225"/>
      <c r="F143" s="1226"/>
      <c r="G143" s="1227"/>
      <c r="H143" s="1225"/>
      <c r="R143" s="786"/>
      <c r="S143" s="1225"/>
    </row>
    <row r="144" spans="2:19">
      <c r="B144" s="3145" t="s">
        <v>1042</v>
      </c>
      <c r="C144" s="3146"/>
      <c r="D144" s="3146"/>
      <c r="E144" s="3146"/>
      <c r="F144" s="3147"/>
      <c r="G144" s="786"/>
      <c r="H144" s="3145" t="s">
        <v>1043</v>
      </c>
      <c r="I144" s="3146"/>
      <c r="J144" s="3146"/>
      <c r="K144" s="3146"/>
      <c r="L144" s="3147"/>
      <c r="N144" s="3145" t="s">
        <v>1044</v>
      </c>
      <c r="O144" s="3146"/>
      <c r="P144" s="3146"/>
      <c r="Q144" s="3146"/>
      <c r="R144" s="3147"/>
      <c r="S144" s="1236"/>
    </row>
    <row r="145" spans="2:22" ht="45">
      <c r="B145" s="832"/>
      <c r="C145" s="1196" t="s">
        <v>311</v>
      </c>
      <c r="D145" s="1197" t="s">
        <v>342</v>
      </c>
      <c r="E145" s="1198" t="s">
        <v>190</v>
      </c>
      <c r="F145" s="1199" t="s">
        <v>343</v>
      </c>
      <c r="G145" s="786"/>
      <c r="H145" s="832"/>
      <c r="I145" s="1196" t="s">
        <v>311</v>
      </c>
      <c r="J145" s="1197" t="s">
        <v>209</v>
      </c>
      <c r="K145" s="1198" t="s">
        <v>190</v>
      </c>
      <c r="L145" s="1199" t="s">
        <v>210</v>
      </c>
      <c r="N145" s="832"/>
      <c r="O145" s="1196" t="s">
        <v>311</v>
      </c>
      <c r="P145" s="1197" t="s">
        <v>209</v>
      </c>
      <c r="Q145" s="1198" t="s">
        <v>190</v>
      </c>
      <c r="R145" s="1199" t="s">
        <v>210</v>
      </c>
      <c r="S145" s="1238"/>
    </row>
    <row r="146" spans="2:22">
      <c r="B146" s="15" t="s">
        <v>191</v>
      </c>
      <c r="C146" s="16"/>
      <c r="D146" s="871">
        <f>W6</f>
        <v>55383.32303680529</v>
      </c>
      <c r="E146" s="1202">
        <f>V42</f>
        <v>0.8</v>
      </c>
      <c r="F146" s="1203">
        <f>D146*E146</f>
        <v>44306.658429444236</v>
      </c>
      <c r="G146" s="786"/>
      <c r="H146" s="15" t="s">
        <v>191</v>
      </c>
      <c r="I146" s="16"/>
      <c r="J146" s="871">
        <f>W6</f>
        <v>55383.32303680529</v>
      </c>
      <c r="K146" s="1202">
        <f>V43</f>
        <v>0.81</v>
      </c>
      <c r="L146" s="1203">
        <f>J146*K146</f>
        <v>44860.491659812287</v>
      </c>
      <c r="N146" s="15" t="s">
        <v>191</v>
      </c>
      <c r="O146" s="16"/>
      <c r="P146" s="871">
        <f>W6</f>
        <v>55383.32303680529</v>
      </c>
      <c r="Q146" s="1202">
        <f>V44</f>
        <v>0.81</v>
      </c>
      <c r="R146" s="1203">
        <f>Q146*P146</f>
        <v>44860.491659812287</v>
      </c>
      <c r="S146" s="1227"/>
    </row>
    <row r="147" spans="2:22">
      <c r="B147" s="18" t="s">
        <v>466</v>
      </c>
      <c r="C147" s="749"/>
      <c r="D147" s="871">
        <f>W7</f>
        <v>43803</v>
      </c>
      <c r="E147" s="1204">
        <f>U42</f>
        <v>8</v>
      </c>
      <c r="F147" s="1203">
        <f t="shared" ref="F147" si="33">D147*E147</f>
        <v>350424</v>
      </c>
      <c r="G147" s="786"/>
      <c r="H147" s="18" t="s">
        <v>466</v>
      </c>
      <c r="I147" s="749"/>
      <c r="J147" s="871">
        <f>W7</f>
        <v>43803</v>
      </c>
      <c r="K147" s="1204">
        <f>U43</f>
        <v>8.5</v>
      </c>
      <c r="L147" s="1203">
        <f t="shared" ref="L147" si="34">J147*K147</f>
        <v>372325.5</v>
      </c>
      <c r="N147" s="18" t="s">
        <v>466</v>
      </c>
      <c r="O147" s="749"/>
      <c r="P147" s="871">
        <f>W7</f>
        <v>43803</v>
      </c>
      <c r="Q147" s="1204">
        <f>U44</f>
        <v>9</v>
      </c>
      <c r="R147" s="1203">
        <f t="shared" ref="R147" si="35">Q147*P147</f>
        <v>394227</v>
      </c>
      <c r="S147" s="1227"/>
    </row>
    <row r="148" spans="2:22">
      <c r="B148" s="18"/>
      <c r="C148" s="749"/>
      <c r="D148" s="871"/>
      <c r="E148" s="1204"/>
      <c r="F148" s="1203"/>
      <c r="G148" s="786"/>
      <c r="H148" s="18"/>
      <c r="I148" s="749"/>
      <c r="J148" s="871"/>
      <c r="K148" s="1204"/>
      <c r="L148" s="1203"/>
      <c r="N148" s="18"/>
      <c r="O148" s="749"/>
      <c r="P148" s="871"/>
      <c r="Q148" s="1204"/>
      <c r="R148" s="1203"/>
      <c r="S148" s="1227"/>
    </row>
    <row r="149" spans="2:22">
      <c r="B149" s="868" t="s">
        <v>217</v>
      </c>
      <c r="C149" s="867"/>
      <c r="D149" s="866"/>
      <c r="E149" s="1206">
        <f>SUM(E146:E148)</f>
        <v>8.8000000000000007</v>
      </c>
      <c r="F149" s="1207">
        <f>SUM(F146:F147)</f>
        <v>394730.65842944424</v>
      </c>
      <c r="G149" s="786"/>
      <c r="H149" s="868" t="s">
        <v>217</v>
      </c>
      <c r="I149" s="867"/>
      <c r="J149" s="866"/>
      <c r="K149" s="1206">
        <f>SUM(K146:K148)</f>
        <v>9.31</v>
      </c>
      <c r="L149" s="1207">
        <f>SUM(L146:L147)</f>
        <v>417185.99165981228</v>
      </c>
      <c r="N149" s="868" t="s">
        <v>217</v>
      </c>
      <c r="O149" s="867"/>
      <c r="P149" s="866"/>
      <c r="Q149" s="1206">
        <f>SUM(Q146:Q148)</f>
        <v>9.81</v>
      </c>
      <c r="R149" s="1207">
        <f>SUM(R146:R147)</f>
        <v>439087.49165981228</v>
      </c>
      <c r="S149" s="1232"/>
      <c r="U149" s="1225"/>
      <c r="V149" s="1225"/>
    </row>
    <row r="150" spans="2:22">
      <c r="B150" s="863"/>
      <c r="C150" s="862"/>
      <c r="D150" s="861"/>
      <c r="E150" s="1208"/>
      <c r="F150" s="1209"/>
      <c r="G150" s="786"/>
      <c r="H150" s="863"/>
      <c r="I150" s="862"/>
      <c r="J150" s="861"/>
      <c r="K150" s="860"/>
      <c r="L150" s="1209"/>
      <c r="N150" s="863"/>
      <c r="O150" s="862"/>
      <c r="P150" s="861"/>
      <c r="Q150" s="1208"/>
      <c r="R150" s="1209"/>
      <c r="S150" s="1232"/>
    </row>
    <row r="151" spans="2:22" ht="15" customHeight="1">
      <c r="B151" s="832" t="s">
        <v>195</v>
      </c>
      <c r="C151" s="859"/>
      <c r="D151" s="830"/>
      <c r="E151" s="858"/>
      <c r="F151" s="1210"/>
      <c r="G151" s="786"/>
      <c r="H151" s="832" t="s">
        <v>195</v>
      </c>
      <c r="I151" s="859"/>
      <c r="J151" s="830"/>
      <c r="K151" s="858"/>
      <c r="L151" s="1210"/>
      <c r="N151" s="832" t="s">
        <v>195</v>
      </c>
      <c r="O151" s="859"/>
      <c r="P151" s="830"/>
      <c r="Q151" s="858"/>
      <c r="R151" s="1210"/>
      <c r="S151" s="1235"/>
    </row>
    <row r="152" spans="2:22">
      <c r="B152" s="822" t="s">
        <v>196</v>
      </c>
      <c r="C152" s="855">
        <f>W17</f>
        <v>0.22</v>
      </c>
      <c r="D152" s="1211"/>
      <c r="E152" s="853"/>
      <c r="F152" s="1212">
        <f>C152*F149</f>
        <v>86840.744854477729</v>
      </c>
      <c r="G152" s="786"/>
      <c r="H152" s="822" t="s">
        <v>196</v>
      </c>
      <c r="I152" s="855">
        <f>W17</f>
        <v>0.22</v>
      </c>
      <c r="J152" s="1211"/>
      <c r="K152" s="853"/>
      <c r="L152" s="1213">
        <f>I152*L149</f>
        <v>91780.918165158699</v>
      </c>
      <c r="N152" s="822" t="s">
        <v>196</v>
      </c>
      <c r="O152" s="855">
        <f>W17</f>
        <v>0.22</v>
      </c>
      <c r="P152" s="1211"/>
      <c r="Q152" s="853"/>
      <c r="R152" s="1213">
        <f>O152*R149</f>
        <v>96599.2481651587</v>
      </c>
      <c r="S152" s="1239"/>
    </row>
    <row r="153" spans="2:22">
      <c r="B153" s="787" t="s">
        <v>198</v>
      </c>
      <c r="C153" s="848"/>
      <c r="D153" s="847"/>
      <c r="E153" s="846"/>
      <c r="F153" s="1214">
        <f>F149+F152</f>
        <v>481571.403283922</v>
      </c>
      <c r="G153" s="786"/>
      <c r="H153" s="787" t="s">
        <v>198</v>
      </c>
      <c r="I153" s="848"/>
      <c r="J153" s="847"/>
      <c r="K153" s="846"/>
      <c r="L153" s="1214">
        <f>L152+L149</f>
        <v>508966.90982497099</v>
      </c>
      <c r="N153" s="787" t="s">
        <v>198</v>
      </c>
      <c r="O153" s="848"/>
      <c r="P153" s="847"/>
      <c r="Q153" s="846"/>
      <c r="R153" s="1214">
        <f>R149+R152</f>
        <v>535686.73982497095</v>
      </c>
      <c r="S153" s="1235"/>
    </row>
    <row r="154" spans="2:22">
      <c r="B154" s="29" t="s">
        <v>313</v>
      </c>
      <c r="C154" s="30"/>
      <c r="D154" s="16">
        <f>W10</f>
        <v>5155.4902174195804</v>
      </c>
      <c r="E154" s="841"/>
      <c r="F154" s="1203">
        <f>D154*$E$147*$W$42</f>
        <v>54902.634596548865</v>
      </c>
      <c r="G154" s="786"/>
      <c r="H154" s="29" t="s">
        <v>313</v>
      </c>
      <c r="I154" s="30"/>
      <c r="J154" s="16">
        <f>W10</f>
        <v>5155.4902174195804</v>
      </c>
      <c r="K154" s="841"/>
      <c r="L154" s="1203">
        <f>J154*$K$147*$W$43</f>
        <v>57190.244371405061</v>
      </c>
      <c r="N154" s="29" t="s">
        <v>313</v>
      </c>
      <c r="O154" s="30"/>
      <c r="P154" s="16">
        <f>W10</f>
        <v>5155.4902174195804</v>
      </c>
      <c r="Q154" s="841"/>
      <c r="R154" s="1203">
        <f>P154*$Q$147*$W$44</f>
        <v>59432.999052636638</v>
      </c>
      <c r="S154" s="1227"/>
    </row>
    <row r="155" spans="2:22">
      <c r="B155" s="835" t="s">
        <v>673</v>
      </c>
      <c r="C155" s="821"/>
      <c r="D155" s="16">
        <f t="shared" ref="D155:D158" si="36">W11</f>
        <v>178.16741415351552</v>
      </c>
      <c r="E155" s="838"/>
      <c r="F155" s="1203">
        <f>D155*$E$147*$W$42</f>
        <v>1897.3676651021669</v>
      </c>
      <c r="G155" s="786"/>
      <c r="H155" s="835" t="s">
        <v>673</v>
      </c>
      <c r="I155" s="821"/>
      <c r="J155" s="16">
        <f t="shared" ref="J155:J158" si="37">W11</f>
        <v>178.16741415351552</v>
      </c>
      <c r="K155" s="838"/>
      <c r="L155" s="1203">
        <f>J155*$K$147*$W$43</f>
        <v>1976.4246511480903</v>
      </c>
      <c r="N155" s="835" t="s">
        <v>673</v>
      </c>
      <c r="O155" s="821"/>
      <c r="P155" s="16">
        <f t="shared" ref="P155:P158" si="38">W11</f>
        <v>178.16741415351552</v>
      </c>
      <c r="Q155" s="838"/>
      <c r="R155" s="1203">
        <f>P155*$Q$147*$W$44</f>
        <v>2053.9315002127214</v>
      </c>
      <c r="S155" s="1227"/>
    </row>
    <row r="156" spans="2:22">
      <c r="B156" s="822" t="s">
        <v>674</v>
      </c>
      <c r="C156" s="821"/>
      <c r="D156" s="16">
        <f t="shared" si="36"/>
        <v>1410.7821990248415</v>
      </c>
      <c r="E156" s="838"/>
      <c r="F156" s="1203">
        <f>D156*$E$147*$W$42</f>
        <v>15023.917474746866</v>
      </c>
      <c r="G156" s="786"/>
      <c r="H156" s="822" t="s">
        <v>674</v>
      </c>
      <c r="I156" s="821"/>
      <c r="J156" s="16">
        <f t="shared" si="37"/>
        <v>1410.7821990248415</v>
      </c>
      <c r="K156" s="838"/>
      <c r="L156" s="1203">
        <f>J156*$K$147*$W$43</f>
        <v>15649.91403619465</v>
      </c>
      <c r="N156" s="822" t="s">
        <v>674</v>
      </c>
      <c r="O156" s="821"/>
      <c r="P156" s="16">
        <f t="shared" si="38"/>
        <v>1410.7821990248415</v>
      </c>
      <c r="Q156" s="838"/>
      <c r="R156" s="1203">
        <f>P156*$Q$147*$W$44</f>
        <v>16263.636155261107</v>
      </c>
      <c r="S156" s="1227"/>
    </row>
    <row r="157" spans="2:22">
      <c r="B157" s="822" t="s">
        <v>685</v>
      </c>
      <c r="C157" s="821"/>
      <c r="D157" s="16">
        <f t="shared" si="36"/>
        <v>799.70498223424943</v>
      </c>
      <c r="E157" s="838"/>
      <c r="F157" s="1203">
        <f>D157*$E$147*$W$42</f>
        <v>8516.3405559951443</v>
      </c>
      <c r="G157" s="786"/>
      <c r="H157" s="822" t="s">
        <v>685</v>
      </c>
      <c r="I157" s="821"/>
      <c r="J157" s="16">
        <f t="shared" si="37"/>
        <v>799.70498223424943</v>
      </c>
      <c r="K157" s="838"/>
      <c r="L157" s="1203">
        <f>J157*$K$147*$W$43</f>
        <v>8871.1880791616077</v>
      </c>
      <c r="N157" s="822" t="s">
        <v>685</v>
      </c>
      <c r="O157" s="821"/>
      <c r="P157" s="16">
        <f t="shared" si="38"/>
        <v>799.70498223424943</v>
      </c>
      <c r="Q157" s="838"/>
      <c r="R157" s="1203">
        <f>P157*$Q$147*$W$44</f>
        <v>9219.0778077561827</v>
      </c>
      <c r="S157" s="1227"/>
    </row>
    <row r="158" spans="2:22">
      <c r="B158" s="835" t="s">
        <v>686</v>
      </c>
      <c r="C158" s="386"/>
      <c r="D158" s="16">
        <f t="shared" si="36"/>
        <v>1572.2963237683009</v>
      </c>
      <c r="E158" s="833"/>
      <c r="F158" s="1203">
        <f>D158*$E$147*$W$42</f>
        <v>16743.938384302572</v>
      </c>
      <c r="G158" s="786"/>
      <c r="H158" s="835" t="s">
        <v>686</v>
      </c>
      <c r="I158" s="386"/>
      <c r="J158" s="16">
        <f t="shared" si="37"/>
        <v>1572.2963237683009</v>
      </c>
      <c r="K158" s="833"/>
      <c r="L158" s="1203">
        <f>J158*$K$147*$W$43</f>
        <v>17441.602483648508</v>
      </c>
      <c r="N158" s="835" t="s">
        <v>686</v>
      </c>
      <c r="O158" s="386"/>
      <c r="P158" s="16">
        <f t="shared" si="38"/>
        <v>1572.2963237683009</v>
      </c>
      <c r="Q158" s="833"/>
      <c r="R158" s="1203">
        <f>P158*$Q$147*$W$44</f>
        <v>18125.586894771983</v>
      </c>
      <c r="S158" s="1227"/>
    </row>
    <row r="159" spans="2:22">
      <c r="B159" s="3003" t="str">
        <f>$U$15</f>
        <v>Flex Funding Administration</v>
      </c>
      <c r="C159" s="826"/>
      <c r="D159" s="3004">
        <f>$W$15</f>
        <v>1000</v>
      </c>
      <c r="E159" s="3005"/>
      <c r="F159" s="3006">
        <f>D159*E147</f>
        <v>8000</v>
      </c>
      <c r="G159" s="786"/>
      <c r="H159" s="3003" t="str">
        <f>$U$15</f>
        <v>Flex Funding Administration</v>
      </c>
      <c r="I159" s="826"/>
      <c r="J159" s="3004">
        <f>$W$15</f>
        <v>1000</v>
      </c>
      <c r="K159" s="3005"/>
      <c r="L159" s="3006">
        <f>J159*K147</f>
        <v>8500</v>
      </c>
      <c r="N159" s="3003" t="str">
        <f>$U$15</f>
        <v>Flex Funding Administration</v>
      </c>
      <c r="O159" s="826"/>
      <c r="P159" s="3004">
        <f>$W$15</f>
        <v>1000</v>
      </c>
      <c r="Q159" s="3005"/>
      <c r="R159" s="3006">
        <f>P159*Q147</f>
        <v>9000</v>
      </c>
      <c r="S159" s="1232"/>
    </row>
    <row r="160" spans="2:22" ht="15.75" thickBot="1">
      <c r="B160" s="816" t="s">
        <v>203</v>
      </c>
      <c r="C160" s="815"/>
      <c r="D160" s="814"/>
      <c r="E160" s="813"/>
      <c r="F160" s="1220">
        <f>SUM(F153:F159)</f>
        <v>586655.60196061747</v>
      </c>
      <c r="G160" s="1221"/>
      <c r="H160" s="816" t="s">
        <v>203</v>
      </c>
      <c r="I160" s="815"/>
      <c r="J160" s="814"/>
      <c r="K160" s="813"/>
      <c r="L160" s="1220">
        <f>SUM(L153:L159)</f>
        <v>618596.28344652895</v>
      </c>
      <c r="N160" s="816" t="s">
        <v>203</v>
      </c>
      <c r="O160" s="815"/>
      <c r="P160" s="814"/>
      <c r="Q160" s="813"/>
      <c r="R160" s="1220">
        <f>SUM(R153:R159)</f>
        <v>649781.97123560961</v>
      </c>
      <c r="S160" s="1235"/>
    </row>
    <row r="161" spans="2:19" ht="15.75" thickTop="1">
      <c r="B161" s="2769" t="s">
        <v>315</v>
      </c>
      <c r="C161" s="890">
        <f>C133</f>
        <v>0.11</v>
      </c>
      <c r="D161" s="830"/>
      <c r="E161" s="829"/>
      <c r="F161" s="1210">
        <f>C161*F160</f>
        <v>64532.11621566792</v>
      </c>
      <c r="G161" s="1221"/>
      <c r="H161" s="2769" t="s">
        <v>315</v>
      </c>
      <c r="I161" s="890">
        <f>I133</f>
        <v>0.11</v>
      </c>
      <c r="J161" s="830"/>
      <c r="K161" s="829"/>
      <c r="L161" s="1210">
        <f>I161*L160</f>
        <v>68045.591179118186</v>
      </c>
      <c r="N161" s="2769" t="s">
        <v>315</v>
      </c>
      <c r="O161" s="890">
        <f>O133</f>
        <v>0.11</v>
      </c>
      <c r="P161" s="830"/>
      <c r="Q161" s="829"/>
      <c r="R161" s="1210">
        <f>O161*R160</f>
        <v>71476.016835917064</v>
      </c>
      <c r="S161" s="1235"/>
    </row>
    <row r="162" spans="2:19">
      <c r="B162" s="2771" t="s">
        <v>653</v>
      </c>
      <c r="C162" s="2811">
        <f>C134</f>
        <v>6.3E-3</v>
      </c>
      <c r="D162" s="830"/>
      <c r="E162" s="829"/>
      <c r="F162" s="1210">
        <f>C162*F149</f>
        <v>2486.8031481054986</v>
      </c>
      <c r="G162" s="1221"/>
      <c r="H162" s="2771" t="s">
        <v>653</v>
      </c>
      <c r="I162" s="2811">
        <f>I134</f>
        <v>6.3E-3</v>
      </c>
      <c r="J162" s="830"/>
      <c r="K162" s="829"/>
      <c r="L162" s="1210">
        <f>I162*L149</f>
        <v>2628.2717474568176</v>
      </c>
      <c r="N162" s="2771" t="s">
        <v>653</v>
      </c>
      <c r="O162" s="2811">
        <f>O134</f>
        <v>6.3E-3</v>
      </c>
      <c r="P162" s="830"/>
      <c r="Q162" s="829"/>
      <c r="R162" s="1210">
        <f>O162*R149</f>
        <v>2766.2511974568174</v>
      </c>
      <c r="S162" s="1235"/>
    </row>
    <row r="163" spans="2:19" ht="15.75" thickBot="1">
      <c r="B163" s="2807"/>
      <c r="C163" s="2812"/>
      <c r="D163" s="830"/>
      <c r="E163" s="829"/>
      <c r="F163" s="2824">
        <f>C163*(F154+F155+F156+F157+F158)</f>
        <v>0</v>
      </c>
      <c r="G163" s="1221"/>
      <c r="H163" s="2807"/>
      <c r="I163" s="2812"/>
      <c r="J163" s="830"/>
      <c r="K163" s="829"/>
      <c r="L163" s="2824">
        <f>I163*(L154+L155+L156+L157+L158)</f>
        <v>0</v>
      </c>
      <c r="N163" s="2807"/>
      <c r="O163" s="2812"/>
      <c r="P163" s="830"/>
      <c r="Q163" s="829"/>
      <c r="R163" s="2824">
        <f>O163*(R154+R155+R156+R157+R158)</f>
        <v>0</v>
      </c>
      <c r="S163" s="2822"/>
    </row>
    <row r="164" spans="2:19">
      <c r="B164" s="2807"/>
      <c r="C164" s="2812"/>
      <c r="D164" s="830"/>
      <c r="E164" s="829"/>
      <c r="F164" s="2813">
        <f>SUM(F160:F163)</f>
        <v>653674.52132439089</v>
      </c>
      <c r="G164" s="1221"/>
      <c r="H164" s="2807"/>
      <c r="I164" s="2812"/>
      <c r="J164" s="830"/>
      <c r="K164" s="829"/>
      <c r="L164" s="2813">
        <f>SUM(L160:L163)</f>
        <v>689270.14637310395</v>
      </c>
      <c r="N164" s="2807"/>
      <c r="O164" s="2812"/>
      <c r="P164" s="830"/>
      <c r="Q164" s="829"/>
      <c r="R164" s="2813">
        <f>SUM(R160:R163)</f>
        <v>724024.23926898348</v>
      </c>
      <c r="S164" s="2822"/>
    </row>
    <row r="165" spans="2:19">
      <c r="B165" s="832" t="s">
        <v>205</v>
      </c>
      <c r="C165" s="890">
        <f>W21</f>
        <v>1.8120393120392975E-2</v>
      </c>
      <c r="D165" s="830"/>
      <c r="E165" s="829"/>
      <c r="F165" s="2813">
        <f>C165*F164</f>
        <v>11844.839299182664</v>
      </c>
      <c r="G165" s="1221"/>
      <c r="H165" s="832" t="s">
        <v>205</v>
      </c>
      <c r="I165" s="890">
        <f>W21</f>
        <v>1.8120393120392975E-2</v>
      </c>
      <c r="J165" s="830"/>
      <c r="K165" s="829"/>
      <c r="L165" s="2813">
        <f>I165*L164</f>
        <v>12489.846018431452</v>
      </c>
      <c r="N165" s="832" t="s">
        <v>205</v>
      </c>
      <c r="O165" s="890">
        <f>W21</f>
        <v>1.8120393120392975E-2</v>
      </c>
      <c r="P165" s="830"/>
      <c r="Q165" s="829"/>
      <c r="R165" s="2813">
        <f>O165*R164</f>
        <v>13119.603844247446</v>
      </c>
      <c r="S165" s="2822"/>
    </row>
    <row r="166" spans="2:19" ht="15.75" thickBot="1">
      <c r="B166" s="29"/>
      <c r="C166" s="30"/>
      <c r="D166" s="830"/>
      <c r="E166" s="829"/>
      <c r="F166" s="1220">
        <f>SUM(F164:F165)</f>
        <v>665519.36062357354</v>
      </c>
      <c r="G166" s="1221"/>
      <c r="H166" s="29"/>
      <c r="I166" s="30"/>
      <c r="J166" s="830"/>
      <c r="K166" s="829"/>
      <c r="L166" s="1220">
        <f>SUM(L164:L165)</f>
        <v>701759.99239153543</v>
      </c>
      <c r="N166" s="29"/>
      <c r="O166" s="30"/>
      <c r="P166" s="830"/>
      <c r="Q166" s="829"/>
      <c r="R166" s="1220">
        <f>SUM(R164:R165)</f>
        <v>737143.84311323089</v>
      </c>
      <c r="S166" s="1235"/>
    </row>
    <row r="167" spans="2:19" ht="16.5" thickTop="1" thickBot="1">
      <c r="B167" s="832"/>
      <c r="C167" s="890"/>
      <c r="D167" s="830"/>
      <c r="E167" s="829"/>
      <c r="F167" s="2825"/>
      <c r="G167" s="1221"/>
      <c r="H167" s="832"/>
      <c r="I167" s="890"/>
      <c r="J167" s="830"/>
      <c r="K167" s="829"/>
      <c r="L167" s="2825"/>
      <c r="N167" s="832"/>
      <c r="O167" s="890"/>
      <c r="P167" s="830"/>
      <c r="Q167" s="829"/>
      <c r="R167" s="2825"/>
      <c r="S167" s="1235"/>
    </row>
    <row r="168" spans="2:19" ht="16.5" thickTop="1" thickBot="1">
      <c r="B168" s="798" t="s">
        <v>318</v>
      </c>
      <c r="C168" s="811"/>
      <c r="D168" s="811"/>
      <c r="E168" s="811"/>
      <c r="F168" s="1266">
        <f>F166/12</f>
        <v>55459.94671863113</v>
      </c>
      <c r="G168" s="1221"/>
      <c r="H168" s="798" t="s">
        <v>318</v>
      </c>
      <c r="I168" s="811"/>
      <c r="J168" s="811"/>
      <c r="K168" s="811"/>
      <c r="L168" s="1266">
        <f>L166/12</f>
        <v>58479.999365961288</v>
      </c>
      <c r="N168" s="798" t="s">
        <v>318</v>
      </c>
      <c r="O168" s="811"/>
      <c r="P168" s="811"/>
      <c r="Q168" s="811"/>
      <c r="R168" s="1266">
        <f>R166/12</f>
        <v>61428.653592769238</v>
      </c>
      <c r="S168" s="3009"/>
    </row>
    <row r="169" spans="2:19">
      <c r="G169" s="1221"/>
    </row>
    <row r="170" spans="2:19">
      <c r="F170" s="1842"/>
      <c r="G170" s="1842"/>
      <c r="H170" s="1842"/>
      <c r="I170" s="1842"/>
      <c r="J170" s="1842"/>
      <c r="K170" s="1842"/>
      <c r="L170" s="1842"/>
      <c r="M170" s="1842"/>
      <c r="N170" s="1842"/>
      <c r="O170" s="1842"/>
      <c r="P170" s="1842"/>
      <c r="Q170" s="1842"/>
      <c r="R170" s="1842"/>
      <c r="S170" s="2695"/>
    </row>
    <row r="171" spans="2:19" ht="15.75" thickBot="1">
      <c r="G171" s="1221"/>
    </row>
    <row r="172" spans="2:19">
      <c r="B172" s="3145" t="s">
        <v>1045</v>
      </c>
      <c r="C172" s="3146"/>
      <c r="D172" s="3146"/>
      <c r="E172" s="3146"/>
      <c r="F172" s="3147"/>
      <c r="G172" s="786"/>
      <c r="H172" s="3145" t="s">
        <v>1046</v>
      </c>
      <c r="I172" s="3146"/>
      <c r="J172" s="3146"/>
      <c r="K172" s="3146"/>
      <c r="L172" s="3147"/>
      <c r="N172" s="3145" t="s">
        <v>1047</v>
      </c>
      <c r="O172" s="3146"/>
      <c r="P172" s="3146"/>
      <c r="Q172" s="3146"/>
      <c r="R172" s="3147"/>
      <c r="S172" s="1236"/>
    </row>
    <row r="173" spans="2:19" ht="45">
      <c r="B173" s="832"/>
      <c r="C173" s="1196" t="s">
        <v>311</v>
      </c>
      <c r="D173" s="1197" t="s">
        <v>209</v>
      </c>
      <c r="E173" s="1198" t="s">
        <v>190</v>
      </c>
      <c r="F173" s="1199" t="s">
        <v>210</v>
      </c>
      <c r="G173" s="786"/>
      <c r="H173" s="832"/>
      <c r="I173" s="1196" t="s">
        <v>311</v>
      </c>
      <c r="J173" s="1197" t="s">
        <v>209</v>
      </c>
      <c r="K173" s="1198" t="s">
        <v>190</v>
      </c>
      <c r="L173" s="1199" t="s">
        <v>210</v>
      </c>
      <c r="N173" s="832"/>
      <c r="O173" s="1196" t="s">
        <v>311</v>
      </c>
      <c r="P173" s="1197" t="s">
        <v>209</v>
      </c>
      <c r="Q173" s="1198" t="s">
        <v>190</v>
      </c>
      <c r="R173" s="1199" t="s">
        <v>210</v>
      </c>
      <c r="S173" s="1238"/>
    </row>
    <row r="174" spans="2:19">
      <c r="B174" s="15" t="s">
        <v>191</v>
      </c>
      <c r="C174" s="16"/>
      <c r="D174" s="871">
        <f>W6</f>
        <v>55383.32303680529</v>
      </c>
      <c r="E174" s="1202">
        <f>V45</f>
        <v>0.81</v>
      </c>
      <c r="F174" s="1203">
        <f>D174*E174</f>
        <v>44860.491659812287</v>
      </c>
      <c r="G174" s="786"/>
      <c r="H174" s="15" t="s">
        <v>191</v>
      </c>
      <c r="I174" s="16"/>
      <c r="J174" s="871">
        <f>W6</f>
        <v>55383.32303680529</v>
      </c>
      <c r="K174" s="1202">
        <f>V46</f>
        <v>0.8</v>
      </c>
      <c r="L174" s="1203">
        <f>J174*K174</f>
        <v>44306.658429444236</v>
      </c>
      <c r="N174" s="15" t="s">
        <v>191</v>
      </c>
      <c r="O174" s="16"/>
      <c r="P174" s="871">
        <f>W6</f>
        <v>55383.32303680529</v>
      </c>
      <c r="Q174" s="1202">
        <f>V47</f>
        <v>0.79</v>
      </c>
      <c r="R174" s="1203">
        <f>P174*Q174</f>
        <v>43752.825199076178</v>
      </c>
      <c r="S174" s="1227"/>
    </row>
    <row r="175" spans="2:19">
      <c r="B175" s="18" t="s">
        <v>466</v>
      </c>
      <c r="C175" s="749"/>
      <c r="D175" s="871">
        <f>W7</f>
        <v>43803</v>
      </c>
      <c r="E175" s="1204">
        <f>U45</f>
        <v>9.5</v>
      </c>
      <c r="F175" s="1203">
        <f t="shared" ref="F175" si="39">D175*E175</f>
        <v>416128.5</v>
      </c>
      <c r="G175" s="786"/>
      <c r="H175" s="18" t="s">
        <v>466</v>
      </c>
      <c r="I175" s="749"/>
      <c r="J175" s="871">
        <f>W7</f>
        <v>43803</v>
      </c>
      <c r="K175" s="1204">
        <f>U46</f>
        <v>10</v>
      </c>
      <c r="L175" s="1203">
        <f t="shared" ref="L175" si="40">J175*K175</f>
        <v>438030</v>
      </c>
      <c r="N175" s="18" t="s">
        <v>466</v>
      </c>
      <c r="O175" s="749"/>
      <c r="P175" s="871">
        <f>W7</f>
        <v>43803</v>
      </c>
      <c r="Q175" s="1204">
        <f>U47</f>
        <v>10.5</v>
      </c>
      <c r="R175" s="1203">
        <f t="shared" ref="R175" si="41">P175*Q175</f>
        <v>459931.5</v>
      </c>
      <c r="S175" s="1227"/>
    </row>
    <row r="176" spans="2:19">
      <c r="B176" s="18"/>
      <c r="C176" s="749"/>
      <c r="D176" s="871"/>
      <c r="E176" s="1204"/>
      <c r="F176" s="1203"/>
      <c r="G176" s="786"/>
      <c r="H176" s="18"/>
      <c r="I176" s="749"/>
      <c r="J176" s="871"/>
      <c r="K176" s="1204"/>
      <c r="L176" s="1203"/>
      <c r="N176" s="18"/>
      <c r="O176" s="749"/>
      <c r="P176" s="871"/>
      <c r="Q176" s="1204"/>
      <c r="R176" s="1203"/>
      <c r="S176" s="1227"/>
    </row>
    <row r="177" spans="2:19">
      <c r="B177" s="868" t="s">
        <v>217</v>
      </c>
      <c r="C177" s="867"/>
      <c r="D177" s="866"/>
      <c r="E177" s="1206">
        <f>SUM(E174:E176)</f>
        <v>10.31</v>
      </c>
      <c r="F177" s="1207">
        <f>SUM(F174:F175)</f>
        <v>460988.99165981228</v>
      </c>
      <c r="G177" s="786"/>
      <c r="H177" s="868" t="s">
        <v>217</v>
      </c>
      <c r="I177" s="867"/>
      <c r="J177" s="866"/>
      <c r="K177" s="1206">
        <f>SUM(K174:K176)</f>
        <v>10.8</v>
      </c>
      <c r="L177" s="1207">
        <f>SUM(L174:L175)</f>
        <v>482336.65842944424</v>
      </c>
      <c r="N177" s="868" t="s">
        <v>217</v>
      </c>
      <c r="O177" s="867"/>
      <c r="P177" s="866"/>
      <c r="Q177" s="1206">
        <f>SUM(Q174:Q176)</f>
        <v>11.29</v>
      </c>
      <c r="R177" s="1207">
        <f>R174+R175</f>
        <v>503684.32519907621</v>
      </c>
      <c r="S177" s="1232"/>
    </row>
    <row r="178" spans="2:19">
      <c r="B178" s="863"/>
      <c r="C178" s="862"/>
      <c r="D178" s="861"/>
      <c r="E178" s="1208"/>
      <c r="F178" s="1209"/>
      <c r="G178" s="786"/>
      <c r="H178" s="863"/>
      <c r="I178" s="862"/>
      <c r="J178" s="861"/>
      <c r="K178" s="860"/>
      <c r="L178" s="1209"/>
      <c r="N178" s="863"/>
      <c r="O178" s="862"/>
      <c r="P178" s="861"/>
      <c r="Q178" s="1208"/>
      <c r="R178" s="1209"/>
      <c r="S178" s="1232"/>
    </row>
    <row r="179" spans="2:19">
      <c r="B179" s="832" t="s">
        <v>195</v>
      </c>
      <c r="C179" s="859"/>
      <c r="D179" s="830"/>
      <c r="E179" s="858"/>
      <c r="F179" s="1210"/>
      <c r="G179" s="786"/>
      <c r="H179" s="832" t="s">
        <v>195</v>
      </c>
      <c r="I179" s="859"/>
      <c r="J179" s="830"/>
      <c r="K179" s="858"/>
      <c r="L179" s="1210"/>
      <c r="N179" s="832" t="s">
        <v>195</v>
      </c>
      <c r="O179" s="859"/>
      <c r="P179" s="830"/>
      <c r="Q179" s="858"/>
      <c r="R179" s="1210"/>
      <c r="S179" s="1235"/>
    </row>
    <row r="180" spans="2:19">
      <c r="B180" s="822" t="s">
        <v>196</v>
      </c>
      <c r="C180" s="855">
        <v>0.22</v>
      </c>
      <c r="D180" s="1211"/>
      <c r="E180" s="853"/>
      <c r="F180" s="1212">
        <f>C180*F177</f>
        <v>101417.5781651587</v>
      </c>
      <c r="G180" s="786"/>
      <c r="H180" s="822" t="s">
        <v>196</v>
      </c>
      <c r="I180" s="855">
        <f>W17</f>
        <v>0.22</v>
      </c>
      <c r="J180" s="1211"/>
      <c r="K180" s="853"/>
      <c r="L180" s="1213">
        <f>I180*L177</f>
        <v>106114.06485447774</v>
      </c>
      <c r="N180" s="822" t="s">
        <v>196</v>
      </c>
      <c r="O180" s="855">
        <f>W17</f>
        <v>0.22</v>
      </c>
      <c r="P180" s="1211"/>
      <c r="Q180" s="853"/>
      <c r="R180" s="1213">
        <f>R177*O180</f>
        <v>110810.55154379677</v>
      </c>
      <c r="S180" s="1239"/>
    </row>
    <row r="181" spans="2:19">
      <c r="B181" s="787" t="s">
        <v>198</v>
      </c>
      <c r="C181" s="848"/>
      <c r="D181" s="847"/>
      <c r="E181" s="846"/>
      <c r="F181" s="1214">
        <f>F180+F177</f>
        <v>562406.56982497103</v>
      </c>
      <c r="G181" s="786"/>
      <c r="H181" s="787" t="s">
        <v>198</v>
      </c>
      <c r="I181" s="848"/>
      <c r="J181" s="847"/>
      <c r="K181" s="846"/>
      <c r="L181" s="1214">
        <f>L180+L177</f>
        <v>588450.72328392195</v>
      </c>
      <c r="N181" s="787" t="s">
        <v>198</v>
      </c>
      <c r="O181" s="848"/>
      <c r="P181" s="847"/>
      <c r="Q181" s="846"/>
      <c r="R181" s="1214">
        <f>SUM(R177:R180)</f>
        <v>614494.87674287299</v>
      </c>
      <c r="S181" s="1235"/>
    </row>
    <row r="182" spans="2:19">
      <c r="B182" s="29" t="s">
        <v>313</v>
      </c>
      <c r="C182" s="30"/>
      <c r="D182" s="16">
        <f>W10</f>
        <v>5155.4902174195804</v>
      </c>
      <c r="E182" s="841"/>
      <c r="F182" s="1203">
        <f>D182*$E$175*$W$45</f>
        <v>61634.221239771323</v>
      </c>
      <c r="G182" s="786"/>
      <c r="H182" s="29" t="s">
        <v>313</v>
      </c>
      <c r="I182" s="30"/>
      <c r="J182" s="16">
        <f>W10</f>
        <v>5155.4902174195804</v>
      </c>
      <c r="K182" s="841"/>
      <c r="L182" s="1203">
        <f>J182*$K$175*$W$46</f>
        <v>63951.297226228897</v>
      </c>
      <c r="N182" s="29" t="s">
        <v>313</v>
      </c>
      <c r="O182" s="30"/>
      <c r="P182" s="16">
        <f>W10</f>
        <v>5155.4902174195804</v>
      </c>
      <c r="Q182" s="841"/>
      <c r="R182" s="1203">
        <f>P182*$Q$175*$W$47</f>
        <v>66235.272127165648</v>
      </c>
      <c r="S182" s="1227"/>
    </row>
    <row r="183" spans="2:19">
      <c r="B183" s="835" t="s">
        <v>673</v>
      </c>
      <c r="C183" s="821"/>
      <c r="D183" s="16">
        <f t="shared" ref="D183:D186" si="42">W11</f>
        <v>178.16741415351552</v>
      </c>
      <c r="E183" s="838"/>
      <c r="F183" s="1203">
        <f>D183*$E$175*$W$45</f>
        <v>2130.0030372576371</v>
      </c>
      <c r="G183" s="786"/>
      <c r="H183" s="835" t="s">
        <v>673</v>
      </c>
      <c r="I183" s="821"/>
      <c r="J183" s="16">
        <f t="shared" ref="J183:J186" si="43">W11</f>
        <v>178.16741415351552</v>
      </c>
      <c r="K183" s="838"/>
      <c r="L183" s="1203">
        <f>J183*$K$175*$W$46</f>
        <v>2210.0783394101795</v>
      </c>
      <c r="N183" s="835" t="s">
        <v>673</v>
      </c>
      <c r="O183" s="821"/>
      <c r="P183" s="16">
        <f t="shared" ref="P183:P186" si="44">W11</f>
        <v>178.16741415351552</v>
      </c>
      <c r="Q183" s="838"/>
      <c r="R183" s="1203">
        <f>P183*$Q$175*$W$47</f>
        <v>2289.0097086748287</v>
      </c>
      <c r="S183" s="1227"/>
    </row>
    <row r="184" spans="2:19">
      <c r="B184" s="822" t="s">
        <v>674</v>
      </c>
      <c r="C184" s="821"/>
      <c r="D184" s="16">
        <f t="shared" si="42"/>
        <v>1410.7821990248415</v>
      </c>
      <c r="E184" s="838"/>
      <c r="F184" s="1203">
        <f>D184*$E$175*$W$45</f>
        <v>16865.993049900408</v>
      </c>
      <c r="G184" s="786"/>
      <c r="H184" s="822" t="s">
        <v>674</v>
      </c>
      <c r="I184" s="821"/>
      <c r="J184" s="16">
        <f t="shared" si="43"/>
        <v>1410.7821990248415</v>
      </c>
      <c r="K184" s="838"/>
      <c r="L184" s="1203">
        <f>J184*$K$175*$W$46</f>
        <v>17500.052938994406</v>
      </c>
      <c r="N184" s="822" t="s">
        <v>674</v>
      </c>
      <c r="O184" s="821"/>
      <c r="P184" s="16">
        <f t="shared" si="44"/>
        <v>1410.7821990248415</v>
      </c>
      <c r="Q184" s="838"/>
      <c r="R184" s="1203">
        <f>P184*$Q$175*$W$47</f>
        <v>18125.054829672779</v>
      </c>
      <c r="S184" s="1227"/>
    </row>
    <row r="185" spans="2:19">
      <c r="B185" s="822" t="s">
        <v>685</v>
      </c>
      <c r="C185" s="821"/>
      <c r="D185" s="16">
        <f t="shared" si="42"/>
        <v>799.70498223424943</v>
      </c>
      <c r="E185" s="838"/>
      <c r="F185" s="1203">
        <f>D185*$E$175*$W$45</f>
        <v>9560.5251339693732</v>
      </c>
      <c r="G185" s="786"/>
      <c r="H185" s="822" t="s">
        <v>685</v>
      </c>
      <c r="I185" s="821"/>
      <c r="J185" s="16">
        <f t="shared" si="43"/>
        <v>799.70498223424943</v>
      </c>
      <c r="K185" s="838"/>
      <c r="L185" s="1203">
        <f>J185*$K$175*$W$46</f>
        <v>9919.9433720885227</v>
      </c>
      <c r="N185" s="822" t="s">
        <v>685</v>
      </c>
      <c r="O185" s="821"/>
      <c r="P185" s="16">
        <f t="shared" si="44"/>
        <v>799.70498223424943</v>
      </c>
      <c r="Q185" s="838"/>
      <c r="R185" s="1203">
        <f>P185*$Q$175*$W$47</f>
        <v>10274.227063948827</v>
      </c>
      <c r="S185" s="1227"/>
    </row>
    <row r="186" spans="2:19">
      <c r="B186" s="835" t="s">
        <v>686</v>
      </c>
      <c r="C186" s="386"/>
      <c r="D186" s="16">
        <f t="shared" si="42"/>
        <v>1572.2963237683009</v>
      </c>
      <c r="E186" s="833"/>
      <c r="F186" s="1203">
        <f>D186*$E$175*$W$45</f>
        <v>18796.904927911684</v>
      </c>
      <c r="G186" s="786"/>
      <c r="H186" s="835" t="s">
        <v>686</v>
      </c>
      <c r="I186" s="386"/>
      <c r="J186" s="16">
        <f t="shared" si="43"/>
        <v>1572.2963237683009</v>
      </c>
      <c r="K186" s="833"/>
      <c r="L186" s="1203">
        <f>J186*$K$175*$W$46</f>
        <v>19503.555489111368</v>
      </c>
      <c r="N186" s="835" t="s">
        <v>686</v>
      </c>
      <c r="O186" s="386"/>
      <c r="P186" s="16">
        <f t="shared" si="44"/>
        <v>1572.2963237683009</v>
      </c>
      <c r="Q186" s="833"/>
      <c r="R186" s="1203">
        <f>P186*$Q$175*$W$47</f>
        <v>20200.11104229392</v>
      </c>
      <c r="S186" s="1227"/>
    </row>
    <row r="187" spans="2:19">
      <c r="B187" s="3003" t="str">
        <f>$U$15</f>
        <v>Flex Funding Administration</v>
      </c>
      <c r="C187" s="826"/>
      <c r="D187" s="3004">
        <f>$W$15</f>
        <v>1000</v>
      </c>
      <c r="E187" s="3005"/>
      <c r="F187" s="3006">
        <f>D187*E175</f>
        <v>9500</v>
      </c>
      <c r="G187" s="786"/>
      <c r="H187" s="3003" t="str">
        <f>$U$15</f>
        <v>Flex Funding Administration</v>
      </c>
      <c r="I187" s="826"/>
      <c r="J187" s="3004">
        <f>$W$15</f>
        <v>1000</v>
      </c>
      <c r="K187" s="3005"/>
      <c r="L187" s="3006">
        <f>J187*K175</f>
        <v>10000</v>
      </c>
      <c r="N187" s="3003" t="str">
        <f>$U$15</f>
        <v>Flex Funding Administration</v>
      </c>
      <c r="O187" s="826"/>
      <c r="P187" s="3004">
        <f>$W$15</f>
        <v>1000</v>
      </c>
      <c r="Q187" s="3005"/>
      <c r="R187" s="3006">
        <f>P187*Q175</f>
        <v>10500</v>
      </c>
      <c r="S187" s="1232"/>
    </row>
    <row r="188" spans="2:19" ht="15.75" thickBot="1">
      <c r="B188" s="816" t="s">
        <v>203</v>
      </c>
      <c r="C188" s="815"/>
      <c r="D188" s="814"/>
      <c r="E188" s="813"/>
      <c r="F188" s="1220">
        <f>SUM(F181:F187)</f>
        <v>680894.21721378143</v>
      </c>
      <c r="G188" s="1221"/>
      <c r="H188" s="816" t="s">
        <v>203</v>
      </c>
      <c r="I188" s="815"/>
      <c r="J188" s="814"/>
      <c r="K188" s="813"/>
      <c r="L188" s="1220">
        <f>SUM(L181:L187)</f>
        <v>711535.65064975515</v>
      </c>
      <c r="N188" s="816" t="s">
        <v>203</v>
      </c>
      <c r="O188" s="815"/>
      <c r="P188" s="814"/>
      <c r="Q188" s="813"/>
      <c r="R188" s="1220">
        <f>SUM(R181:R187)</f>
        <v>742118.55151462916</v>
      </c>
      <c r="S188" s="1235"/>
    </row>
    <row r="189" spans="2:19" ht="15.75" thickTop="1">
      <c r="B189" s="2769" t="s">
        <v>315</v>
      </c>
      <c r="C189" s="890">
        <f>C161</f>
        <v>0.11</v>
      </c>
      <c r="D189" s="830"/>
      <c r="E189" s="829"/>
      <c r="F189" s="1210">
        <f>C189*F188</f>
        <v>74898.363893515954</v>
      </c>
      <c r="G189" s="1221"/>
      <c r="H189" s="2769" t="s">
        <v>315</v>
      </c>
      <c r="I189" s="890">
        <f>I161</f>
        <v>0.11</v>
      </c>
      <c r="J189" s="830"/>
      <c r="K189" s="829"/>
      <c r="L189" s="1210">
        <f>I189*L188</f>
        <v>78268.921571473067</v>
      </c>
      <c r="N189" s="2769" t="s">
        <v>315</v>
      </c>
      <c r="O189" s="890">
        <f>O161</f>
        <v>0.11</v>
      </c>
      <c r="P189" s="830"/>
      <c r="Q189" s="829"/>
      <c r="R189" s="1210">
        <f>O189*R188</f>
        <v>81633.040666609202</v>
      </c>
      <c r="S189" s="1235"/>
    </row>
    <row r="190" spans="2:19">
      <c r="B190" s="2771" t="s">
        <v>653</v>
      </c>
      <c r="C190" s="2811">
        <f>C162</f>
        <v>6.3E-3</v>
      </c>
      <c r="D190" s="830"/>
      <c r="E190" s="829"/>
      <c r="F190" s="1210">
        <f>C190*F177</f>
        <v>2904.2306474568172</v>
      </c>
      <c r="G190" s="1221"/>
      <c r="H190" s="2771" t="s">
        <v>653</v>
      </c>
      <c r="I190" s="2811">
        <f>I162</f>
        <v>6.3E-3</v>
      </c>
      <c r="J190" s="830"/>
      <c r="K190" s="829"/>
      <c r="L190" s="1210">
        <f>I190*L177</f>
        <v>3038.7209481054988</v>
      </c>
      <c r="N190" s="2771" t="s">
        <v>653</v>
      </c>
      <c r="O190" s="2811">
        <f>O162</f>
        <v>6.3E-3</v>
      </c>
      <c r="P190" s="830"/>
      <c r="Q190" s="829"/>
      <c r="R190" s="1210">
        <f>O190*R177</f>
        <v>3173.2112487541799</v>
      </c>
      <c r="S190" s="1235"/>
    </row>
    <row r="191" spans="2:19" ht="15.75" thickBot="1">
      <c r="B191" s="2807"/>
      <c r="C191" s="2812"/>
      <c r="D191" s="830"/>
      <c r="E191" s="829"/>
      <c r="F191" s="2824">
        <f>C191*(F182+F183+F184+F185+F186)</f>
        <v>0</v>
      </c>
      <c r="G191" s="1221"/>
      <c r="H191" s="2807"/>
      <c r="I191" s="2812"/>
      <c r="J191" s="830"/>
      <c r="K191" s="829"/>
      <c r="L191" s="2824">
        <f>I191*(L182+L183+L184+L185+L186)</f>
        <v>0</v>
      </c>
      <c r="N191" s="2807"/>
      <c r="O191" s="2812"/>
      <c r="P191" s="830"/>
      <c r="Q191" s="829"/>
      <c r="R191" s="2824">
        <f>O191*(R182+R183+R184+R185+R186)</f>
        <v>0</v>
      </c>
      <c r="S191" s="2822"/>
    </row>
    <row r="192" spans="2:19">
      <c r="B192" s="2807"/>
      <c r="C192" s="2812"/>
      <c r="D192" s="830"/>
      <c r="E192" s="829"/>
      <c r="F192" s="2813">
        <f>SUM(F188:F191)</f>
        <v>758696.81175475428</v>
      </c>
      <c r="G192" s="1221"/>
      <c r="H192" s="2807"/>
      <c r="I192" s="2812"/>
      <c r="J192" s="830"/>
      <c r="K192" s="829"/>
      <c r="L192" s="2813">
        <f>SUM(L188:L191)</f>
        <v>792843.2931693336</v>
      </c>
      <c r="N192" s="2807"/>
      <c r="O192" s="2812"/>
      <c r="P192" s="830"/>
      <c r="Q192" s="829"/>
      <c r="R192" s="2813">
        <f>SUM(R188:R191)</f>
        <v>826924.80342999252</v>
      </c>
      <c r="S192" s="2822"/>
    </row>
    <row r="193" spans="2:19">
      <c r="B193" s="832" t="s">
        <v>205</v>
      </c>
      <c r="C193" s="890">
        <f>$W$21</f>
        <v>1.8120393120392975E-2</v>
      </c>
      <c r="D193" s="830"/>
      <c r="E193" s="829"/>
      <c r="F193" s="2813">
        <f>C193*F192</f>
        <v>13747.884488184935</v>
      </c>
      <c r="G193" s="1221"/>
      <c r="H193" s="832" t="s">
        <v>205</v>
      </c>
      <c r="I193" s="890">
        <f>$W$21</f>
        <v>1.8120393120392975E-2</v>
      </c>
      <c r="J193" s="830"/>
      <c r="K193" s="829"/>
      <c r="L193" s="2813">
        <f>I193*L192</f>
        <v>14366.632155095303</v>
      </c>
      <c r="N193" s="832" t="s">
        <v>205</v>
      </c>
      <c r="O193" s="890">
        <f>$W$21</f>
        <v>1.8120393120392975E-2</v>
      </c>
      <c r="P193" s="830"/>
      <c r="Q193" s="829"/>
      <c r="R193" s="2813">
        <f>O193*R192</f>
        <v>14984.202519155149</v>
      </c>
      <c r="S193" s="2822"/>
    </row>
    <row r="194" spans="2:19" ht="15.75" thickBot="1">
      <c r="B194" s="29"/>
      <c r="C194" s="30"/>
      <c r="D194" s="830"/>
      <c r="E194" s="829"/>
      <c r="F194" s="1220">
        <f>SUM(F192:F193)</f>
        <v>772444.69624293922</v>
      </c>
      <c r="G194" s="1221"/>
      <c r="H194" s="29"/>
      <c r="I194" s="30"/>
      <c r="J194" s="830"/>
      <c r="K194" s="829"/>
      <c r="L194" s="1220">
        <f>SUM(L192:L193)</f>
        <v>807209.92532442894</v>
      </c>
      <c r="N194" s="29"/>
      <c r="O194" s="30"/>
      <c r="P194" s="830"/>
      <c r="Q194" s="829"/>
      <c r="R194" s="1220">
        <f>SUM(R192:R193)</f>
        <v>841909.00594914763</v>
      </c>
      <c r="S194" s="1235"/>
    </row>
    <row r="195" spans="2:19" ht="16.5" thickTop="1" thickBot="1">
      <c r="B195" s="832"/>
      <c r="C195" s="890"/>
      <c r="D195" s="830"/>
      <c r="E195" s="829"/>
      <c r="F195" s="2825"/>
      <c r="G195" s="1221"/>
      <c r="H195" s="832"/>
      <c r="I195" s="890"/>
      <c r="J195" s="830"/>
      <c r="K195" s="829"/>
      <c r="L195" s="2825"/>
      <c r="N195" s="832"/>
      <c r="O195" s="890"/>
      <c r="P195" s="830"/>
      <c r="Q195" s="829"/>
      <c r="R195" s="2825"/>
      <c r="S195" s="1235"/>
    </row>
    <row r="196" spans="2:19" ht="16.5" thickTop="1" thickBot="1">
      <c r="B196" s="798" t="s">
        <v>318</v>
      </c>
      <c r="C196" s="811"/>
      <c r="D196" s="811"/>
      <c r="E196" s="811"/>
      <c r="F196" s="1266">
        <f>F194/12</f>
        <v>64370.39135357827</v>
      </c>
      <c r="G196" s="1221"/>
      <c r="H196" s="798" t="s">
        <v>318</v>
      </c>
      <c r="I196" s="811"/>
      <c r="J196" s="811"/>
      <c r="K196" s="811"/>
      <c r="L196" s="1266">
        <f>L194/12</f>
        <v>67267.49377703575</v>
      </c>
      <c r="N196" s="798" t="s">
        <v>318</v>
      </c>
      <c r="O196" s="811"/>
      <c r="P196" s="811"/>
      <c r="Q196" s="811"/>
      <c r="R196" s="1266">
        <f>R194/12</f>
        <v>70159.083829095631</v>
      </c>
      <c r="S196" s="3009"/>
    </row>
    <row r="197" spans="2:19">
      <c r="B197" s="1225"/>
      <c r="C197" s="1225"/>
      <c r="D197" s="1225"/>
      <c r="E197" s="1225"/>
      <c r="F197" s="1226"/>
      <c r="G197" s="1227"/>
      <c r="H197" s="1225"/>
      <c r="R197" s="786"/>
      <c r="S197" s="1225"/>
    </row>
    <row r="198" spans="2:19">
      <c r="B198" s="1225"/>
      <c r="C198" s="1225"/>
      <c r="D198" s="1225"/>
      <c r="E198" s="1225"/>
      <c r="F198" s="2695"/>
      <c r="G198" s="2695"/>
      <c r="H198" s="2695"/>
      <c r="I198" s="2695"/>
      <c r="J198" s="2695"/>
      <c r="K198" s="2695"/>
      <c r="L198" s="2695"/>
      <c r="M198" s="2695"/>
      <c r="N198" s="2695"/>
      <c r="O198" s="2695"/>
      <c r="P198" s="2695"/>
      <c r="Q198" s="2695"/>
      <c r="R198" s="2695"/>
      <c r="S198" s="2695"/>
    </row>
    <row r="199" spans="2:19" ht="15.75" thickBot="1">
      <c r="B199" s="1225"/>
      <c r="C199" s="1225"/>
      <c r="D199" s="1225"/>
      <c r="E199" s="1225"/>
      <c r="F199" s="1226"/>
      <c r="G199" s="1227"/>
      <c r="H199" s="1225"/>
      <c r="R199" s="786"/>
      <c r="S199" s="1225"/>
    </row>
    <row r="200" spans="2:19">
      <c r="B200" s="3145" t="s">
        <v>1048</v>
      </c>
      <c r="C200" s="3146"/>
      <c r="D200" s="3146"/>
      <c r="E200" s="3146"/>
      <c r="F200" s="3147"/>
      <c r="G200" s="786"/>
      <c r="H200" s="3145" t="s">
        <v>1049</v>
      </c>
      <c r="I200" s="3146"/>
      <c r="J200" s="3146"/>
      <c r="K200" s="3146"/>
      <c r="L200" s="3147"/>
      <c r="N200" s="3145" t="s">
        <v>1050</v>
      </c>
      <c r="O200" s="3146"/>
      <c r="P200" s="3146"/>
      <c r="Q200" s="3146"/>
      <c r="R200" s="3147"/>
      <c r="S200" s="1236"/>
    </row>
    <row r="201" spans="2:19" ht="45">
      <c r="B201" s="832"/>
      <c r="C201" s="1196" t="s">
        <v>311</v>
      </c>
      <c r="D201" s="1197" t="s">
        <v>209</v>
      </c>
      <c r="E201" s="1198" t="s">
        <v>190</v>
      </c>
      <c r="F201" s="1199" t="s">
        <v>210</v>
      </c>
      <c r="G201" s="786"/>
      <c r="H201" s="832"/>
      <c r="I201" s="1196" t="s">
        <v>311</v>
      </c>
      <c r="J201" s="1197" t="s">
        <v>209</v>
      </c>
      <c r="K201" s="1198" t="s">
        <v>190</v>
      </c>
      <c r="L201" s="1199" t="s">
        <v>210</v>
      </c>
      <c r="N201" s="832"/>
      <c r="O201" s="1196" t="s">
        <v>311</v>
      </c>
      <c r="P201" s="1197" t="s">
        <v>209</v>
      </c>
      <c r="Q201" s="1198" t="s">
        <v>190</v>
      </c>
      <c r="R201" s="1199" t="s">
        <v>210</v>
      </c>
      <c r="S201" s="1238"/>
    </row>
    <row r="202" spans="2:19">
      <c r="B202" s="15" t="s">
        <v>191</v>
      </c>
      <c r="C202" s="16"/>
      <c r="D202" s="871">
        <f>W6</f>
        <v>55383.32303680529</v>
      </c>
      <c r="E202" s="1202">
        <f>V48</f>
        <v>0.77</v>
      </c>
      <c r="F202" s="1203">
        <f>D202*E202</f>
        <v>42645.158738340077</v>
      </c>
      <c r="G202" s="786"/>
      <c r="H202" s="15" t="s">
        <v>191</v>
      </c>
      <c r="I202" s="16"/>
      <c r="J202" s="871">
        <f t="shared" ref="J202:J203" si="45">W6</f>
        <v>55383.32303680529</v>
      </c>
      <c r="K202" s="1202">
        <f>V49</f>
        <v>0.75</v>
      </c>
      <c r="L202" s="1203">
        <f>J202*K202</f>
        <v>41537.492277603968</v>
      </c>
      <c r="N202" s="15" t="s">
        <v>191</v>
      </c>
      <c r="O202" s="16"/>
      <c r="P202" s="871">
        <f>W6</f>
        <v>55383.32303680529</v>
      </c>
      <c r="Q202" s="1202">
        <f>V50</f>
        <v>0.72</v>
      </c>
      <c r="R202" s="1203">
        <f>P202*Q202</f>
        <v>39875.992586499808</v>
      </c>
      <c r="S202" s="1227"/>
    </row>
    <row r="203" spans="2:19">
      <c r="B203" s="18" t="s">
        <v>466</v>
      </c>
      <c r="C203" s="749"/>
      <c r="D203" s="871">
        <f>W7</f>
        <v>43803</v>
      </c>
      <c r="E203" s="1204">
        <f>U48</f>
        <v>11</v>
      </c>
      <c r="F203" s="1203">
        <f t="shared" ref="F203" si="46">D203*E203</f>
        <v>481833</v>
      </c>
      <c r="G203" s="786"/>
      <c r="H203" s="18" t="s">
        <v>466</v>
      </c>
      <c r="I203" s="749"/>
      <c r="J203" s="871">
        <f t="shared" si="45"/>
        <v>43803</v>
      </c>
      <c r="K203" s="1204">
        <f>U49</f>
        <v>11.5</v>
      </c>
      <c r="L203" s="1203">
        <f t="shared" ref="L203" si="47">J203*K203</f>
        <v>503734.5</v>
      </c>
      <c r="N203" s="18" t="s">
        <v>466</v>
      </c>
      <c r="O203" s="749"/>
      <c r="P203" s="871">
        <f>W7</f>
        <v>43803</v>
      </c>
      <c r="Q203" s="1204">
        <f>U50</f>
        <v>12</v>
      </c>
      <c r="R203" s="1203">
        <f t="shared" ref="R203" si="48">P203*Q203</f>
        <v>525636</v>
      </c>
      <c r="S203" s="1227"/>
    </row>
    <row r="204" spans="2:19">
      <c r="B204" s="18"/>
      <c r="C204" s="749"/>
      <c r="D204" s="871"/>
      <c r="E204" s="1204"/>
      <c r="F204" s="1203"/>
      <c r="G204" s="786"/>
      <c r="H204" s="18"/>
      <c r="I204" s="749"/>
      <c r="J204" s="871"/>
      <c r="K204" s="1204"/>
      <c r="L204" s="1203"/>
      <c r="N204" s="18"/>
      <c r="O204" s="749"/>
      <c r="P204" s="871"/>
      <c r="Q204" s="1204"/>
      <c r="R204" s="1203"/>
      <c r="S204" s="1227"/>
    </row>
    <row r="205" spans="2:19">
      <c r="B205" s="868" t="s">
        <v>217</v>
      </c>
      <c r="C205" s="867"/>
      <c r="D205" s="866"/>
      <c r="E205" s="1206">
        <f>SUM(E202:E204)</f>
        <v>11.77</v>
      </c>
      <c r="F205" s="1207">
        <f>SUM(F202:F203)</f>
        <v>524478.15873834002</v>
      </c>
      <c r="G205" s="786"/>
      <c r="H205" s="868" t="s">
        <v>217</v>
      </c>
      <c r="I205" s="867"/>
      <c r="J205" s="866"/>
      <c r="K205" s="1206">
        <f>SUM(K202:K204)</f>
        <v>12.25</v>
      </c>
      <c r="L205" s="1207">
        <f>SUM(L202:L203)</f>
        <v>545271.99227760395</v>
      </c>
      <c r="N205" s="868" t="s">
        <v>217</v>
      </c>
      <c r="O205" s="867"/>
      <c r="P205" s="866"/>
      <c r="Q205" s="1206">
        <f>SUM(Q202:Q204)</f>
        <v>12.72</v>
      </c>
      <c r="R205" s="1207">
        <f>SUM(R202:R203)</f>
        <v>565511.99258649978</v>
      </c>
      <c r="S205" s="1232"/>
    </row>
    <row r="206" spans="2:19">
      <c r="B206" s="863"/>
      <c r="C206" s="862"/>
      <c r="D206" s="861"/>
      <c r="E206" s="1208"/>
      <c r="F206" s="1209"/>
      <c r="G206" s="786"/>
      <c r="H206" s="863"/>
      <c r="I206" s="862"/>
      <c r="J206" s="861"/>
      <c r="K206" s="860"/>
      <c r="L206" s="1209"/>
      <c r="N206" s="863"/>
      <c r="O206" s="862"/>
      <c r="P206" s="861"/>
      <c r="Q206" s="1208"/>
      <c r="R206" s="1209"/>
      <c r="S206" s="1232"/>
    </row>
    <row r="207" spans="2:19">
      <c r="B207" s="832" t="s">
        <v>195</v>
      </c>
      <c r="C207" s="859"/>
      <c r="D207" s="830"/>
      <c r="E207" s="858"/>
      <c r="F207" s="1210"/>
      <c r="G207" s="786"/>
      <c r="H207" s="832" t="s">
        <v>195</v>
      </c>
      <c r="I207" s="859"/>
      <c r="J207" s="830"/>
      <c r="K207" s="858"/>
      <c r="L207" s="1210"/>
      <c r="N207" s="832" t="s">
        <v>195</v>
      </c>
      <c r="O207" s="859"/>
      <c r="P207" s="830"/>
      <c r="Q207" s="858"/>
      <c r="R207" s="1210"/>
      <c r="S207" s="1235"/>
    </row>
    <row r="208" spans="2:19">
      <c r="B208" s="822" t="s">
        <v>196</v>
      </c>
      <c r="C208" s="855">
        <f>W17</f>
        <v>0.22</v>
      </c>
      <c r="D208" s="1211"/>
      <c r="E208" s="853"/>
      <c r="F208" s="1212">
        <f>C208*F205</f>
        <v>115385.19492243481</v>
      </c>
      <c r="G208" s="786"/>
      <c r="H208" s="822" t="s">
        <v>196</v>
      </c>
      <c r="I208" s="855">
        <f>W17</f>
        <v>0.22</v>
      </c>
      <c r="J208" s="1211"/>
      <c r="K208" s="853"/>
      <c r="L208" s="1213">
        <f>I208*L205</f>
        <v>119959.83830107287</v>
      </c>
      <c r="N208" s="822" t="s">
        <v>196</v>
      </c>
      <c r="O208" s="855">
        <f>W17</f>
        <v>0.22</v>
      </c>
      <c r="P208" s="1211"/>
      <c r="Q208" s="853"/>
      <c r="R208" s="1213">
        <f>O208*R205</f>
        <v>124412.63836902996</v>
      </c>
      <c r="S208" s="1239"/>
    </row>
    <row r="209" spans="2:19">
      <c r="B209" s="787" t="s">
        <v>198</v>
      </c>
      <c r="C209" s="848"/>
      <c r="D209" s="847"/>
      <c r="E209" s="846"/>
      <c r="F209" s="1214">
        <f>F208+F205</f>
        <v>639863.35366077488</v>
      </c>
      <c r="G209" s="786"/>
      <c r="H209" s="787" t="s">
        <v>198</v>
      </c>
      <c r="I209" s="848"/>
      <c r="J209" s="847"/>
      <c r="K209" s="846"/>
      <c r="L209" s="1214">
        <f>L208+L205</f>
        <v>665231.83057867677</v>
      </c>
      <c r="N209" s="787" t="s">
        <v>198</v>
      </c>
      <c r="O209" s="848"/>
      <c r="P209" s="847"/>
      <c r="Q209" s="846"/>
      <c r="R209" s="1214">
        <f>R208+R205</f>
        <v>689924.63095552975</v>
      </c>
      <c r="S209" s="1235"/>
    </row>
    <row r="210" spans="2:19">
      <c r="B210" s="29" t="s">
        <v>313</v>
      </c>
      <c r="C210" s="30"/>
      <c r="D210" s="16">
        <f>W10</f>
        <v>5155.4902174195804</v>
      </c>
      <c r="E210" s="841"/>
      <c r="F210" s="1203">
        <f>D210*$E$203*$W$48</f>
        <v>68488.172539654275</v>
      </c>
      <c r="G210" s="786"/>
      <c r="H210" s="29" t="s">
        <v>313</v>
      </c>
      <c r="I210" s="30"/>
      <c r="J210" s="16">
        <f>W10</f>
        <v>5155.4902174195804</v>
      </c>
      <c r="K210" s="841"/>
      <c r="L210" s="1203">
        <f>J210*$K$203*$W$49</f>
        <v>70711.814505227449</v>
      </c>
      <c r="N210" s="29" t="s">
        <v>313</v>
      </c>
      <c r="O210" s="30"/>
      <c r="P210" s="16">
        <f>W10</f>
        <v>5155.4902174195804</v>
      </c>
      <c r="Q210" s="841"/>
      <c r="R210" s="1203">
        <f>P210*$Q$203*$W$50</f>
        <v>72907.833589240719</v>
      </c>
      <c r="S210" s="1227"/>
    </row>
    <row r="211" spans="2:19">
      <c r="B211" s="835" t="s">
        <v>673</v>
      </c>
      <c r="C211" s="821"/>
      <c r="D211" s="16">
        <f t="shared" ref="D211:D214" si="49">W11</f>
        <v>178.16741415351552</v>
      </c>
      <c r="E211" s="838"/>
      <c r="F211" s="1203">
        <f>D211*$E$203*$W$48</f>
        <v>2366.8671817590066</v>
      </c>
      <c r="G211" s="786"/>
      <c r="H211" s="835" t="s">
        <v>673</v>
      </c>
      <c r="I211" s="821"/>
      <c r="J211" s="16">
        <f t="shared" ref="J211:J214" si="50">W11</f>
        <v>178.16741415351552</v>
      </c>
      <c r="K211" s="838"/>
      <c r="L211" s="1203">
        <f>J211*$K$203*$W$49</f>
        <v>2443.713518829104</v>
      </c>
      <c r="N211" s="835" t="s">
        <v>673</v>
      </c>
      <c r="O211" s="821"/>
      <c r="P211" s="16">
        <f t="shared" ref="P211:P214" si="51">W11</f>
        <v>178.16741415351552</v>
      </c>
      <c r="Q211" s="838"/>
      <c r="R211" s="1203">
        <f>P211*$Q$203*$W$50</f>
        <v>2519.6052430163431</v>
      </c>
      <c r="S211" s="1227"/>
    </row>
    <row r="212" spans="2:19">
      <c r="B212" s="822" t="s">
        <v>674</v>
      </c>
      <c r="C212" s="821"/>
      <c r="D212" s="16">
        <f t="shared" si="49"/>
        <v>1410.7821990248415</v>
      </c>
      <c r="E212" s="838"/>
      <c r="F212" s="1203">
        <f>D212*$E$203*$W$48</f>
        <v>18741.55329326709</v>
      </c>
      <c r="G212" s="786"/>
      <c r="H212" s="822" t="s">
        <v>674</v>
      </c>
      <c r="I212" s="821"/>
      <c r="J212" s="16">
        <f t="shared" si="50"/>
        <v>1410.7821990248415</v>
      </c>
      <c r="K212" s="838"/>
      <c r="L212" s="1203">
        <f>J212*$K$203*$W$49</f>
        <v>19350.045283308227</v>
      </c>
      <c r="N212" s="822" t="s">
        <v>674</v>
      </c>
      <c r="O212" s="821"/>
      <c r="P212" s="16">
        <f t="shared" si="51"/>
        <v>1410.7821990248415</v>
      </c>
      <c r="Q212" s="838"/>
      <c r="R212" s="1203">
        <f>P212*$Q$203*$W$50</f>
        <v>19950.978366640782</v>
      </c>
      <c r="S212" s="1227"/>
    </row>
    <row r="213" spans="2:19">
      <c r="B213" s="822" t="s">
        <v>685</v>
      </c>
      <c r="C213" s="821"/>
      <c r="D213" s="16">
        <f t="shared" si="49"/>
        <v>799.70498223424943</v>
      </c>
      <c r="E213" s="838"/>
      <c r="F213" s="1203">
        <f>D213*$E$203*$W$48</f>
        <v>10623.690569525317</v>
      </c>
      <c r="G213" s="786"/>
      <c r="H213" s="822" t="s">
        <v>685</v>
      </c>
      <c r="I213" s="821"/>
      <c r="J213" s="16">
        <f t="shared" si="50"/>
        <v>799.70498223424943</v>
      </c>
      <c r="K213" s="838"/>
      <c r="L213" s="1203">
        <f>J213*$K$203*$W$49</f>
        <v>10968.615588016397</v>
      </c>
      <c r="N213" s="822" t="s">
        <v>685</v>
      </c>
      <c r="O213" s="821"/>
      <c r="P213" s="16">
        <f t="shared" si="51"/>
        <v>799.70498223424943</v>
      </c>
      <c r="Q213" s="838"/>
      <c r="R213" s="1203">
        <f>P213*$Q$203*$W$50</f>
        <v>11309.25582366908</v>
      </c>
      <c r="S213" s="1227"/>
    </row>
    <row r="214" spans="2:19">
      <c r="B214" s="835" t="s">
        <v>686</v>
      </c>
      <c r="C214" s="386"/>
      <c r="D214" s="16">
        <f t="shared" si="49"/>
        <v>1572.2963237683009</v>
      </c>
      <c r="E214" s="833"/>
      <c r="F214" s="1203">
        <f>D214*$E$203*$W$48</f>
        <v>20887.189649174663</v>
      </c>
      <c r="G214" s="786"/>
      <c r="H214" s="835" t="s">
        <v>686</v>
      </c>
      <c r="I214" s="386"/>
      <c r="J214" s="16">
        <f t="shared" si="50"/>
        <v>1572.2963237683009</v>
      </c>
      <c r="K214" s="833"/>
      <c r="L214" s="1203">
        <f>J214*$K$203*$W$49</f>
        <v>21565.34515726475</v>
      </c>
      <c r="N214" s="835" t="s">
        <v>686</v>
      </c>
      <c r="O214" s="386"/>
      <c r="P214" s="16">
        <f t="shared" si="51"/>
        <v>1572.2963237683009</v>
      </c>
      <c r="Q214" s="833"/>
      <c r="R214" s="1203">
        <f>P214*$Q$203*$W$50</f>
        <v>22235.076373328873</v>
      </c>
      <c r="S214" s="1227"/>
    </row>
    <row r="215" spans="2:19">
      <c r="B215" s="3003" t="str">
        <f>$U$15</f>
        <v>Flex Funding Administration</v>
      </c>
      <c r="C215" s="826"/>
      <c r="D215" s="3004">
        <f>$W$15</f>
        <v>1000</v>
      </c>
      <c r="E215" s="3005"/>
      <c r="F215" s="3006">
        <f>D215*E203</f>
        <v>11000</v>
      </c>
      <c r="G215" s="786"/>
      <c r="H215" s="3003" t="str">
        <f>$U$15</f>
        <v>Flex Funding Administration</v>
      </c>
      <c r="I215" s="826"/>
      <c r="J215" s="3004">
        <f>$W$15</f>
        <v>1000</v>
      </c>
      <c r="K215" s="3005"/>
      <c r="L215" s="3006">
        <f>J215*K203</f>
        <v>11500</v>
      </c>
      <c r="N215" s="3003" t="str">
        <f>$U$15</f>
        <v>Flex Funding Administration</v>
      </c>
      <c r="O215" s="826"/>
      <c r="P215" s="3004">
        <f>$W$15</f>
        <v>1000</v>
      </c>
      <c r="Q215" s="3005"/>
      <c r="R215" s="3006">
        <f>P215*Q203</f>
        <v>12000</v>
      </c>
      <c r="S215" s="1232"/>
    </row>
    <row r="216" spans="2:19" ht="15.75" thickBot="1">
      <c r="B216" s="816" t="s">
        <v>203</v>
      </c>
      <c r="C216" s="815"/>
      <c r="D216" s="814"/>
      <c r="E216" s="813"/>
      <c r="F216" s="1220">
        <f>SUM(F209:F215)</f>
        <v>771970.82689415524</v>
      </c>
      <c r="G216" s="1221"/>
      <c r="H216" s="816" t="s">
        <v>203</v>
      </c>
      <c r="I216" s="815"/>
      <c r="J216" s="814"/>
      <c r="K216" s="813"/>
      <c r="L216" s="1220">
        <f>SUM(L209:L215)</f>
        <v>801771.36463132268</v>
      </c>
      <c r="N216" s="816" t="s">
        <v>203</v>
      </c>
      <c r="O216" s="815"/>
      <c r="P216" s="814"/>
      <c r="Q216" s="813"/>
      <c r="R216" s="1220">
        <f>SUM(R209:R215)</f>
        <v>830847.3803514255</v>
      </c>
      <c r="S216" s="1235"/>
    </row>
    <row r="217" spans="2:19" ht="15.75" thickTop="1">
      <c r="B217" s="2769" t="s">
        <v>315</v>
      </c>
      <c r="C217" s="890">
        <f>C189</f>
        <v>0.11</v>
      </c>
      <c r="D217" s="830"/>
      <c r="E217" s="829"/>
      <c r="F217" s="1210">
        <f>C217*F216</f>
        <v>84916.790958357073</v>
      </c>
      <c r="G217" s="1221"/>
      <c r="H217" s="2769" t="s">
        <v>315</v>
      </c>
      <c r="I217" s="890">
        <f>I189</f>
        <v>0.11</v>
      </c>
      <c r="J217" s="830"/>
      <c r="K217" s="829"/>
      <c r="L217" s="1210">
        <f>I217*L216</f>
        <v>88194.850109445499</v>
      </c>
      <c r="N217" s="2769" t="s">
        <v>315</v>
      </c>
      <c r="O217" s="890">
        <f>O189</f>
        <v>0.11</v>
      </c>
      <c r="P217" s="830"/>
      <c r="Q217" s="829"/>
      <c r="R217" s="1210">
        <f>O217*R216</f>
        <v>91393.211838656804</v>
      </c>
      <c r="S217" s="1235"/>
    </row>
    <row r="218" spans="2:19">
      <c r="B218" s="2771" t="s">
        <v>653</v>
      </c>
      <c r="C218" s="2811">
        <f>C190</f>
        <v>6.3E-3</v>
      </c>
      <c r="D218" s="830"/>
      <c r="E218" s="829"/>
      <c r="F218" s="1210">
        <f>C218*F205</f>
        <v>3304.2124000515423</v>
      </c>
      <c r="G218" s="1221"/>
      <c r="H218" s="2771" t="s">
        <v>653</v>
      </c>
      <c r="I218" s="2811">
        <f>I190</f>
        <v>6.3E-3</v>
      </c>
      <c r="J218" s="830"/>
      <c r="K218" s="829"/>
      <c r="L218" s="1210">
        <f>I218*L205</f>
        <v>3435.2135513489047</v>
      </c>
      <c r="N218" s="2771" t="s">
        <v>653</v>
      </c>
      <c r="O218" s="2811">
        <f>O190</f>
        <v>6.3E-3</v>
      </c>
      <c r="P218" s="830"/>
      <c r="Q218" s="829"/>
      <c r="R218" s="1210">
        <f>O218*R205</f>
        <v>3562.7255532949484</v>
      </c>
      <c r="S218" s="1235"/>
    </row>
    <row r="219" spans="2:19" ht="15.75" thickBot="1">
      <c r="B219" s="2807"/>
      <c r="C219" s="2812"/>
      <c r="D219" s="830"/>
      <c r="E219" s="829"/>
      <c r="F219" s="2824">
        <f>C219*(F210+F211+F212+F213+F214)</f>
        <v>0</v>
      </c>
      <c r="G219" s="1221"/>
      <c r="H219" s="2807"/>
      <c r="I219" s="2812"/>
      <c r="J219" s="830"/>
      <c r="K219" s="829"/>
      <c r="L219" s="2824">
        <f>I219*(L210+L211+L212+L213+L214)</f>
        <v>0</v>
      </c>
      <c r="N219" s="2807"/>
      <c r="O219" s="2812"/>
      <c r="P219" s="830"/>
      <c r="Q219" s="829"/>
      <c r="R219" s="2824">
        <f>O219*(R210+R211+R212+R213+R214)</f>
        <v>0</v>
      </c>
      <c r="S219" s="2822"/>
    </row>
    <row r="220" spans="2:19">
      <c r="B220" s="2807"/>
      <c r="C220" s="2812"/>
      <c r="D220" s="830"/>
      <c r="E220" s="829"/>
      <c r="F220" s="2813">
        <f>SUM(F216:F219)</f>
        <v>860191.83025256381</v>
      </c>
      <c r="G220" s="1221"/>
      <c r="H220" s="2807"/>
      <c r="I220" s="2812"/>
      <c r="J220" s="830"/>
      <c r="K220" s="829"/>
      <c r="L220" s="2813">
        <f>SUM(L216:L219)</f>
        <v>893401.42829211708</v>
      </c>
      <c r="N220" s="2807"/>
      <c r="O220" s="2812"/>
      <c r="P220" s="830"/>
      <c r="Q220" s="829"/>
      <c r="R220" s="2813">
        <f>SUM(R216:R219)</f>
        <v>925803.31774337729</v>
      </c>
      <c r="S220" s="2822"/>
    </row>
    <row r="221" spans="2:19">
      <c r="B221" s="832" t="s">
        <v>205</v>
      </c>
      <c r="C221" s="890">
        <f>$W$21</f>
        <v>1.8120393120392975E-2</v>
      </c>
      <c r="D221" s="830"/>
      <c r="E221" s="829"/>
      <c r="F221" s="2813">
        <f>C221*F220</f>
        <v>15587.014123126799</v>
      </c>
      <c r="G221" s="1221"/>
      <c r="H221" s="832" t="s">
        <v>205</v>
      </c>
      <c r="I221" s="890">
        <f>$W$21</f>
        <v>1.8120393120392975E-2</v>
      </c>
      <c r="J221" s="830"/>
      <c r="K221" s="829"/>
      <c r="L221" s="2813">
        <f>I221*L220</f>
        <v>16188.785094973737</v>
      </c>
      <c r="N221" s="832" t="s">
        <v>205</v>
      </c>
      <c r="O221" s="890">
        <f>$W$21</f>
        <v>1.8120393120392975E-2</v>
      </c>
      <c r="P221" s="830"/>
      <c r="Q221" s="829"/>
      <c r="R221" s="2813">
        <f>O221*R220</f>
        <v>16775.920069674085</v>
      </c>
      <c r="S221" s="2822"/>
    </row>
    <row r="222" spans="2:19" ht="15.75" thickBot="1">
      <c r="B222" s="29"/>
      <c r="C222" s="30"/>
      <c r="D222" s="830"/>
      <c r="E222" s="829"/>
      <c r="F222" s="1220">
        <f>SUM(F220:F221)</f>
        <v>875778.84437569056</v>
      </c>
      <c r="G222" s="1221"/>
      <c r="H222" s="29"/>
      <c r="I222" s="30"/>
      <c r="J222" s="830"/>
      <c r="K222" s="829"/>
      <c r="L222" s="1220">
        <f>SUM(L220:L221)</f>
        <v>909590.21338709083</v>
      </c>
      <c r="N222" s="29"/>
      <c r="O222" s="30"/>
      <c r="P222" s="830"/>
      <c r="Q222" s="829"/>
      <c r="R222" s="1220">
        <f>SUM(R220:R221)</f>
        <v>942579.23781305132</v>
      </c>
      <c r="S222" s="1235"/>
    </row>
    <row r="223" spans="2:19" ht="16.5" thickTop="1" thickBot="1">
      <c r="B223" s="832"/>
      <c r="C223" s="890"/>
      <c r="D223" s="830"/>
      <c r="E223" s="829"/>
      <c r="F223" s="2825"/>
      <c r="G223" s="1221"/>
      <c r="H223" s="832"/>
      <c r="I223" s="890"/>
      <c r="J223" s="830"/>
      <c r="K223" s="829"/>
      <c r="L223" s="2825"/>
      <c r="N223" s="832"/>
      <c r="O223" s="890"/>
      <c r="P223" s="830"/>
      <c r="Q223" s="829"/>
      <c r="R223" s="2825"/>
      <c r="S223" s="1235"/>
    </row>
    <row r="224" spans="2:19" ht="16.5" thickTop="1" thickBot="1">
      <c r="B224" s="798" t="s">
        <v>318</v>
      </c>
      <c r="C224" s="811"/>
      <c r="D224" s="811"/>
      <c r="E224" s="811"/>
      <c r="F224" s="1266">
        <f>F222/12</f>
        <v>72981.57036464088</v>
      </c>
      <c r="G224" s="1221"/>
      <c r="H224" s="798" t="s">
        <v>318</v>
      </c>
      <c r="I224" s="811"/>
      <c r="J224" s="811"/>
      <c r="K224" s="811"/>
      <c r="L224" s="1266">
        <f>L222/12</f>
        <v>75799.184448924236</v>
      </c>
      <c r="N224" s="798" t="s">
        <v>318</v>
      </c>
      <c r="O224" s="811"/>
      <c r="P224" s="811"/>
      <c r="Q224" s="811"/>
      <c r="R224" s="1266">
        <f>R222/12</f>
        <v>78548.269817754277</v>
      </c>
      <c r="S224" s="3009"/>
    </row>
    <row r="225" spans="6:7">
      <c r="F225" s="786"/>
      <c r="G225" s="1232"/>
    </row>
    <row r="226" spans="6:7">
      <c r="F226" s="786"/>
      <c r="G226" s="1232"/>
    </row>
    <row r="227" spans="6:7">
      <c r="F227" s="786"/>
    </row>
    <row r="228" spans="6:7">
      <c r="F228" s="786"/>
    </row>
    <row r="229" spans="6:7">
      <c r="F229" s="786"/>
      <c r="G229" s="1236"/>
    </row>
    <row r="230" spans="6:7">
      <c r="F230" s="786"/>
      <c r="G230" s="1237"/>
    </row>
    <row r="231" spans="6:7">
      <c r="F231" s="786"/>
      <c r="G231" s="1238"/>
    </row>
    <row r="232" spans="6:7">
      <c r="F232" s="786"/>
      <c r="G232" s="1227"/>
    </row>
    <row r="233" spans="6:7">
      <c r="F233" s="786"/>
      <c r="G233" s="1227"/>
    </row>
    <row r="234" spans="6:7">
      <c r="F234" s="786"/>
      <c r="G234" s="1232"/>
    </row>
    <row r="235" spans="6:7">
      <c r="F235" s="786"/>
      <c r="G235" s="1232"/>
    </row>
    <row r="236" spans="6:7">
      <c r="F236" s="786"/>
      <c r="G236" s="1239"/>
    </row>
    <row r="237" spans="6:7">
      <c r="F237" s="786"/>
      <c r="G237" s="1235"/>
    </row>
    <row r="238" spans="6:7">
      <c r="F238" s="786"/>
      <c r="G238" s="1227"/>
    </row>
    <row r="239" spans="6:7">
      <c r="F239" s="786"/>
      <c r="G239" s="1227"/>
    </row>
    <row r="240" spans="6:7">
      <c r="F240" s="786"/>
      <c r="G240" s="1227"/>
    </row>
    <row r="241" spans="6:11">
      <c r="F241" s="786"/>
      <c r="G241" s="1227"/>
    </row>
    <row r="242" spans="6:11">
      <c r="F242" s="786"/>
      <c r="G242" s="1227"/>
    </row>
    <row r="243" spans="6:11">
      <c r="F243" s="786"/>
      <c r="G243" s="1227"/>
    </row>
    <row r="244" spans="6:11">
      <c r="F244" s="786"/>
      <c r="G244" s="1227"/>
    </row>
    <row r="245" spans="6:11">
      <c r="F245" s="786"/>
      <c r="G245" s="1227"/>
    </row>
    <row r="246" spans="6:11">
      <c r="F246" s="786"/>
      <c r="G246" s="1227"/>
    </row>
    <row r="247" spans="6:11">
      <c r="F247" s="786"/>
      <c r="G247" s="1227"/>
    </row>
    <row r="248" spans="6:11">
      <c r="F248" s="786"/>
      <c r="G248" s="1227"/>
    </row>
    <row r="249" spans="6:11">
      <c r="G249" s="1227"/>
    </row>
    <row r="250" spans="6:11">
      <c r="G250" s="1221"/>
    </row>
    <row r="251" spans="6:11">
      <c r="G251" s="1235"/>
      <c r="K251" s="790"/>
    </row>
    <row r="252" spans="6:11">
      <c r="G252" s="1227"/>
    </row>
    <row r="253" spans="6:11">
      <c r="G253" s="1232"/>
    </row>
    <row r="254" spans="6:11">
      <c r="G254" s="1232"/>
    </row>
    <row r="255" spans="6:11">
      <c r="G255" s="1232"/>
    </row>
    <row r="256" spans="6:11">
      <c r="G256" s="1232"/>
    </row>
    <row r="259" spans="7:7">
      <c r="G259" s="1236"/>
    </row>
    <row r="260" spans="7:7">
      <c r="G260" s="1237"/>
    </row>
    <row r="261" spans="7:7">
      <c r="G261" s="1238"/>
    </row>
    <row r="262" spans="7:7">
      <c r="G262" s="1227"/>
    </row>
    <row r="263" spans="7:7">
      <c r="G263" s="1227"/>
    </row>
    <row r="264" spans="7:7">
      <c r="G264" s="1232"/>
    </row>
    <row r="265" spans="7:7">
      <c r="G265" s="1232"/>
    </row>
    <row r="266" spans="7:7">
      <c r="G266" s="1239"/>
    </row>
    <row r="267" spans="7:7">
      <c r="G267" s="1235"/>
    </row>
    <row r="268" spans="7:7">
      <c r="G268" s="1227"/>
    </row>
    <row r="269" spans="7:7">
      <c r="G269" s="1227"/>
    </row>
    <row r="270" spans="7:7">
      <c r="G270" s="1227"/>
    </row>
    <row r="271" spans="7:7">
      <c r="G271" s="1227"/>
    </row>
    <row r="272" spans="7:7">
      <c r="G272" s="1221"/>
    </row>
    <row r="273" spans="7:12" ht="15.75" hidden="1" thickBot="1">
      <c r="G273" s="1235"/>
    </row>
    <row r="274" spans="7:12" hidden="1">
      <c r="G274" s="1227"/>
      <c r="H274" s="3145" t="s">
        <v>320</v>
      </c>
      <c r="I274" s="3146"/>
      <c r="J274" s="3146"/>
      <c r="K274" s="3146"/>
      <c r="L274" s="3147"/>
    </row>
    <row r="275" spans="7:12" ht="30" hidden="1">
      <c r="G275" s="1232"/>
      <c r="H275" s="832"/>
      <c r="I275" s="879" t="s">
        <v>311</v>
      </c>
      <c r="J275" s="830" t="s">
        <v>209</v>
      </c>
      <c r="K275" s="858" t="s">
        <v>190</v>
      </c>
      <c r="L275" s="1210" t="s">
        <v>210</v>
      </c>
    </row>
    <row r="276" spans="7:12" hidden="1">
      <c r="G276" s="1232"/>
      <c r="H276" s="15" t="s">
        <v>312</v>
      </c>
      <c r="I276" s="16"/>
      <c r="J276" s="871">
        <f t="shared" ref="J276:J277" si="52">W6</f>
        <v>55383.32303680529</v>
      </c>
      <c r="K276" s="876">
        <f>V44</f>
        <v>0.81</v>
      </c>
      <c r="L276" s="1203">
        <f>J276*K276</f>
        <v>44860.491659812287</v>
      </c>
    </row>
    <row r="277" spans="7:12" hidden="1">
      <c r="G277" s="1232"/>
      <c r="H277" s="18" t="s">
        <v>192</v>
      </c>
      <c r="I277" s="749"/>
      <c r="J277" s="871">
        <f t="shared" si="52"/>
        <v>43803</v>
      </c>
      <c r="K277" s="870">
        <f>U44</f>
        <v>9</v>
      </c>
      <c r="L277" s="1205">
        <f>J277*K277</f>
        <v>394227</v>
      </c>
    </row>
    <row r="278" spans="7:12" hidden="1">
      <c r="G278" s="1232"/>
      <c r="H278" s="868" t="s">
        <v>194</v>
      </c>
      <c r="I278" s="867"/>
      <c r="J278" s="866"/>
      <c r="K278" s="865">
        <v>9.81</v>
      </c>
      <c r="L278" s="1207">
        <f>SUM(L276:L277)</f>
        <v>439087.49165981228</v>
      </c>
    </row>
    <row r="279" spans="7:12" hidden="1">
      <c r="H279" s="863"/>
      <c r="I279" s="862"/>
      <c r="J279" s="861"/>
      <c r="K279" s="860"/>
      <c r="L279" s="1209"/>
    </row>
    <row r="280" spans="7:12" hidden="1">
      <c r="H280" s="832" t="s">
        <v>195</v>
      </c>
      <c r="I280" s="859"/>
      <c r="J280" s="830"/>
      <c r="K280" s="858"/>
      <c r="L280" s="1210"/>
    </row>
    <row r="281" spans="7:12" hidden="1">
      <c r="G281" s="1236"/>
      <c r="H281" s="822" t="s">
        <v>196</v>
      </c>
      <c r="I281" s="855">
        <f>W17</f>
        <v>0.22</v>
      </c>
      <c r="J281" s="1211"/>
      <c r="K281" s="853"/>
      <c r="L281" s="1213">
        <f>I281*L278</f>
        <v>96599.2481651587</v>
      </c>
    </row>
    <row r="282" spans="7:12" hidden="1">
      <c r="G282" s="1237"/>
      <c r="H282" s="787" t="s">
        <v>198</v>
      </c>
      <c r="I282" s="848">
        <v>0.75490568426383098</v>
      </c>
      <c r="J282" s="847"/>
      <c r="K282" s="846"/>
      <c r="L282" s="1214">
        <f>L281+L278</f>
        <v>535686.73982497095</v>
      </c>
    </row>
    <row r="283" spans="7:12" hidden="1">
      <c r="G283" s="1238"/>
      <c r="H283" s="29"/>
      <c r="I283" s="30"/>
      <c r="J283" s="16"/>
      <c r="K283" s="841"/>
      <c r="L283" s="1203"/>
    </row>
    <row r="284" spans="7:12" hidden="1">
      <c r="G284" s="1227"/>
      <c r="H284" s="835" t="s">
        <v>313</v>
      </c>
      <c r="I284" s="821">
        <v>7.4271004768536111E-2</v>
      </c>
      <c r="J284" s="16"/>
      <c r="K284" s="838"/>
      <c r="L284" s="1203">
        <v>51247</v>
      </c>
    </row>
    <row r="285" spans="7:12" hidden="1">
      <c r="G285" s="1227"/>
      <c r="H285" s="822" t="s">
        <v>314</v>
      </c>
      <c r="I285" s="821">
        <v>6.6843904291682493E-2</v>
      </c>
      <c r="J285" s="16"/>
      <c r="K285" s="838"/>
      <c r="L285" s="1203">
        <v>46123</v>
      </c>
    </row>
    <row r="286" spans="7:12" hidden="1">
      <c r="G286" s="1232"/>
      <c r="H286" s="822" t="s">
        <v>239</v>
      </c>
      <c r="I286" s="821">
        <v>2.228130143056083E-2</v>
      </c>
      <c r="J286" s="16"/>
      <c r="K286" s="838"/>
      <c r="L286" s="1203">
        <v>15374</v>
      </c>
    </row>
    <row r="287" spans="7:12" hidden="1">
      <c r="G287" s="1232"/>
      <c r="H287" s="835" t="s">
        <v>315</v>
      </c>
      <c r="I287" s="386">
        <v>8.1698105245389729E-2</v>
      </c>
      <c r="J287" s="834"/>
      <c r="K287" s="833"/>
      <c r="L287" s="1203">
        <v>56372</v>
      </c>
    </row>
    <row r="288" spans="7:12" hidden="1">
      <c r="G288" s="1239"/>
      <c r="H288" s="827" t="s">
        <v>317</v>
      </c>
      <c r="I288" s="826">
        <v>0.24509431573616919</v>
      </c>
      <c r="J288" s="825"/>
      <c r="K288" s="824"/>
      <c r="L288" s="1219">
        <f>SUM(L284:L287)</f>
        <v>169116</v>
      </c>
    </row>
    <row r="289" spans="7:12" ht="15.75" hidden="1" thickBot="1">
      <c r="G289" s="1235"/>
      <c r="H289" s="816" t="s">
        <v>203</v>
      </c>
      <c r="I289" s="815"/>
      <c r="J289" s="814"/>
      <c r="K289" s="813"/>
      <c r="L289" s="1220">
        <f>L282+L288</f>
        <v>704802.73982497095</v>
      </c>
    </row>
    <row r="290" spans="7:12" ht="16.5" hidden="1" thickTop="1" thickBot="1">
      <c r="G290" s="1227"/>
      <c r="H290" s="798" t="s">
        <v>318</v>
      </c>
      <c r="I290" s="811"/>
      <c r="J290" s="811"/>
      <c r="K290" s="811"/>
      <c r="L290" s="1240">
        <f>L289/12</f>
        <v>58733.561652080913</v>
      </c>
    </row>
    <row r="291" spans="7:12" ht="15.75" hidden="1" thickBot="1">
      <c r="G291" s="1227"/>
      <c r="H291" s="808"/>
      <c r="I291" s="807"/>
      <c r="J291" s="806"/>
      <c r="K291" s="806"/>
      <c r="L291" s="1241"/>
    </row>
    <row r="292" spans="7:12" ht="15.75" hidden="1" thickBot="1">
      <c r="G292" s="1227"/>
      <c r="H292" s="1242"/>
      <c r="I292" s="803"/>
      <c r="J292" s="802"/>
      <c r="K292" s="802"/>
      <c r="L292" s="1243"/>
    </row>
    <row r="293" spans="7:12" ht="15.75" hidden="1" thickBot="1">
      <c r="G293" s="1227"/>
      <c r="H293" s="1244" t="str">
        <f>X21</f>
        <v>Base 2020 Q1 -Prospective 1/1/2020 - 12/31/2021</v>
      </c>
      <c r="I293" s="1245">
        <f>W21</f>
        <v>1.8120393120392975E-2</v>
      </c>
      <c r="J293" s="1246"/>
      <c r="K293" s="1247"/>
      <c r="L293" s="1248">
        <f>(L290*I293)+L290</f>
        <v>59797.836878577458</v>
      </c>
    </row>
    <row r="294" spans="7:12" hidden="1">
      <c r="G294" s="1221"/>
      <c r="L294" s="1226"/>
    </row>
    <row r="295" spans="7:12" hidden="1">
      <c r="G295" s="1235"/>
    </row>
    <row r="296" spans="7:12">
      <c r="G296" s="1227"/>
    </row>
    <row r="297" spans="7:12">
      <c r="G297" s="1232"/>
    </row>
    <row r="298" spans="7:12">
      <c r="G298" s="1232"/>
    </row>
    <row r="299" spans="7:12">
      <c r="G299" s="1232"/>
    </row>
    <row r="300" spans="7:12">
      <c r="G300" s="1232"/>
    </row>
    <row r="303" spans="7:12">
      <c r="G303" s="1236"/>
    </row>
    <row r="304" spans="7:12">
      <c r="G304" s="1237"/>
    </row>
    <row r="305" spans="7:7">
      <c r="G305" s="1238"/>
    </row>
    <row r="306" spans="7:7">
      <c r="G306" s="1227"/>
    </row>
    <row r="307" spans="7:7">
      <c r="G307" s="1227"/>
    </row>
    <row r="308" spans="7:7">
      <c r="G308" s="1232"/>
    </row>
    <row r="309" spans="7:7">
      <c r="G309" s="1232"/>
    </row>
    <row r="310" spans="7:7">
      <c r="G310" s="1239"/>
    </row>
    <row r="311" spans="7:7">
      <c r="G311" s="1235"/>
    </row>
    <row r="312" spans="7:7">
      <c r="G312" s="1227"/>
    </row>
    <row r="313" spans="7:7">
      <c r="G313" s="1227"/>
    </row>
    <row r="314" spans="7:7">
      <c r="G314" s="1227"/>
    </row>
    <row r="315" spans="7:7">
      <c r="G315" s="1227"/>
    </row>
    <row r="316" spans="7:7">
      <c r="G316" s="1221"/>
    </row>
    <row r="317" spans="7:7">
      <c r="G317" s="1235"/>
    </row>
    <row r="318" spans="7:7">
      <c r="G318" s="1227"/>
    </row>
    <row r="319" spans="7:7">
      <c r="G319" s="1232"/>
    </row>
    <row r="320" spans="7:7">
      <c r="G320" s="1232"/>
    </row>
    <row r="321" spans="7:7">
      <c r="G321" s="1232"/>
    </row>
    <row r="322" spans="7:7">
      <c r="G322" s="1232"/>
    </row>
    <row r="325" spans="7:7">
      <c r="G325" s="1236"/>
    </row>
    <row r="326" spans="7:7">
      <c r="G326" s="1237"/>
    </row>
    <row r="327" spans="7:7">
      <c r="G327" s="1238"/>
    </row>
    <row r="328" spans="7:7">
      <c r="G328" s="1227"/>
    </row>
    <row r="329" spans="7:7">
      <c r="G329" s="1227"/>
    </row>
    <row r="330" spans="7:7">
      <c r="G330" s="1232"/>
    </row>
    <row r="331" spans="7:7">
      <c r="G331" s="1232"/>
    </row>
    <row r="332" spans="7:7">
      <c r="G332" s="1239"/>
    </row>
    <row r="333" spans="7:7">
      <c r="G333" s="1235"/>
    </row>
    <row r="334" spans="7:7">
      <c r="G334" s="1227"/>
    </row>
    <row r="335" spans="7:7">
      <c r="G335" s="1227"/>
    </row>
    <row r="336" spans="7:7">
      <c r="G336" s="1227"/>
    </row>
    <row r="337" spans="7:7">
      <c r="G337" s="1227"/>
    </row>
    <row r="338" spans="7:7">
      <c r="G338" s="1221"/>
    </row>
    <row r="339" spans="7:7">
      <c r="G339" s="1235"/>
    </row>
    <row r="340" spans="7:7">
      <c r="G340" s="1227"/>
    </row>
    <row r="341" spans="7:7">
      <c r="G341" s="1232"/>
    </row>
    <row r="342" spans="7:7">
      <c r="G342" s="1232"/>
    </row>
    <row r="343" spans="7:7">
      <c r="G343" s="1232"/>
    </row>
    <row r="344" spans="7:7">
      <c r="G344" s="1232"/>
    </row>
  </sheetData>
  <mergeCells count="48">
    <mergeCell ref="X15:AB15"/>
    <mergeCell ref="R1:W2"/>
    <mergeCell ref="B4:F4"/>
    <mergeCell ref="H4:L4"/>
    <mergeCell ref="N4:R4"/>
    <mergeCell ref="U4:AB4"/>
    <mergeCell ref="X5:AB5"/>
    <mergeCell ref="X10:AB10"/>
    <mergeCell ref="X11:AB11"/>
    <mergeCell ref="X12:AB12"/>
    <mergeCell ref="X13:AB13"/>
    <mergeCell ref="X14:AB14"/>
    <mergeCell ref="Z24:Z26"/>
    <mergeCell ref="U25:U26"/>
    <mergeCell ref="V25:V26"/>
    <mergeCell ref="W25:W26"/>
    <mergeCell ref="X25:X26"/>
    <mergeCell ref="Y25:Y26"/>
    <mergeCell ref="T24:T26"/>
    <mergeCell ref="U24:W24"/>
    <mergeCell ref="X24:Y24"/>
    <mergeCell ref="T27:T30"/>
    <mergeCell ref="T31:T37"/>
    <mergeCell ref="B32:F32"/>
    <mergeCell ref="H32:L32"/>
    <mergeCell ref="N32:R32"/>
    <mergeCell ref="AE57:AF57"/>
    <mergeCell ref="B60:F60"/>
    <mergeCell ref="H60:L60"/>
    <mergeCell ref="N60:R60"/>
    <mergeCell ref="T38:T45"/>
    <mergeCell ref="T46:T50"/>
    <mergeCell ref="B116:F116"/>
    <mergeCell ref="H116:L116"/>
    <mergeCell ref="N116:R116"/>
    <mergeCell ref="B88:F88"/>
    <mergeCell ref="H88:L88"/>
    <mergeCell ref="N88:R88"/>
    <mergeCell ref="B144:F144"/>
    <mergeCell ref="H144:L144"/>
    <mergeCell ref="N144:R144"/>
    <mergeCell ref="H274:L274"/>
    <mergeCell ref="B172:F172"/>
    <mergeCell ref="H172:L172"/>
    <mergeCell ref="N172:R172"/>
    <mergeCell ref="B200:F200"/>
    <mergeCell ref="H200:L200"/>
    <mergeCell ref="N200:R200"/>
  </mergeCells>
  <pageMargins left="0.2" right="0" top="0" bottom="0.25" header="0.3" footer="0.3"/>
  <pageSetup scale="45" fitToWidth="3" fitToHeight="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D19" zoomScaleNormal="100" workbookViewId="0">
      <selection activeCell="P34" sqref="P34"/>
    </sheetView>
  </sheetViews>
  <sheetFormatPr defaultColWidth="9.140625" defaultRowHeight="15"/>
  <cols>
    <col min="1" max="1" width="9.140625" style="1045"/>
    <col min="2" max="2" width="27.5703125" style="1045" customWidth="1"/>
    <col min="3" max="3" width="11.42578125" style="1045" customWidth="1"/>
    <col min="4" max="4" width="11" style="1045" customWidth="1"/>
    <col min="5" max="5" width="12.7109375" style="1045" customWidth="1"/>
    <col min="6" max="6" width="11.5703125" style="1045" customWidth="1"/>
    <col min="7" max="7" width="17.85546875" style="1045" customWidth="1"/>
    <col min="8" max="8" width="3.5703125" style="1045" customWidth="1"/>
    <col min="9" max="9" width="29.85546875" style="1045" customWidth="1"/>
    <col min="10" max="10" width="10.85546875" style="1045" customWidth="1"/>
    <col min="11" max="11" width="4.7109375" style="1045" bestFit="1" customWidth="1"/>
    <col min="12" max="12" width="12.140625" style="1045" customWidth="1"/>
    <col min="13" max="13" width="7.85546875" style="1045" bestFit="1" customWidth="1"/>
    <col min="14" max="14" width="12" style="1045" customWidth="1"/>
    <col min="15" max="15" width="29.7109375" style="1045" bestFit="1" customWidth="1"/>
    <col min="16" max="16" width="10.5703125" style="1045" customWidth="1"/>
    <col min="17" max="17" width="4.7109375" style="1045" bestFit="1" customWidth="1"/>
    <col min="18" max="18" width="10" style="1046" bestFit="1" customWidth="1"/>
    <col min="19" max="19" width="10.140625" style="1045" customWidth="1"/>
    <col min="20" max="20" width="11.7109375" style="1045" customWidth="1"/>
    <col min="21" max="16384" width="9.140625" style="1045"/>
  </cols>
  <sheetData>
    <row r="1" spans="1:20">
      <c r="A1" s="2090"/>
      <c r="B1" s="2090"/>
      <c r="C1" s="2090"/>
      <c r="D1" s="2090"/>
      <c r="E1" s="3248" t="s">
        <v>729</v>
      </c>
      <c r="F1" s="3248"/>
      <c r="G1" s="3248"/>
      <c r="H1" s="2090"/>
      <c r="I1" s="2090"/>
      <c r="J1" s="2090"/>
      <c r="K1" s="2091"/>
      <c r="L1" s="2091"/>
      <c r="M1" s="2092"/>
      <c r="N1" s="2093"/>
      <c r="O1" s="2090"/>
      <c r="P1" s="2090"/>
      <c r="Q1" s="2090"/>
      <c r="R1" s="2090"/>
      <c r="S1" s="2094"/>
      <c r="T1" s="2090"/>
    </row>
    <row r="2" spans="1:20" ht="15.75" thickBot="1">
      <c r="A2" s="2090"/>
      <c r="B2" s="1048">
        <v>43633</v>
      </c>
      <c r="C2" s="2090"/>
      <c r="D2" s="2090"/>
      <c r="E2" s="3249"/>
      <c r="F2" s="3249"/>
      <c r="G2" s="3249"/>
      <c r="H2" s="2090"/>
      <c r="I2" s="2091"/>
      <c r="J2" s="2091"/>
      <c r="K2" s="2092"/>
      <c r="L2" s="2093"/>
      <c r="M2" s="2093"/>
      <c r="N2" s="2090"/>
      <c r="O2" s="2090"/>
      <c r="P2" s="2090"/>
      <c r="Q2" s="2094"/>
      <c r="R2" s="2090"/>
      <c r="S2" s="2090"/>
      <c r="T2" s="2090"/>
    </row>
    <row r="3" spans="1:20" ht="15.75" thickBot="1">
      <c r="A3" s="2090"/>
      <c r="B3" s="3200" t="s">
        <v>562</v>
      </c>
      <c r="C3" s="3201"/>
      <c r="D3" s="3201"/>
      <c r="E3" s="3201"/>
      <c r="F3" s="3201"/>
      <c r="G3" s="3202"/>
      <c r="H3" s="2090"/>
      <c r="I3" s="3243" t="s">
        <v>837</v>
      </c>
      <c r="J3" s="3244"/>
      <c r="K3" s="3244"/>
      <c r="L3" s="3245"/>
      <c r="M3" s="2090"/>
      <c r="N3" s="2090"/>
      <c r="O3" s="3243" t="s">
        <v>838</v>
      </c>
      <c r="P3" s="3244"/>
      <c r="Q3" s="3244"/>
      <c r="R3" s="3245"/>
      <c r="S3" s="2095"/>
      <c r="T3" s="2090"/>
    </row>
    <row r="4" spans="1:20">
      <c r="A4" s="2090"/>
      <c r="B4" s="3203" t="s">
        <v>541</v>
      </c>
      <c r="C4" s="3204"/>
      <c r="D4" s="3205" t="s">
        <v>542</v>
      </c>
      <c r="E4" s="3206"/>
      <c r="F4" s="3206"/>
      <c r="G4" s="3207"/>
      <c r="H4" s="2090"/>
      <c r="I4" s="2096" t="s">
        <v>553</v>
      </c>
      <c r="J4" s="3246" t="s">
        <v>550</v>
      </c>
      <c r="K4" s="3246"/>
      <c r="L4" s="2097">
        <v>2720</v>
      </c>
      <c r="M4" s="2090"/>
      <c r="N4" s="2090"/>
      <c r="O4" s="2096" t="s">
        <v>262</v>
      </c>
      <c r="P4" s="3246" t="s">
        <v>550</v>
      </c>
      <c r="Q4" s="3246"/>
      <c r="R4" s="2097">
        <v>5</v>
      </c>
      <c r="S4" s="2090"/>
      <c r="T4" s="2090"/>
    </row>
    <row r="5" spans="1:20">
      <c r="A5" s="2090"/>
      <c r="B5" s="2098" t="s">
        <v>191</v>
      </c>
      <c r="C5" s="2099">
        <f>'Master Look Up'!L26</f>
        <v>55383.32303680529</v>
      </c>
      <c r="D5" s="2100" t="str">
        <f>'Master Look Up'!M26</f>
        <v>Average salary of Mgmt across all models (inclusive of CAFs)</v>
      </c>
      <c r="E5" s="2101"/>
      <c r="F5" s="2101"/>
      <c r="G5" s="2102"/>
      <c r="H5" s="2090"/>
      <c r="I5" s="2103" t="s">
        <v>264</v>
      </c>
      <c r="J5" s="2104" t="s">
        <v>209</v>
      </c>
      <c r="K5" s="2104" t="s">
        <v>190</v>
      </c>
      <c r="L5" s="2105" t="s">
        <v>210</v>
      </c>
      <c r="M5" s="2090"/>
      <c r="N5" s="2090"/>
      <c r="O5" s="2103" t="s">
        <v>264</v>
      </c>
      <c r="P5" s="2104" t="s">
        <v>209</v>
      </c>
      <c r="Q5" s="2104" t="s">
        <v>190</v>
      </c>
      <c r="R5" s="2105" t="s">
        <v>210</v>
      </c>
      <c r="S5" s="2090"/>
      <c r="T5" s="2090"/>
    </row>
    <row r="6" spans="1:20">
      <c r="A6" s="2090"/>
      <c r="B6" s="2098" t="s">
        <v>1140</v>
      </c>
      <c r="C6" s="2099">
        <v>43805</v>
      </c>
      <c r="D6" s="2100" t="s">
        <v>1141</v>
      </c>
      <c r="E6" s="2101"/>
      <c r="F6" s="2101"/>
      <c r="G6" s="2102"/>
      <c r="H6" s="2090"/>
      <c r="I6" s="2110" t="s">
        <v>191</v>
      </c>
      <c r="J6" s="2111">
        <f>C5</f>
        <v>55383.32303680529</v>
      </c>
      <c r="K6" s="2112">
        <f>C9</f>
        <v>0.08</v>
      </c>
      <c r="L6" s="2113">
        <f>J6*K6</f>
        <v>4430.6658429444233</v>
      </c>
      <c r="M6" s="2090"/>
      <c r="N6" s="2090"/>
      <c r="O6" s="2110" t="str">
        <f t="shared" ref="O6:P8" si="0">B5</f>
        <v>Program Director</v>
      </c>
      <c r="P6" s="2111">
        <f t="shared" si="0"/>
        <v>55383.32303680529</v>
      </c>
      <c r="Q6" s="2112">
        <f>C9</f>
        <v>0.08</v>
      </c>
      <c r="R6" s="2113">
        <f>Q6*P6</f>
        <v>4430.6658429444233</v>
      </c>
      <c r="S6" s="2090"/>
      <c r="T6" s="2090"/>
    </row>
    <row r="7" spans="1:20">
      <c r="A7" s="2090"/>
      <c r="B7" s="2098" t="s">
        <v>859</v>
      </c>
      <c r="C7" s="2099">
        <v>31200</v>
      </c>
      <c r="D7" s="2100" t="s">
        <v>862</v>
      </c>
      <c r="G7" s="2529"/>
      <c r="H7" s="2090"/>
      <c r="I7" s="2110" t="str">
        <f>B6</f>
        <v>Family Navigator</v>
      </c>
      <c r="J7" s="2111">
        <f>C6</f>
        <v>43805</v>
      </c>
      <c r="K7" s="2112">
        <f>C10</f>
        <v>2</v>
      </c>
      <c r="L7" s="2113">
        <f>J7*K7</f>
        <v>87610</v>
      </c>
      <c r="M7" s="2090"/>
      <c r="N7" s="2090"/>
      <c r="O7" s="2110" t="str">
        <f t="shared" si="0"/>
        <v>Family Navigator</v>
      </c>
      <c r="P7" s="2111">
        <f t="shared" si="0"/>
        <v>43805</v>
      </c>
      <c r="Q7" s="2112">
        <f>C10</f>
        <v>2</v>
      </c>
      <c r="R7" s="2113">
        <f>Q7*P7</f>
        <v>87610</v>
      </c>
      <c r="S7" s="2090"/>
      <c r="T7" s="2090"/>
    </row>
    <row r="8" spans="1:20">
      <c r="A8" s="2090"/>
      <c r="B8" s="3191" t="s">
        <v>543</v>
      </c>
      <c r="C8" s="3192"/>
      <c r="D8" s="2114"/>
      <c r="E8" s="2115"/>
      <c r="F8" s="2115"/>
      <c r="G8" s="2116"/>
      <c r="H8" s="2090"/>
      <c r="I8" s="2110" t="str">
        <f>B7</f>
        <v>Clerical</v>
      </c>
      <c r="J8" s="2111">
        <f>C7</f>
        <v>31200</v>
      </c>
      <c r="K8" s="2112">
        <v>0.1</v>
      </c>
      <c r="L8" s="2113">
        <f>J8*K8</f>
        <v>3120</v>
      </c>
      <c r="M8" s="2090"/>
      <c r="N8" s="2090"/>
      <c r="O8" s="2110" t="str">
        <f t="shared" si="0"/>
        <v>Clerical</v>
      </c>
      <c r="P8" s="2111">
        <f t="shared" si="0"/>
        <v>31200</v>
      </c>
      <c r="Q8" s="2112">
        <v>0.1</v>
      </c>
      <c r="R8" s="2113">
        <f>P8*Q8</f>
        <v>3120</v>
      </c>
      <c r="S8" s="2090"/>
      <c r="T8" s="2090"/>
    </row>
    <row r="9" spans="1:20">
      <c r="A9" s="2090"/>
      <c r="B9" s="2117" t="s">
        <v>191</v>
      </c>
      <c r="C9" s="2118">
        <v>0.08</v>
      </c>
      <c r="D9" s="2119" t="s">
        <v>238</v>
      </c>
      <c r="E9" s="2120"/>
      <c r="F9" s="2120"/>
      <c r="G9" s="2121"/>
      <c r="H9" s="2090"/>
      <c r="I9" s="2124" t="s">
        <v>265</v>
      </c>
      <c r="J9" s="2125"/>
      <c r="K9" s="2126">
        <v>2.08</v>
      </c>
      <c r="L9" s="2127">
        <f>SUM(L6:L8)</f>
        <v>95160.665842944421</v>
      </c>
      <c r="M9" s="2090"/>
      <c r="N9" s="2090"/>
      <c r="O9" s="2124" t="s">
        <v>265</v>
      </c>
      <c r="P9" s="2125"/>
      <c r="Q9" s="2126">
        <f>SUM(Q6:Q8)</f>
        <v>2.1800000000000002</v>
      </c>
      <c r="R9" s="2127">
        <f>SUM(R6:R8)</f>
        <v>95160.665842944421</v>
      </c>
      <c r="S9" s="2090"/>
      <c r="T9" s="2090"/>
    </row>
    <row r="10" spans="1:20">
      <c r="A10" s="2090"/>
      <c r="B10" s="2106" t="s">
        <v>192</v>
      </c>
      <c r="C10" s="2122">
        <v>2</v>
      </c>
      <c r="D10" s="2123" t="s">
        <v>238</v>
      </c>
      <c r="E10" s="2108"/>
      <c r="F10" s="2108"/>
      <c r="G10" s="2109"/>
      <c r="H10" s="2090"/>
      <c r="I10" s="2128"/>
      <c r="J10" s="2091"/>
      <c r="K10" s="2095"/>
      <c r="L10" s="2129"/>
      <c r="M10" s="2090"/>
      <c r="N10" s="2090"/>
      <c r="O10" s="2128"/>
      <c r="P10" s="2091"/>
      <c r="Q10" s="2095"/>
      <c r="R10" s="2129"/>
      <c r="S10" s="2094"/>
      <c r="T10" s="2090"/>
    </row>
    <row r="11" spans="1:20">
      <c r="A11" s="2090"/>
      <c r="B11" s="3193" t="s">
        <v>544</v>
      </c>
      <c r="C11" s="3194"/>
      <c r="D11" s="2119"/>
      <c r="E11" s="2120"/>
      <c r="F11" s="2120"/>
      <c r="G11" s="2121"/>
      <c r="H11" s="2090"/>
      <c r="I11" s="2132" t="s">
        <v>220</v>
      </c>
      <c r="J11" s="2133">
        <f>C19</f>
        <v>0.22</v>
      </c>
      <c r="K11" s="2091"/>
      <c r="L11" s="2113">
        <f>J11*L9</f>
        <v>20935.346485447772</v>
      </c>
      <c r="M11" s="2090"/>
      <c r="N11" s="2090"/>
      <c r="O11" s="2132" t="s">
        <v>220</v>
      </c>
      <c r="P11" s="2133">
        <f>C19</f>
        <v>0.22</v>
      </c>
      <c r="Q11" s="2091"/>
      <c r="R11" s="2113">
        <f>P11*R9</f>
        <v>20935.346485447772</v>
      </c>
      <c r="S11" s="2094"/>
      <c r="T11" s="2090"/>
    </row>
    <row r="12" spans="1:20" ht="15.75" thickBot="1">
      <c r="A12" s="2090"/>
      <c r="B12" s="2098" t="s">
        <v>674</v>
      </c>
      <c r="C12" s="2131">
        <f>'Master Look Up'!F7</f>
        <v>1410.7821990248415</v>
      </c>
      <c r="D12" s="2100" t="s">
        <v>744</v>
      </c>
      <c r="E12" s="2101"/>
      <c r="F12" s="2101"/>
      <c r="G12" s="2102"/>
      <c r="H12" s="2090"/>
      <c r="I12" s="2134" t="s">
        <v>198</v>
      </c>
      <c r="J12" s="2135"/>
      <c r="K12" s="2136"/>
      <c r="L12" s="2137">
        <f>SUM(L9:L11)</f>
        <v>116096.01232839219</v>
      </c>
      <c r="M12" s="2090"/>
      <c r="N12" s="2090"/>
      <c r="O12" s="2134" t="s">
        <v>198</v>
      </c>
      <c r="P12" s="2135"/>
      <c r="Q12" s="2136"/>
      <c r="R12" s="2137">
        <f>SUM(R9:R11)</f>
        <v>116096.01232839219</v>
      </c>
      <c r="S12" s="2094"/>
      <c r="T12" s="2090"/>
    </row>
    <row r="13" spans="1:20" ht="15.75" thickTop="1">
      <c r="A13" s="2090"/>
      <c r="B13" s="2098" t="s">
        <v>675</v>
      </c>
      <c r="C13" s="2131">
        <f>'Master Look Up'!F8</f>
        <v>654.42852569297247</v>
      </c>
      <c r="D13" s="2100" t="s">
        <v>744</v>
      </c>
      <c r="E13" s="2101"/>
      <c r="F13" s="2101"/>
      <c r="G13" s="2102"/>
      <c r="H13" s="2090"/>
      <c r="I13" s="2128"/>
      <c r="J13" s="2095"/>
      <c r="K13" s="2138"/>
      <c r="L13" s="2139"/>
      <c r="M13" s="2090"/>
      <c r="N13" s="2090"/>
      <c r="O13" s="2128"/>
      <c r="P13" s="2095"/>
      <c r="Q13" s="2138"/>
      <c r="R13" s="2139"/>
      <c r="S13" s="2094"/>
      <c r="T13" s="2090"/>
    </row>
    <row r="14" spans="1:20">
      <c r="A14" s="2090"/>
      <c r="B14" s="2098" t="s">
        <v>676</v>
      </c>
      <c r="C14" s="2131">
        <f>'Master Look Up'!F9</f>
        <v>596.88798545698035</v>
      </c>
      <c r="D14" s="2100" t="s">
        <v>744</v>
      </c>
      <c r="E14" s="2101"/>
      <c r="F14" s="2101"/>
      <c r="G14" s="2102"/>
      <c r="H14" s="2090"/>
      <c r="I14" s="2132" t="s">
        <v>674</v>
      </c>
      <c r="J14" s="2140">
        <f>C12</f>
        <v>1410.7821990248415</v>
      </c>
      <c r="K14" s="2138"/>
      <c r="L14" s="2139">
        <f t="shared" ref="L14:L15" si="1">J14*$K$9</f>
        <v>2934.4269739716706</v>
      </c>
      <c r="M14" s="2090"/>
      <c r="N14" s="2090"/>
      <c r="O14" s="2132" t="s">
        <v>674</v>
      </c>
      <c r="P14" s="2140">
        <f>C12</f>
        <v>1410.7821990248415</v>
      </c>
      <c r="Q14" s="2138"/>
      <c r="R14" s="2139">
        <f t="shared" ref="R14:R15" si="2">P14*$Q$9</f>
        <v>3075.5051938741544</v>
      </c>
      <c r="S14" s="2090"/>
      <c r="T14" s="2090"/>
    </row>
    <row r="15" spans="1:20">
      <c r="A15" s="2090"/>
      <c r="B15" s="2098" t="s">
        <v>863</v>
      </c>
      <c r="C15" s="2131">
        <f>'Master Look Up'!F17+'Master Look Up'!F6</f>
        <v>977.87239638776498</v>
      </c>
      <c r="D15" s="2100" t="s">
        <v>744</v>
      </c>
      <c r="E15" s="2101"/>
      <c r="F15" s="2101"/>
      <c r="G15" s="2102"/>
      <c r="H15" s="2090"/>
      <c r="I15" s="2132" t="s">
        <v>686</v>
      </c>
      <c r="J15" s="2140">
        <f>C16+C15</f>
        <v>2550.1687201560658</v>
      </c>
      <c r="K15" s="2138"/>
      <c r="L15" s="2139">
        <f t="shared" si="1"/>
        <v>5304.350937924617</v>
      </c>
      <c r="M15" s="2090"/>
      <c r="N15" s="2090"/>
      <c r="O15" s="2132" t="s">
        <v>686</v>
      </c>
      <c r="P15" s="2140">
        <f>C16+C15</f>
        <v>2550.1687201560658</v>
      </c>
      <c r="Q15" s="2138"/>
      <c r="R15" s="2139">
        <f t="shared" si="2"/>
        <v>5559.3678099402241</v>
      </c>
      <c r="S15" s="2090"/>
      <c r="T15" s="2090"/>
    </row>
    <row r="16" spans="1:20">
      <c r="A16" s="2090"/>
      <c r="B16" s="2098" t="s">
        <v>686</v>
      </c>
      <c r="C16" s="2131">
        <f>'Master Look Up'!F18</f>
        <v>1572.2963237683009</v>
      </c>
      <c r="D16" s="2100" t="s">
        <v>744</v>
      </c>
      <c r="E16" s="2101"/>
      <c r="F16" s="2101"/>
      <c r="G16" s="2102"/>
      <c r="H16" s="2090"/>
      <c r="I16" s="2128"/>
      <c r="J16" s="2095"/>
      <c r="K16" s="2138"/>
      <c r="L16" s="2139"/>
      <c r="M16" s="2090"/>
      <c r="N16" s="2090"/>
      <c r="O16" s="2128"/>
      <c r="P16" s="2095"/>
      <c r="Q16" s="2138"/>
      <c r="R16" s="2139"/>
      <c r="S16" s="2090"/>
      <c r="T16" s="2090"/>
    </row>
    <row r="17" spans="1:20">
      <c r="A17" s="2090"/>
      <c r="B17" s="2098"/>
      <c r="C17" s="2141"/>
      <c r="D17" s="2100"/>
      <c r="E17" s="2101"/>
      <c r="F17" s="2101"/>
      <c r="G17" s="2102"/>
      <c r="H17" s="2090"/>
      <c r="I17" s="2146"/>
      <c r="J17" s="2111"/>
      <c r="K17" s="2138"/>
      <c r="L17" s="2113"/>
      <c r="M17" s="2090"/>
      <c r="N17" s="2090"/>
      <c r="O17" s="2146"/>
      <c r="P17" s="2111"/>
      <c r="Q17" s="2138"/>
      <c r="R17" s="2113"/>
      <c r="S17" s="2090"/>
      <c r="T17" s="2090"/>
    </row>
    <row r="18" spans="1:20" ht="15" customHeight="1">
      <c r="A18" s="2090"/>
      <c r="B18" s="2098"/>
      <c r="C18" s="2141"/>
      <c r="D18" s="2100"/>
      <c r="E18" s="2101"/>
      <c r="F18" s="2101"/>
      <c r="G18" s="2102"/>
      <c r="H18" s="2090"/>
      <c r="I18" s="2124" t="s">
        <v>269</v>
      </c>
      <c r="J18" s="2125"/>
      <c r="K18" s="2125"/>
      <c r="L18" s="2127">
        <f>SUM(L12:L17)</f>
        <v>124334.79024028848</v>
      </c>
      <c r="M18" s="2090"/>
      <c r="N18" s="2090"/>
      <c r="O18" s="2124" t="s">
        <v>269</v>
      </c>
      <c r="P18" s="2125"/>
      <c r="Q18" s="2125"/>
      <c r="R18" s="2127">
        <f>SUM(R12:R17)</f>
        <v>124730.88533220656</v>
      </c>
      <c r="S18" s="2090"/>
      <c r="T18" s="2090"/>
    </row>
    <row r="19" spans="1:20">
      <c r="A19" s="2090"/>
      <c r="B19" s="2098" t="s">
        <v>545</v>
      </c>
      <c r="C19" s="2142">
        <v>0.22</v>
      </c>
      <c r="D19" s="2100" t="s">
        <v>546</v>
      </c>
      <c r="E19" s="2101"/>
      <c r="F19" s="2101"/>
      <c r="G19" s="2102"/>
      <c r="H19" s="2090"/>
      <c r="I19" s="2132" t="s">
        <v>247</v>
      </c>
      <c r="J19" s="2133">
        <f>C20</f>
        <v>0.11</v>
      </c>
      <c r="K19" s="2091"/>
      <c r="L19" s="2113">
        <f>J19*L18</f>
        <v>13676.826926431733</v>
      </c>
      <c r="M19" s="2090"/>
      <c r="N19" s="2090"/>
      <c r="O19" s="2132" t="s">
        <v>247</v>
      </c>
      <c r="P19" s="2133">
        <f>C20</f>
        <v>0.11</v>
      </c>
      <c r="Q19" s="2091"/>
      <c r="R19" s="2113">
        <f>P19*R18</f>
        <v>13720.397386542722</v>
      </c>
      <c r="S19" s="2147"/>
      <c r="T19" s="2090"/>
    </row>
    <row r="20" spans="1:20">
      <c r="A20" s="2090"/>
      <c r="B20" s="2098" t="s">
        <v>547</v>
      </c>
      <c r="C20" s="2142">
        <v>0.11</v>
      </c>
      <c r="D20" s="2100" t="s">
        <v>546</v>
      </c>
      <c r="E20" s="2101"/>
      <c r="F20" s="2101"/>
      <c r="G20" s="2102"/>
      <c r="H20" s="2090"/>
      <c r="I20" s="2154" t="str">
        <f>B21</f>
        <v>PFMLA</v>
      </c>
      <c r="J20" s="2155">
        <f>C21</f>
        <v>6.3E-3</v>
      </c>
      <c r="K20" s="2091"/>
      <c r="L20" s="2113">
        <f>L9*J20</f>
        <v>599.51219481054989</v>
      </c>
      <c r="M20" s="2090"/>
      <c r="N20" s="2090"/>
      <c r="O20" s="2154" t="str">
        <f>B21</f>
        <v>PFMLA</v>
      </c>
      <c r="P20" s="2155">
        <f>C21</f>
        <v>6.3E-3</v>
      </c>
      <c r="Q20" s="2091"/>
      <c r="R20" s="2113">
        <f>R9*P20</f>
        <v>599.51219481054989</v>
      </c>
      <c r="S20" s="2090"/>
      <c r="T20" s="2090"/>
    </row>
    <row r="21" spans="1:20" ht="15.75" thickBot="1">
      <c r="A21" s="2090"/>
      <c r="B21" s="2143" t="s">
        <v>653</v>
      </c>
      <c r="C21" s="2144">
        <v>6.3E-3</v>
      </c>
      <c r="D21" s="2599" t="s">
        <v>860</v>
      </c>
      <c r="E21" s="2145"/>
      <c r="F21" s="2101"/>
      <c r="G21" s="2102"/>
      <c r="H21" s="2090"/>
      <c r="I21" s="2134" t="s">
        <v>203</v>
      </c>
      <c r="J21" s="2156"/>
      <c r="K21" s="2156"/>
      <c r="L21" s="2137">
        <f>SUM(L18:L20)</f>
        <v>138611.12936153077</v>
      </c>
      <c r="M21" s="2090"/>
      <c r="N21" s="2090"/>
      <c r="O21" s="2134" t="s">
        <v>203</v>
      </c>
      <c r="P21" s="2156"/>
      <c r="Q21" s="2156"/>
      <c r="R21" s="2137">
        <f>SUM(R18:R20)</f>
        <v>139050.79491355983</v>
      </c>
      <c r="S21" s="2094"/>
      <c r="T21" s="2090"/>
    </row>
    <row r="22" spans="1:20" ht="16.5" thickTop="1" thickBot="1">
      <c r="A22" s="2090"/>
      <c r="B22" s="2609" t="s">
        <v>709</v>
      </c>
      <c r="C22" s="2610">
        <f>'Spring 2019 CAF'!BU25</f>
        <v>1.8120393120392975E-2</v>
      </c>
      <c r="D22" s="2611" t="s">
        <v>652</v>
      </c>
      <c r="E22" s="2612"/>
      <c r="F22" s="2612"/>
      <c r="G22" s="2613"/>
      <c r="H22" s="2090"/>
      <c r="I22" s="2132"/>
      <c r="J22" s="2162"/>
      <c r="K22" s="2091"/>
      <c r="L22" s="2163"/>
      <c r="M22" s="2090"/>
      <c r="N22" s="2090"/>
      <c r="O22" s="2132"/>
      <c r="P22" s="2162"/>
      <c r="Q22" s="2091"/>
      <c r="R22" s="2163"/>
      <c r="S22" s="2094"/>
      <c r="T22" s="2090"/>
    </row>
    <row r="23" spans="1:20">
      <c r="A23" s="2090"/>
      <c r="B23" s="2090"/>
      <c r="C23" s="2587"/>
      <c r="D23" s="2090"/>
      <c r="E23" s="2090"/>
      <c r="F23" s="2090"/>
      <c r="G23" s="2090"/>
      <c r="H23" s="2090"/>
      <c r="I23" s="2132" t="s">
        <v>205</v>
      </c>
      <c r="J23" s="2162">
        <f>C22</f>
        <v>1.8120393120392975E-2</v>
      </c>
      <c r="K23" s="2091"/>
      <c r="L23" s="2163">
        <f>L21*(1+J23)</f>
        <v>141122.81751642335</v>
      </c>
      <c r="M23" s="2090"/>
      <c r="N23" s="2164"/>
      <c r="O23" s="2132" t="s">
        <v>1182</v>
      </c>
      <c r="P23" s="2162">
        <f>C22</f>
        <v>1.8120393120392975E-2</v>
      </c>
      <c r="Q23" s="2091"/>
      <c r="R23" s="2163">
        <f>R21*(1+P23)</f>
        <v>141570.4499810967</v>
      </c>
      <c r="S23" s="2094"/>
      <c r="T23" s="2090"/>
    </row>
    <row r="24" spans="1:20" ht="18.75" customHeight="1" thickBot="1">
      <c r="A24" s="2090"/>
      <c r="B24" s="2090"/>
      <c r="C24" s="2153"/>
      <c r="D24" s="2090"/>
      <c r="E24" s="2090"/>
      <c r="F24" s="2090"/>
      <c r="G24" s="2090"/>
      <c r="H24" s="2090"/>
      <c r="I24" s="2177" t="s">
        <v>561</v>
      </c>
      <c r="J24" s="2178"/>
      <c r="K24" s="2179"/>
      <c r="L24" s="2180">
        <f>L23/L4</f>
        <v>51.883388792802705</v>
      </c>
      <c r="M24" s="2090"/>
      <c r="N24" s="2090"/>
      <c r="O24" s="2177" t="s">
        <v>1183</v>
      </c>
      <c r="P24" s="2178"/>
      <c r="Q24" s="2179"/>
      <c r="R24" s="2180">
        <f>L24</f>
        <v>51.883388792802705</v>
      </c>
      <c r="S24" s="2094"/>
      <c r="T24" s="2090"/>
    </row>
    <row r="25" spans="1:20" ht="15.75" thickBot="1">
      <c r="A25" s="2090"/>
      <c r="B25" s="2090"/>
      <c r="C25" s="2153"/>
      <c r="D25" s="2090"/>
      <c r="E25" s="2090"/>
      <c r="F25" s="2090"/>
      <c r="G25" s="2090"/>
      <c r="H25" s="2090"/>
      <c r="I25" s="2177" t="s">
        <v>554</v>
      </c>
      <c r="J25" s="3110"/>
      <c r="K25" s="3111"/>
      <c r="L25" s="2186">
        <f>L24*0.25</f>
        <v>12.970847198200676</v>
      </c>
      <c r="M25" s="2090"/>
      <c r="N25" s="2090"/>
      <c r="O25" s="2177" t="s">
        <v>620</v>
      </c>
      <c r="P25" s="3110"/>
      <c r="Q25" s="3111"/>
      <c r="R25" s="2186">
        <f>R24*R4+0.01</f>
        <v>259.4269439640135</v>
      </c>
      <c r="S25" s="2094"/>
      <c r="T25" s="2090"/>
    </row>
    <row r="26" spans="1:20">
      <c r="A26" s="2090"/>
      <c r="B26" s="2157" t="s">
        <v>552</v>
      </c>
      <c r="C26" s="2158"/>
      <c r="D26" s="2159" t="s">
        <v>379</v>
      </c>
      <c r="E26" s="2160" t="s">
        <v>232</v>
      </c>
      <c r="F26" s="2160" t="s">
        <v>231</v>
      </c>
      <c r="G26" s="2161" t="s">
        <v>275</v>
      </c>
      <c r="H26" s="2090"/>
      <c r="I26" s="2090"/>
      <c r="J26" s="3247"/>
      <c r="K26" s="3247"/>
      <c r="L26" s="2363"/>
      <c r="M26" s="2090"/>
      <c r="N26" s="2090"/>
      <c r="O26" s="2090"/>
      <c r="P26" s="3247"/>
      <c r="Q26" s="3247"/>
      <c r="R26" s="2363"/>
      <c r="S26" s="2094"/>
      <c r="T26" s="2090"/>
    </row>
    <row r="27" spans="1:20">
      <c r="A27" s="2090"/>
      <c r="B27" s="2165" t="s">
        <v>278</v>
      </c>
      <c r="C27" s="2166"/>
      <c r="D27" s="2167"/>
      <c r="E27" s="2168">
        <v>52</v>
      </c>
      <c r="F27" s="2169">
        <v>40</v>
      </c>
      <c r="G27" s="2170">
        <v>2080</v>
      </c>
      <c r="H27" s="2090"/>
      <c r="J27" s="2090"/>
      <c r="K27" s="2090"/>
      <c r="L27" s="2090"/>
      <c r="M27" s="2090"/>
      <c r="N27" s="2093"/>
      <c r="O27" s="2090"/>
      <c r="P27" s="2090"/>
      <c r="Q27" s="2090"/>
      <c r="R27" s="2147"/>
      <c r="S27" s="2094"/>
      <c r="T27" s="2090"/>
    </row>
    <row r="28" spans="1:20">
      <c r="A28" s="2090"/>
      <c r="B28" s="2171" t="s">
        <v>549</v>
      </c>
      <c r="C28" s="2172"/>
      <c r="D28" s="2173"/>
      <c r="E28" s="2174"/>
      <c r="F28" s="2175"/>
      <c r="G28" s="2176"/>
      <c r="H28" s="2090"/>
      <c r="I28" s="2089"/>
      <c r="J28" s="2090"/>
      <c r="K28" s="2090"/>
      <c r="L28" s="2090"/>
      <c r="M28" s="2090"/>
      <c r="N28" s="2090"/>
      <c r="O28" s="2090"/>
      <c r="P28" s="2090"/>
      <c r="Q28" s="2090"/>
      <c r="R28" s="2147"/>
      <c r="S28" s="2090"/>
      <c r="T28" s="2090"/>
    </row>
    <row r="29" spans="1:20">
      <c r="A29" s="2090"/>
      <c r="B29" s="2181" t="s">
        <v>281</v>
      </c>
      <c r="C29" s="2182"/>
      <c r="D29" s="2183">
        <v>15</v>
      </c>
      <c r="E29" s="2183">
        <v>3</v>
      </c>
      <c r="F29" s="2184">
        <v>40</v>
      </c>
      <c r="G29" s="2185">
        <f>F29*E29</f>
        <v>120</v>
      </c>
      <c r="H29" s="2090"/>
      <c r="I29" s="2089"/>
      <c r="J29" s="2090"/>
      <c r="K29" s="2090"/>
      <c r="L29" s="2090"/>
      <c r="M29" s="2090"/>
      <c r="N29" s="2090"/>
      <c r="O29" s="2090"/>
      <c r="P29" s="2090"/>
      <c r="Q29" s="2090"/>
      <c r="R29" s="2090"/>
      <c r="S29" s="2090"/>
      <c r="T29" s="2090"/>
    </row>
    <row r="30" spans="1:20">
      <c r="A30" s="2090"/>
      <c r="B30" s="2181" t="s">
        <v>283</v>
      </c>
      <c r="C30" s="2182"/>
      <c r="D30" s="2183">
        <v>10</v>
      </c>
      <c r="E30" s="2183">
        <v>2</v>
      </c>
      <c r="F30" s="2184">
        <v>40</v>
      </c>
      <c r="G30" s="2185">
        <f t="shared" ref="G30:G34" si="3">F30*E30</f>
        <v>80</v>
      </c>
      <c r="H30" s="2090"/>
      <c r="I30" s="2089"/>
      <c r="J30" s="2090"/>
      <c r="K30" s="2090"/>
      <c r="L30" s="2090"/>
      <c r="M30" s="2090"/>
      <c r="N30" s="2090"/>
      <c r="O30" s="2090"/>
      <c r="P30" s="2090"/>
      <c r="Q30" s="2090"/>
      <c r="R30" s="2090"/>
      <c r="S30" s="2090"/>
      <c r="T30" s="2090"/>
    </row>
    <row r="31" spans="1:20">
      <c r="A31" s="2090"/>
      <c r="B31" s="2181" t="s">
        <v>284</v>
      </c>
      <c r="C31" s="2182"/>
      <c r="D31" s="2183">
        <v>10</v>
      </c>
      <c r="E31" s="2183">
        <v>2</v>
      </c>
      <c r="F31" s="2184">
        <v>40</v>
      </c>
      <c r="G31" s="2185">
        <f t="shared" si="3"/>
        <v>80</v>
      </c>
      <c r="H31" s="2090"/>
      <c r="I31" s="2090"/>
      <c r="J31" s="2090"/>
      <c r="K31" s="2090"/>
      <c r="L31" s="2090"/>
      <c r="M31" s="2090"/>
      <c r="N31" s="2090"/>
      <c r="O31" s="2090"/>
      <c r="P31" s="2090"/>
      <c r="Q31" s="2090"/>
      <c r="R31" s="2090"/>
      <c r="S31" s="2090"/>
      <c r="T31" s="2090"/>
    </row>
    <row r="32" spans="1:20">
      <c r="A32" s="2090"/>
      <c r="B32" s="2181" t="s">
        <v>285</v>
      </c>
      <c r="C32" s="2182"/>
      <c r="D32" s="2183">
        <v>3</v>
      </c>
      <c r="E32" s="2183">
        <v>1</v>
      </c>
      <c r="F32" s="2184">
        <v>24</v>
      </c>
      <c r="G32" s="2185">
        <f t="shared" si="3"/>
        <v>24</v>
      </c>
      <c r="H32" s="2090"/>
      <c r="I32" s="2090"/>
      <c r="J32" s="2090"/>
      <c r="K32" s="2090"/>
      <c r="L32" s="2090"/>
      <c r="M32" s="2090"/>
      <c r="N32" s="2090"/>
      <c r="O32" s="2090"/>
      <c r="P32" s="2090"/>
      <c r="Q32" s="2090"/>
      <c r="R32" s="2090"/>
      <c r="S32" s="2090"/>
      <c r="T32" s="2090"/>
    </row>
    <row r="33" spans="1:20">
      <c r="A33" s="2090"/>
      <c r="B33" s="2181" t="s">
        <v>244</v>
      </c>
      <c r="C33" s="2182"/>
      <c r="D33" s="2194"/>
      <c r="E33" s="2194">
        <v>52</v>
      </c>
      <c r="F33" s="2195">
        <v>4</v>
      </c>
      <c r="G33" s="2185">
        <f t="shared" si="3"/>
        <v>208</v>
      </c>
      <c r="H33" s="2090"/>
      <c r="I33" s="2090"/>
      <c r="J33" s="2090"/>
      <c r="K33" s="2090"/>
      <c r="L33" s="2090"/>
      <c r="M33" s="2090"/>
      <c r="N33" s="2090"/>
      <c r="O33" s="2090"/>
      <c r="P33" s="2090"/>
      <c r="Q33" s="2090"/>
      <c r="R33" s="2090"/>
      <c r="S33" s="2090"/>
      <c r="T33" s="2090"/>
    </row>
    <row r="34" spans="1:20">
      <c r="A34" s="2090"/>
      <c r="B34" s="2181" t="s">
        <v>866</v>
      </c>
      <c r="C34" s="2182"/>
      <c r="D34" s="2194"/>
      <c r="E34" s="2194">
        <v>52</v>
      </c>
      <c r="F34" s="2195">
        <v>4</v>
      </c>
      <c r="G34" s="2185">
        <f t="shared" si="3"/>
        <v>208</v>
      </c>
      <c r="H34" s="2090"/>
      <c r="I34" s="2090"/>
      <c r="J34" s="2090"/>
      <c r="K34" s="2090"/>
      <c r="L34" s="2090"/>
      <c r="M34" s="2090"/>
      <c r="N34" s="2090"/>
      <c r="O34" s="2090"/>
      <c r="P34" s="2090"/>
      <c r="Q34" s="2090"/>
      <c r="R34" s="2090"/>
      <c r="S34" s="2090"/>
      <c r="T34" s="2090"/>
    </row>
    <row r="35" spans="1:20">
      <c r="A35" s="2090"/>
      <c r="B35" s="2165" t="s">
        <v>551</v>
      </c>
      <c r="C35" s="2189"/>
      <c r="D35" s="2189"/>
      <c r="E35" s="2188"/>
      <c r="F35" s="2190"/>
      <c r="G35" s="2191">
        <f>SUM(G29:G34)</f>
        <v>720</v>
      </c>
      <c r="H35" s="2090"/>
      <c r="M35" s="2090"/>
      <c r="N35" s="2090"/>
      <c r="R35" s="1045"/>
      <c r="S35" s="2090"/>
      <c r="T35" s="2090"/>
    </row>
    <row r="36" spans="1:20">
      <c r="A36" s="2090"/>
      <c r="B36" s="2192" t="s">
        <v>294</v>
      </c>
      <c r="C36" s="2193"/>
      <c r="D36" s="2182"/>
      <c r="E36" s="2194"/>
      <c r="F36" s="2195"/>
      <c r="G36" s="2196">
        <f>G27-G35</f>
        <v>1360</v>
      </c>
      <c r="H36" s="2090"/>
      <c r="R36" s="1045"/>
    </row>
    <row r="37" spans="1:20" ht="15.75" thickBot="1">
      <c r="A37" s="2090"/>
      <c r="B37" s="2197" t="s">
        <v>296</v>
      </c>
      <c r="C37" s="2198"/>
      <c r="D37" s="2198"/>
      <c r="E37" s="2199"/>
      <c r="F37" s="2199"/>
      <c r="G37" s="2200">
        <v>2</v>
      </c>
      <c r="H37" s="2090"/>
      <c r="R37" s="1045"/>
    </row>
    <row r="38" spans="1:20" ht="15.75" thickBot="1">
      <c r="A38" s="2090"/>
      <c r="B38" s="2201" t="s">
        <v>277</v>
      </c>
      <c r="C38" s="2202"/>
      <c r="D38" s="2203"/>
      <c r="E38" s="2204"/>
      <c r="F38" s="2205"/>
      <c r="G38" s="2206">
        <f>G36*G37</f>
        <v>2720</v>
      </c>
      <c r="H38" s="2090"/>
      <c r="R38" s="1045"/>
    </row>
    <row r="39" spans="1:20" ht="15.75" thickTop="1">
      <c r="A39" s="2090"/>
      <c r="B39" s="2090"/>
      <c r="C39" s="2090"/>
      <c r="D39" s="2090"/>
      <c r="E39" s="2090"/>
      <c r="F39" s="2090"/>
      <c r="G39" s="2090"/>
      <c r="R39" s="1045"/>
    </row>
    <row r="40" spans="1:20">
      <c r="A40" s="2090"/>
      <c r="B40" s="2090"/>
      <c r="C40" s="2090"/>
      <c r="D40" s="2090"/>
      <c r="E40" s="2090"/>
      <c r="F40" s="2090"/>
      <c r="G40" s="2090"/>
      <c r="R40" s="1045"/>
    </row>
    <row r="41" spans="1:20">
      <c r="A41" s="2090"/>
      <c r="R41" s="1045"/>
    </row>
    <row r="42" spans="1:20">
      <c r="R42" s="1045"/>
    </row>
    <row r="43" spans="1:20">
      <c r="G43" s="1049"/>
      <c r="R43" s="1045"/>
    </row>
    <row r="44" spans="1:20">
      <c r="G44" s="1050"/>
      <c r="R44" s="1045"/>
    </row>
    <row r="45" spans="1:20">
      <c r="G45" s="1050"/>
      <c r="R45" s="1045"/>
    </row>
    <row r="46" spans="1:20">
      <c r="G46" s="1050"/>
      <c r="R46" s="1045"/>
    </row>
    <row r="47" spans="1:20">
      <c r="G47" s="1050"/>
      <c r="L47" s="1046"/>
      <c r="R47" s="1045"/>
    </row>
    <row r="48" spans="1:20">
      <c r="G48" s="1047"/>
      <c r="L48" s="1046"/>
      <c r="R48" s="1045"/>
    </row>
    <row r="49" spans="7:18">
      <c r="G49" s="1047"/>
      <c r="L49" s="1046"/>
      <c r="R49" s="1045"/>
    </row>
    <row r="50" spans="7:18">
      <c r="G50" s="1050"/>
      <c r="L50" s="1046"/>
      <c r="R50" s="1045"/>
    </row>
    <row r="51" spans="7:18">
      <c r="G51" s="1050"/>
      <c r="L51" s="1046"/>
      <c r="R51" s="1045"/>
    </row>
    <row r="52" spans="7:18">
      <c r="G52" s="1050"/>
      <c r="L52" s="1046"/>
      <c r="R52" s="1045"/>
    </row>
    <row r="53" spans="7:18">
      <c r="G53" s="1050"/>
      <c r="L53" s="1046"/>
      <c r="R53" s="1045"/>
    </row>
    <row r="54" spans="7:18">
      <c r="G54" s="1050"/>
      <c r="R54" s="1045"/>
    </row>
    <row r="55" spans="7:18">
      <c r="G55" s="1050"/>
      <c r="R55" s="1045"/>
    </row>
    <row r="56" spans="7:18">
      <c r="R56" s="1045"/>
    </row>
  </sheetData>
  <mergeCells count="12">
    <mergeCell ref="P26:Q26"/>
    <mergeCell ref="J26:K26"/>
    <mergeCell ref="E1:G2"/>
    <mergeCell ref="O3:R3"/>
    <mergeCell ref="P4:Q4"/>
    <mergeCell ref="B11:C11"/>
    <mergeCell ref="I3:L3"/>
    <mergeCell ref="D4:G4"/>
    <mergeCell ref="J4:K4"/>
    <mergeCell ref="B4:C4"/>
    <mergeCell ref="B8:C8"/>
    <mergeCell ref="B3:G3"/>
  </mergeCells>
  <pageMargins left="0.7" right="0.7" top="0.75" bottom="0.75" header="0.3" footer="0.3"/>
  <pageSetup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5"/>
  <sheetViews>
    <sheetView zoomScale="82" zoomScaleNormal="82" workbookViewId="0">
      <selection activeCell="B67" sqref="B67"/>
    </sheetView>
  </sheetViews>
  <sheetFormatPr defaultRowHeight="12.75"/>
  <cols>
    <col min="1" max="1" width="4.42578125" style="3" customWidth="1"/>
    <col min="2" max="2" width="27" style="158" customWidth="1"/>
    <col min="3" max="3" width="10.42578125" style="3" customWidth="1"/>
    <col min="4" max="4" width="51.28515625" style="53" customWidth="1"/>
    <col min="5" max="5" width="5.28515625" style="54" customWidth="1"/>
    <col min="6" max="6" width="36" style="3" customWidth="1"/>
    <col min="7" max="7" width="10.7109375" style="3" customWidth="1"/>
    <col min="8" max="8" width="8.5703125" style="3" customWidth="1"/>
    <col min="9" max="9" width="10.5703125" style="3" customWidth="1"/>
    <col min="10" max="10" width="5.5703125" style="54" customWidth="1"/>
    <col min="11" max="11" width="33" style="3" customWidth="1"/>
    <col min="12" max="12" width="9.140625" style="55" customWidth="1"/>
    <col min="13" max="13" width="6.5703125" style="55" customWidth="1"/>
    <col min="14" max="14" width="12.28515625" style="3" customWidth="1"/>
    <col min="15" max="16" width="9.140625" style="3"/>
    <col min="17" max="17" width="17.28515625" style="3" customWidth="1"/>
    <col min="18" max="18" width="10.42578125" style="3" bestFit="1" customWidth="1"/>
    <col min="19" max="256" width="9.140625" style="3"/>
    <col min="257" max="257" width="4.42578125" style="3" customWidth="1"/>
    <col min="258" max="258" width="27" style="3" customWidth="1"/>
    <col min="259" max="259" width="10.42578125" style="3" customWidth="1"/>
    <col min="260" max="260" width="38.7109375" style="3" customWidth="1"/>
    <col min="261" max="261" width="5.28515625" style="3" customWidth="1"/>
    <col min="262" max="262" width="36" style="3" customWidth="1"/>
    <col min="263" max="263" width="10.7109375" style="3" customWidth="1"/>
    <col min="264" max="264" width="8.5703125" style="3" customWidth="1"/>
    <col min="265" max="265" width="10.5703125" style="3" customWidth="1"/>
    <col min="266" max="266" width="9.140625" style="3"/>
    <col min="267" max="267" width="33" style="3" customWidth="1"/>
    <col min="268" max="268" width="9.140625" style="3" customWidth="1"/>
    <col min="269" max="269" width="6.5703125" style="3" customWidth="1"/>
    <col min="270" max="270" width="12.28515625" style="3" customWidth="1"/>
    <col min="271" max="272" width="9.140625" style="3"/>
    <col min="273" max="273" width="17.28515625" style="3" customWidth="1"/>
    <col min="274" max="274" width="10.42578125" style="3" bestFit="1" customWidth="1"/>
    <col min="275" max="512" width="9.140625" style="3"/>
    <col min="513" max="513" width="4.42578125" style="3" customWidth="1"/>
    <col min="514" max="514" width="27" style="3" customWidth="1"/>
    <col min="515" max="515" width="10.42578125" style="3" customWidth="1"/>
    <col min="516" max="516" width="38.7109375" style="3" customWidth="1"/>
    <col min="517" max="517" width="5.28515625" style="3" customWidth="1"/>
    <col min="518" max="518" width="36" style="3" customWidth="1"/>
    <col min="519" max="519" width="10.7109375" style="3" customWidth="1"/>
    <col min="520" max="520" width="8.5703125" style="3" customWidth="1"/>
    <col min="521" max="521" width="10.5703125" style="3" customWidth="1"/>
    <col min="522" max="522" width="9.140625" style="3"/>
    <col min="523" max="523" width="33" style="3" customWidth="1"/>
    <col min="524" max="524" width="9.140625" style="3" customWidth="1"/>
    <col min="525" max="525" width="6.5703125" style="3" customWidth="1"/>
    <col min="526" max="526" width="12.28515625" style="3" customWidth="1"/>
    <col min="527" max="528" width="9.140625" style="3"/>
    <col min="529" max="529" width="17.28515625" style="3" customWidth="1"/>
    <col min="530" max="530" width="10.42578125" style="3" bestFit="1" customWidth="1"/>
    <col min="531" max="768" width="9.140625" style="3"/>
    <col min="769" max="769" width="4.42578125" style="3" customWidth="1"/>
    <col min="770" max="770" width="27" style="3" customWidth="1"/>
    <col min="771" max="771" width="10.42578125" style="3" customWidth="1"/>
    <col min="772" max="772" width="38.7109375" style="3" customWidth="1"/>
    <col min="773" max="773" width="5.28515625" style="3" customWidth="1"/>
    <col min="774" max="774" width="36" style="3" customWidth="1"/>
    <col min="775" max="775" width="10.7109375" style="3" customWidth="1"/>
    <col min="776" max="776" width="8.5703125" style="3" customWidth="1"/>
    <col min="777" max="777" width="10.5703125" style="3" customWidth="1"/>
    <col min="778" max="778" width="9.140625" style="3"/>
    <col min="779" max="779" width="33" style="3" customWidth="1"/>
    <col min="780" max="780" width="9.140625" style="3" customWidth="1"/>
    <col min="781" max="781" width="6.5703125" style="3" customWidth="1"/>
    <col min="782" max="782" width="12.28515625" style="3" customWidth="1"/>
    <col min="783" max="784" width="9.140625" style="3"/>
    <col min="785" max="785" width="17.28515625" style="3" customWidth="1"/>
    <col min="786" max="786" width="10.42578125" style="3" bestFit="1" customWidth="1"/>
    <col min="787" max="1024" width="9.140625" style="3"/>
    <col min="1025" max="1025" width="4.42578125" style="3" customWidth="1"/>
    <col min="1026" max="1026" width="27" style="3" customWidth="1"/>
    <col min="1027" max="1027" width="10.42578125" style="3" customWidth="1"/>
    <col min="1028" max="1028" width="38.7109375" style="3" customWidth="1"/>
    <col min="1029" max="1029" width="5.28515625" style="3" customWidth="1"/>
    <col min="1030" max="1030" width="36" style="3" customWidth="1"/>
    <col min="1031" max="1031" width="10.7109375" style="3" customWidth="1"/>
    <col min="1032" max="1032" width="8.5703125" style="3" customWidth="1"/>
    <col min="1033" max="1033" width="10.5703125" style="3" customWidth="1"/>
    <col min="1034" max="1034" width="9.140625" style="3"/>
    <col min="1035" max="1035" width="33" style="3" customWidth="1"/>
    <col min="1036" max="1036" width="9.140625" style="3" customWidth="1"/>
    <col min="1037" max="1037" width="6.5703125" style="3" customWidth="1"/>
    <col min="1038" max="1038" width="12.28515625" style="3" customWidth="1"/>
    <col min="1039" max="1040" width="9.140625" style="3"/>
    <col min="1041" max="1041" width="17.28515625" style="3" customWidth="1"/>
    <col min="1042" max="1042" width="10.42578125" style="3" bestFit="1" customWidth="1"/>
    <col min="1043" max="1280" width="9.140625" style="3"/>
    <col min="1281" max="1281" width="4.42578125" style="3" customWidth="1"/>
    <col min="1282" max="1282" width="27" style="3" customWidth="1"/>
    <col min="1283" max="1283" width="10.42578125" style="3" customWidth="1"/>
    <col min="1284" max="1284" width="38.7109375" style="3" customWidth="1"/>
    <col min="1285" max="1285" width="5.28515625" style="3" customWidth="1"/>
    <col min="1286" max="1286" width="36" style="3" customWidth="1"/>
    <col min="1287" max="1287" width="10.7109375" style="3" customWidth="1"/>
    <col min="1288" max="1288" width="8.5703125" style="3" customWidth="1"/>
    <col min="1289" max="1289" width="10.5703125" style="3" customWidth="1"/>
    <col min="1290" max="1290" width="9.140625" style="3"/>
    <col min="1291" max="1291" width="33" style="3" customWidth="1"/>
    <col min="1292" max="1292" width="9.140625" style="3" customWidth="1"/>
    <col min="1293" max="1293" width="6.5703125" style="3" customWidth="1"/>
    <col min="1294" max="1294" width="12.28515625" style="3" customWidth="1"/>
    <col min="1295" max="1296" width="9.140625" style="3"/>
    <col min="1297" max="1297" width="17.28515625" style="3" customWidth="1"/>
    <col min="1298" max="1298" width="10.42578125" style="3" bestFit="1" customWidth="1"/>
    <col min="1299" max="1536" width="9.140625" style="3"/>
    <col min="1537" max="1537" width="4.42578125" style="3" customWidth="1"/>
    <col min="1538" max="1538" width="27" style="3" customWidth="1"/>
    <col min="1539" max="1539" width="10.42578125" style="3" customWidth="1"/>
    <col min="1540" max="1540" width="38.7109375" style="3" customWidth="1"/>
    <col min="1541" max="1541" width="5.28515625" style="3" customWidth="1"/>
    <col min="1542" max="1542" width="36" style="3" customWidth="1"/>
    <col min="1543" max="1543" width="10.7109375" style="3" customWidth="1"/>
    <col min="1544" max="1544" width="8.5703125" style="3" customWidth="1"/>
    <col min="1545" max="1545" width="10.5703125" style="3" customWidth="1"/>
    <col min="1546" max="1546" width="9.140625" style="3"/>
    <col min="1547" max="1547" width="33" style="3" customWidth="1"/>
    <col min="1548" max="1548" width="9.140625" style="3" customWidth="1"/>
    <col min="1549" max="1549" width="6.5703125" style="3" customWidth="1"/>
    <col min="1550" max="1550" width="12.28515625" style="3" customWidth="1"/>
    <col min="1551" max="1552" width="9.140625" style="3"/>
    <col min="1553" max="1553" width="17.28515625" style="3" customWidth="1"/>
    <col min="1554" max="1554" width="10.42578125" style="3" bestFit="1" customWidth="1"/>
    <col min="1555" max="1792" width="9.140625" style="3"/>
    <col min="1793" max="1793" width="4.42578125" style="3" customWidth="1"/>
    <col min="1794" max="1794" width="27" style="3" customWidth="1"/>
    <col min="1795" max="1795" width="10.42578125" style="3" customWidth="1"/>
    <col min="1796" max="1796" width="38.7109375" style="3" customWidth="1"/>
    <col min="1797" max="1797" width="5.28515625" style="3" customWidth="1"/>
    <col min="1798" max="1798" width="36" style="3" customWidth="1"/>
    <col min="1799" max="1799" width="10.7109375" style="3" customWidth="1"/>
    <col min="1800" max="1800" width="8.5703125" style="3" customWidth="1"/>
    <col min="1801" max="1801" width="10.5703125" style="3" customWidth="1"/>
    <col min="1802" max="1802" width="9.140625" style="3"/>
    <col min="1803" max="1803" width="33" style="3" customWidth="1"/>
    <col min="1804" max="1804" width="9.140625" style="3" customWidth="1"/>
    <col min="1805" max="1805" width="6.5703125" style="3" customWidth="1"/>
    <col min="1806" max="1806" width="12.28515625" style="3" customWidth="1"/>
    <col min="1807" max="1808" width="9.140625" style="3"/>
    <col min="1809" max="1809" width="17.28515625" style="3" customWidth="1"/>
    <col min="1810" max="1810" width="10.42578125" style="3" bestFit="1" customWidth="1"/>
    <col min="1811" max="2048" width="9.140625" style="3"/>
    <col min="2049" max="2049" width="4.42578125" style="3" customWidth="1"/>
    <col min="2050" max="2050" width="27" style="3" customWidth="1"/>
    <col min="2051" max="2051" width="10.42578125" style="3" customWidth="1"/>
    <col min="2052" max="2052" width="38.7109375" style="3" customWidth="1"/>
    <col min="2053" max="2053" width="5.28515625" style="3" customWidth="1"/>
    <col min="2054" max="2054" width="36" style="3" customWidth="1"/>
    <col min="2055" max="2055" width="10.7109375" style="3" customWidth="1"/>
    <col min="2056" max="2056" width="8.5703125" style="3" customWidth="1"/>
    <col min="2057" max="2057" width="10.5703125" style="3" customWidth="1"/>
    <col min="2058" max="2058" width="9.140625" style="3"/>
    <col min="2059" max="2059" width="33" style="3" customWidth="1"/>
    <col min="2060" max="2060" width="9.140625" style="3" customWidth="1"/>
    <col min="2061" max="2061" width="6.5703125" style="3" customWidth="1"/>
    <col min="2062" max="2062" width="12.28515625" style="3" customWidth="1"/>
    <col min="2063" max="2064" width="9.140625" style="3"/>
    <col min="2065" max="2065" width="17.28515625" style="3" customWidth="1"/>
    <col min="2066" max="2066" width="10.42578125" style="3" bestFit="1" customWidth="1"/>
    <col min="2067" max="2304" width="9.140625" style="3"/>
    <col min="2305" max="2305" width="4.42578125" style="3" customWidth="1"/>
    <col min="2306" max="2306" width="27" style="3" customWidth="1"/>
    <col min="2307" max="2307" width="10.42578125" style="3" customWidth="1"/>
    <col min="2308" max="2308" width="38.7109375" style="3" customWidth="1"/>
    <col min="2309" max="2309" width="5.28515625" style="3" customWidth="1"/>
    <col min="2310" max="2310" width="36" style="3" customWidth="1"/>
    <col min="2311" max="2311" width="10.7109375" style="3" customWidth="1"/>
    <col min="2312" max="2312" width="8.5703125" style="3" customWidth="1"/>
    <col min="2313" max="2313" width="10.5703125" style="3" customWidth="1"/>
    <col min="2314" max="2314" width="9.140625" style="3"/>
    <col min="2315" max="2315" width="33" style="3" customWidth="1"/>
    <col min="2316" max="2316" width="9.140625" style="3" customWidth="1"/>
    <col min="2317" max="2317" width="6.5703125" style="3" customWidth="1"/>
    <col min="2318" max="2318" width="12.28515625" style="3" customWidth="1"/>
    <col min="2319" max="2320" width="9.140625" style="3"/>
    <col min="2321" max="2321" width="17.28515625" style="3" customWidth="1"/>
    <col min="2322" max="2322" width="10.42578125" style="3" bestFit="1" customWidth="1"/>
    <col min="2323" max="2560" width="9.140625" style="3"/>
    <col min="2561" max="2561" width="4.42578125" style="3" customWidth="1"/>
    <col min="2562" max="2562" width="27" style="3" customWidth="1"/>
    <col min="2563" max="2563" width="10.42578125" style="3" customWidth="1"/>
    <col min="2564" max="2564" width="38.7109375" style="3" customWidth="1"/>
    <col min="2565" max="2565" width="5.28515625" style="3" customWidth="1"/>
    <col min="2566" max="2566" width="36" style="3" customWidth="1"/>
    <col min="2567" max="2567" width="10.7109375" style="3" customWidth="1"/>
    <col min="2568" max="2568" width="8.5703125" style="3" customWidth="1"/>
    <col min="2569" max="2569" width="10.5703125" style="3" customWidth="1"/>
    <col min="2570" max="2570" width="9.140625" style="3"/>
    <col min="2571" max="2571" width="33" style="3" customWidth="1"/>
    <col min="2572" max="2572" width="9.140625" style="3" customWidth="1"/>
    <col min="2573" max="2573" width="6.5703125" style="3" customWidth="1"/>
    <col min="2574" max="2574" width="12.28515625" style="3" customWidth="1"/>
    <col min="2575" max="2576" width="9.140625" style="3"/>
    <col min="2577" max="2577" width="17.28515625" style="3" customWidth="1"/>
    <col min="2578" max="2578" width="10.42578125" style="3" bestFit="1" customWidth="1"/>
    <col min="2579" max="2816" width="9.140625" style="3"/>
    <col min="2817" max="2817" width="4.42578125" style="3" customWidth="1"/>
    <col min="2818" max="2818" width="27" style="3" customWidth="1"/>
    <col min="2819" max="2819" width="10.42578125" style="3" customWidth="1"/>
    <col min="2820" max="2820" width="38.7109375" style="3" customWidth="1"/>
    <col min="2821" max="2821" width="5.28515625" style="3" customWidth="1"/>
    <col min="2822" max="2822" width="36" style="3" customWidth="1"/>
    <col min="2823" max="2823" width="10.7109375" style="3" customWidth="1"/>
    <col min="2824" max="2824" width="8.5703125" style="3" customWidth="1"/>
    <col min="2825" max="2825" width="10.5703125" style="3" customWidth="1"/>
    <col min="2826" max="2826" width="9.140625" style="3"/>
    <col min="2827" max="2827" width="33" style="3" customWidth="1"/>
    <col min="2828" max="2828" width="9.140625" style="3" customWidth="1"/>
    <col min="2829" max="2829" width="6.5703125" style="3" customWidth="1"/>
    <col min="2830" max="2830" width="12.28515625" style="3" customWidth="1"/>
    <col min="2831" max="2832" width="9.140625" style="3"/>
    <col min="2833" max="2833" width="17.28515625" style="3" customWidth="1"/>
    <col min="2834" max="2834" width="10.42578125" style="3" bestFit="1" customWidth="1"/>
    <col min="2835" max="3072" width="9.140625" style="3"/>
    <col min="3073" max="3073" width="4.42578125" style="3" customWidth="1"/>
    <col min="3074" max="3074" width="27" style="3" customWidth="1"/>
    <col min="3075" max="3075" width="10.42578125" style="3" customWidth="1"/>
    <col min="3076" max="3076" width="38.7109375" style="3" customWidth="1"/>
    <col min="3077" max="3077" width="5.28515625" style="3" customWidth="1"/>
    <col min="3078" max="3078" width="36" style="3" customWidth="1"/>
    <col min="3079" max="3079" width="10.7109375" style="3" customWidth="1"/>
    <col min="3080" max="3080" width="8.5703125" style="3" customWidth="1"/>
    <col min="3081" max="3081" width="10.5703125" style="3" customWidth="1"/>
    <col min="3082" max="3082" width="9.140625" style="3"/>
    <col min="3083" max="3083" width="33" style="3" customWidth="1"/>
    <col min="3084" max="3084" width="9.140625" style="3" customWidth="1"/>
    <col min="3085" max="3085" width="6.5703125" style="3" customWidth="1"/>
    <col min="3086" max="3086" width="12.28515625" style="3" customWidth="1"/>
    <col min="3087" max="3088" width="9.140625" style="3"/>
    <col min="3089" max="3089" width="17.28515625" style="3" customWidth="1"/>
    <col min="3090" max="3090" width="10.42578125" style="3" bestFit="1" customWidth="1"/>
    <col min="3091" max="3328" width="9.140625" style="3"/>
    <col min="3329" max="3329" width="4.42578125" style="3" customWidth="1"/>
    <col min="3330" max="3330" width="27" style="3" customWidth="1"/>
    <col min="3331" max="3331" width="10.42578125" style="3" customWidth="1"/>
    <col min="3332" max="3332" width="38.7109375" style="3" customWidth="1"/>
    <col min="3333" max="3333" width="5.28515625" style="3" customWidth="1"/>
    <col min="3334" max="3334" width="36" style="3" customWidth="1"/>
    <col min="3335" max="3335" width="10.7109375" style="3" customWidth="1"/>
    <col min="3336" max="3336" width="8.5703125" style="3" customWidth="1"/>
    <col min="3337" max="3337" width="10.5703125" style="3" customWidth="1"/>
    <col min="3338" max="3338" width="9.140625" style="3"/>
    <col min="3339" max="3339" width="33" style="3" customWidth="1"/>
    <col min="3340" max="3340" width="9.140625" style="3" customWidth="1"/>
    <col min="3341" max="3341" width="6.5703125" style="3" customWidth="1"/>
    <col min="3342" max="3342" width="12.28515625" style="3" customWidth="1"/>
    <col min="3343" max="3344" width="9.140625" style="3"/>
    <col min="3345" max="3345" width="17.28515625" style="3" customWidth="1"/>
    <col min="3346" max="3346" width="10.42578125" style="3" bestFit="1" customWidth="1"/>
    <col min="3347" max="3584" width="9.140625" style="3"/>
    <col min="3585" max="3585" width="4.42578125" style="3" customWidth="1"/>
    <col min="3586" max="3586" width="27" style="3" customWidth="1"/>
    <col min="3587" max="3587" width="10.42578125" style="3" customWidth="1"/>
    <col min="3588" max="3588" width="38.7109375" style="3" customWidth="1"/>
    <col min="3589" max="3589" width="5.28515625" style="3" customWidth="1"/>
    <col min="3590" max="3590" width="36" style="3" customWidth="1"/>
    <col min="3591" max="3591" width="10.7109375" style="3" customWidth="1"/>
    <col min="3592" max="3592" width="8.5703125" style="3" customWidth="1"/>
    <col min="3593" max="3593" width="10.5703125" style="3" customWidth="1"/>
    <col min="3594" max="3594" width="9.140625" style="3"/>
    <col min="3595" max="3595" width="33" style="3" customWidth="1"/>
    <col min="3596" max="3596" width="9.140625" style="3" customWidth="1"/>
    <col min="3597" max="3597" width="6.5703125" style="3" customWidth="1"/>
    <col min="3598" max="3598" width="12.28515625" style="3" customWidth="1"/>
    <col min="3599" max="3600" width="9.140625" style="3"/>
    <col min="3601" max="3601" width="17.28515625" style="3" customWidth="1"/>
    <col min="3602" max="3602" width="10.42578125" style="3" bestFit="1" customWidth="1"/>
    <col min="3603" max="3840" width="9.140625" style="3"/>
    <col min="3841" max="3841" width="4.42578125" style="3" customWidth="1"/>
    <col min="3842" max="3842" width="27" style="3" customWidth="1"/>
    <col min="3843" max="3843" width="10.42578125" style="3" customWidth="1"/>
    <col min="3844" max="3844" width="38.7109375" style="3" customWidth="1"/>
    <col min="3845" max="3845" width="5.28515625" style="3" customWidth="1"/>
    <col min="3846" max="3846" width="36" style="3" customWidth="1"/>
    <col min="3847" max="3847" width="10.7109375" style="3" customWidth="1"/>
    <col min="3848" max="3848" width="8.5703125" style="3" customWidth="1"/>
    <col min="3849" max="3849" width="10.5703125" style="3" customWidth="1"/>
    <col min="3850" max="3850" width="9.140625" style="3"/>
    <col min="3851" max="3851" width="33" style="3" customWidth="1"/>
    <col min="3852" max="3852" width="9.140625" style="3" customWidth="1"/>
    <col min="3853" max="3853" width="6.5703125" style="3" customWidth="1"/>
    <col min="3854" max="3854" width="12.28515625" style="3" customWidth="1"/>
    <col min="3855" max="3856" width="9.140625" style="3"/>
    <col min="3857" max="3857" width="17.28515625" style="3" customWidth="1"/>
    <col min="3858" max="3858" width="10.42578125" style="3" bestFit="1" customWidth="1"/>
    <col min="3859" max="4096" width="9.140625" style="3"/>
    <col min="4097" max="4097" width="4.42578125" style="3" customWidth="1"/>
    <col min="4098" max="4098" width="27" style="3" customWidth="1"/>
    <col min="4099" max="4099" width="10.42578125" style="3" customWidth="1"/>
    <col min="4100" max="4100" width="38.7109375" style="3" customWidth="1"/>
    <col min="4101" max="4101" width="5.28515625" style="3" customWidth="1"/>
    <col min="4102" max="4102" width="36" style="3" customWidth="1"/>
    <col min="4103" max="4103" width="10.7109375" style="3" customWidth="1"/>
    <col min="4104" max="4104" width="8.5703125" style="3" customWidth="1"/>
    <col min="4105" max="4105" width="10.5703125" style="3" customWidth="1"/>
    <col min="4106" max="4106" width="9.140625" style="3"/>
    <col min="4107" max="4107" width="33" style="3" customWidth="1"/>
    <col min="4108" max="4108" width="9.140625" style="3" customWidth="1"/>
    <col min="4109" max="4109" width="6.5703125" style="3" customWidth="1"/>
    <col min="4110" max="4110" width="12.28515625" style="3" customWidth="1"/>
    <col min="4111" max="4112" width="9.140625" style="3"/>
    <col min="4113" max="4113" width="17.28515625" style="3" customWidth="1"/>
    <col min="4114" max="4114" width="10.42578125" style="3" bestFit="1" customWidth="1"/>
    <col min="4115" max="4352" width="9.140625" style="3"/>
    <col min="4353" max="4353" width="4.42578125" style="3" customWidth="1"/>
    <col min="4354" max="4354" width="27" style="3" customWidth="1"/>
    <col min="4355" max="4355" width="10.42578125" style="3" customWidth="1"/>
    <col min="4356" max="4356" width="38.7109375" style="3" customWidth="1"/>
    <col min="4357" max="4357" width="5.28515625" style="3" customWidth="1"/>
    <col min="4358" max="4358" width="36" style="3" customWidth="1"/>
    <col min="4359" max="4359" width="10.7109375" style="3" customWidth="1"/>
    <col min="4360" max="4360" width="8.5703125" style="3" customWidth="1"/>
    <col min="4361" max="4361" width="10.5703125" style="3" customWidth="1"/>
    <col min="4362" max="4362" width="9.140625" style="3"/>
    <col min="4363" max="4363" width="33" style="3" customWidth="1"/>
    <col min="4364" max="4364" width="9.140625" style="3" customWidth="1"/>
    <col min="4365" max="4365" width="6.5703125" style="3" customWidth="1"/>
    <col min="4366" max="4366" width="12.28515625" style="3" customWidth="1"/>
    <col min="4367" max="4368" width="9.140625" style="3"/>
    <col min="4369" max="4369" width="17.28515625" style="3" customWidth="1"/>
    <col min="4370" max="4370" width="10.42578125" style="3" bestFit="1" customWidth="1"/>
    <col min="4371" max="4608" width="9.140625" style="3"/>
    <col min="4609" max="4609" width="4.42578125" style="3" customWidth="1"/>
    <col min="4610" max="4610" width="27" style="3" customWidth="1"/>
    <col min="4611" max="4611" width="10.42578125" style="3" customWidth="1"/>
    <col min="4612" max="4612" width="38.7109375" style="3" customWidth="1"/>
    <col min="4613" max="4613" width="5.28515625" style="3" customWidth="1"/>
    <col min="4614" max="4614" width="36" style="3" customWidth="1"/>
    <col min="4615" max="4615" width="10.7109375" style="3" customWidth="1"/>
    <col min="4616" max="4616" width="8.5703125" style="3" customWidth="1"/>
    <col min="4617" max="4617" width="10.5703125" style="3" customWidth="1"/>
    <col min="4618" max="4618" width="9.140625" style="3"/>
    <col min="4619" max="4619" width="33" style="3" customWidth="1"/>
    <col min="4620" max="4620" width="9.140625" style="3" customWidth="1"/>
    <col min="4621" max="4621" width="6.5703125" style="3" customWidth="1"/>
    <col min="4622" max="4622" width="12.28515625" style="3" customWidth="1"/>
    <col min="4623" max="4624" width="9.140625" style="3"/>
    <col min="4625" max="4625" width="17.28515625" style="3" customWidth="1"/>
    <col min="4626" max="4626" width="10.42578125" style="3" bestFit="1" customWidth="1"/>
    <col min="4627" max="4864" width="9.140625" style="3"/>
    <col min="4865" max="4865" width="4.42578125" style="3" customWidth="1"/>
    <col min="4866" max="4866" width="27" style="3" customWidth="1"/>
    <col min="4867" max="4867" width="10.42578125" style="3" customWidth="1"/>
    <col min="4868" max="4868" width="38.7109375" style="3" customWidth="1"/>
    <col min="4869" max="4869" width="5.28515625" style="3" customWidth="1"/>
    <col min="4870" max="4870" width="36" style="3" customWidth="1"/>
    <col min="4871" max="4871" width="10.7109375" style="3" customWidth="1"/>
    <col min="4872" max="4872" width="8.5703125" style="3" customWidth="1"/>
    <col min="4873" max="4873" width="10.5703125" style="3" customWidth="1"/>
    <col min="4874" max="4874" width="9.140625" style="3"/>
    <col min="4875" max="4875" width="33" style="3" customWidth="1"/>
    <col min="4876" max="4876" width="9.140625" style="3" customWidth="1"/>
    <col min="4877" max="4877" width="6.5703125" style="3" customWidth="1"/>
    <col min="4878" max="4878" width="12.28515625" style="3" customWidth="1"/>
    <col min="4879" max="4880" width="9.140625" style="3"/>
    <col min="4881" max="4881" width="17.28515625" style="3" customWidth="1"/>
    <col min="4882" max="4882" width="10.42578125" style="3" bestFit="1" customWidth="1"/>
    <col min="4883" max="5120" width="9.140625" style="3"/>
    <col min="5121" max="5121" width="4.42578125" style="3" customWidth="1"/>
    <col min="5122" max="5122" width="27" style="3" customWidth="1"/>
    <col min="5123" max="5123" width="10.42578125" style="3" customWidth="1"/>
    <col min="5124" max="5124" width="38.7109375" style="3" customWidth="1"/>
    <col min="5125" max="5125" width="5.28515625" style="3" customWidth="1"/>
    <col min="5126" max="5126" width="36" style="3" customWidth="1"/>
    <col min="5127" max="5127" width="10.7109375" style="3" customWidth="1"/>
    <col min="5128" max="5128" width="8.5703125" style="3" customWidth="1"/>
    <col min="5129" max="5129" width="10.5703125" style="3" customWidth="1"/>
    <col min="5130" max="5130" width="9.140625" style="3"/>
    <col min="5131" max="5131" width="33" style="3" customWidth="1"/>
    <col min="5132" max="5132" width="9.140625" style="3" customWidth="1"/>
    <col min="5133" max="5133" width="6.5703125" style="3" customWidth="1"/>
    <col min="5134" max="5134" width="12.28515625" style="3" customWidth="1"/>
    <col min="5135" max="5136" width="9.140625" style="3"/>
    <col min="5137" max="5137" width="17.28515625" style="3" customWidth="1"/>
    <col min="5138" max="5138" width="10.42578125" style="3" bestFit="1" customWidth="1"/>
    <col min="5139" max="5376" width="9.140625" style="3"/>
    <col min="5377" max="5377" width="4.42578125" style="3" customWidth="1"/>
    <col min="5378" max="5378" width="27" style="3" customWidth="1"/>
    <col min="5379" max="5379" width="10.42578125" style="3" customWidth="1"/>
    <col min="5380" max="5380" width="38.7109375" style="3" customWidth="1"/>
    <col min="5381" max="5381" width="5.28515625" style="3" customWidth="1"/>
    <col min="5382" max="5382" width="36" style="3" customWidth="1"/>
    <col min="5383" max="5383" width="10.7109375" style="3" customWidth="1"/>
    <col min="5384" max="5384" width="8.5703125" style="3" customWidth="1"/>
    <col min="5385" max="5385" width="10.5703125" style="3" customWidth="1"/>
    <col min="5386" max="5386" width="9.140625" style="3"/>
    <col min="5387" max="5387" width="33" style="3" customWidth="1"/>
    <col min="5388" max="5388" width="9.140625" style="3" customWidth="1"/>
    <col min="5389" max="5389" width="6.5703125" style="3" customWidth="1"/>
    <col min="5390" max="5390" width="12.28515625" style="3" customWidth="1"/>
    <col min="5391" max="5392" width="9.140625" style="3"/>
    <col min="5393" max="5393" width="17.28515625" style="3" customWidth="1"/>
    <col min="5394" max="5394" width="10.42578125" style="3" bestFit="1" customWidth="1"/>
    <col min="5395" max="5632" width="9.140625" style="3"/>
    <col min="5633" max="5633" width="4.42578125" style="3" customWidth="1"/>
    <col min="5634" max="5634" width="27" style="3" customWidth="1"/>
    <col min="5635" max="5635" width="10.42578125" style="3" customWidth="1"/>
    <col min="5636" max="5636" width="38.7109375" style="3" customWidth="1"/>
    <col min="5637" max="5637" width="5.28515625" style="3" customWidth="1"/>
    <col min="5638" max="5638" width="36" style="3" customWidth="1"/>
    <col min="5639" max="5639" width="10.7109375" style="3" customWidth="1"/>
    <col min="5640" max="5640" width="8.5703125" style="3" customWidth="1"/>
    <col min="5641" max="5641" width="10.5703125" style="3" customWidth="1"/>
    <col min="5642" max="5642" width="9.140625" style="3"/>
    <col min="5643" max="5643" width="33" style="3" customWidth="1"/>
    <col min="5644" max="5644" width="9.140625" style="3" customWidth="1"/>
    <col min="5645" max="5645" width="6.5703125" style="3" customWidth="1"/>
    <col min="5646" max="5646" width="12.28515625" style="3" customWidth="1"/>
    <col min="5647" max="5648" width="9.140625" style="3"/>
    <col min="5649" max="5649" width="17.28515625" style="3" customWidth="1"/>
    <col min="5650" max="5650" width="10.42578125" style="3" bestFit="1" customWidth="1"/>
    <col min="5651" max="5888" width="9.140625" style="3"/>
    <col min="5889" max="5889" width="4.42578125" style="3" customWidth="1"/>
    <col min="5890" max="5890" width="27" style="3" customWidth="1"/>
    <col min="5891" max="5891" width="10.42578125" style="3" customWidth="1"/>
    <col min="5892" max="5892" width="38.7109375" style="3" customWidth="1"/>
    <col min="5893" max="5893" width="5.28515625" style="3" customWidth="1"/>
    <col min="5894" max="5894" width="36" style="3" customWidth="1"/>
    <col min="5895" max="5895" width="10.7109375" style="3" customWidth="1"/>
    <col min="5896" max="5896" width="8.5703125" style="3" customWidth="1"/>
    <col min="5897" max="5897" width="10.5703125" style="3" customWidth="1"/>
    <col min="5898" max="5898" width="9.140625" style="3"/>
    <col min="5899" max="5899" width="33" style="3" customWidth="1"/>
    <col min="5900" max="5900" width="9.140625" style="3" customWidth="1"/>
    <col min="5901" max="5901" width="6.5703125" style="3" customWidth="1"/>
    <col min="5902" max="5902" width="12.28515625" style="3" customWidth="1"/>
    <col min="5903" max="5904" width="9.140625" style="3"/>
    <col min="5905" max="5905" width="17.28515625" style="3" customWidth="1"/>
    <col min="5906" max="5906" width="10.42578125" style="3" bestFit="1" customWidth="1"/>
    <col min="5907" max="6144" width="9.140625" style="3"/>
    <col min="6145" max="6145" width="4.42578125" style="3" customWidth="1"/>
    <col min="6146" max="6146" width="27" style="3" customWidth="1"/>
    <col min="6147" max="6147" width="10.42578125" style="3" customWidth="1"/>
    <col min="6148" max="6148" width="38.7109375" style="3" customWidth="1"/>
    <col min="6149" max="6149" width="5.28515625" style="3" customWidth="1"/>
    <col min="6150" max="6150" width="36" style="3" customWidth="1"/>
    <col min="6151" max="6151" width="10.7109375" style="3" customWidth="1"/>
    <col min="6152" max="6152" width="8.5703125" style="3" customWidth="1"/>
    <col min="6153" max="6153" width="10.5703125" style="3" customWidth="1"/>
    <col min="6154" max="6154" width="9.140625" style="3"/>
    <col min="6155" max="6155" width="33" style="3" customWidth="1"/>
    <col min="6156" max="6156" width="9.140625" style="3" customWidth="1"/>
    <col min="6157" max="6157" width="6.5703125" style="3" customWidth="1"/>
    <col min="6158" max="6158" width="12.28515625" style="3" customWidth="1"/>
    <col min="6159" max="6160" width="9.140625" style="3"/>
    <col min="6161" max="6161" width="17.28515625" style="3" customWidth="1"/>
    <col min="6162" max="6162" width="10.42578125" style="3" bestFit="1" customWidth="1"/>
    <col min="6163" max="6400" width="9.140625" style="3"/>
    <col min="6401" max="6401" width="4.42578125" style="3" customWidth="1"/>
    <col min="6402" max="6402" width="27" style="3" customWidth="1"/>
    <col min="6403" max="6403" width="10.42578125" style="3" customWidth="1"/>
    <col min="6404" max="6404" width="38.7109375" style="3" customWidth="1"/>
    <col min="6405" max="6405" width="5.28515625" style="3" customWidth="1"/>
    <col min="6406" max="6406" width="36" style="3" customWidth="1"/>
    <col min="6407" max="6407" width="10.7109375" style="3" customWidth="1"/>
    <col min="6408" max="6408" width="8.5703125" style="3" customWidth="1"/>
    <col min="6409" max="6409" width="10.5703125" style="3" customWidth="1"/>
    <col min="6410" max="6410" width="9.140625" style="3"/>
    <col min="6411" max="6411" width="33" style="3" customWidth="1"/>
    <col min="6412" max="6412" width="9.140625" style="3" customWidth="1"/>
    <col min="6413" max="6413" width="6.5703125" style="3" customWidth="1"/>
    <col min="6414" max="6414" width="12.28515625" style="3" customWidth="1"/>
    <col min="6415" max="6416" width="9.140625" style="3"/>
    <col min="6417" max="6417" width="17.28515625" style="3" customWidth="1"/>
    <col min="6418" max="6418" width="10.42578125" style="3" bestFit="1" customWidth="1"/>
    <col min="6419" max="6656" width="9.140625" style="3"/>
    <col min="6657" max="6657" width="4.42578125" style="3" customWidth="1"/>
    <col min="6658" max="6658" width="27" style="3" customWidth="1"/>
    <col min="6659" max="6659" width="10.42578125" style="3" customWidth="1"/>
    <col min="6660" max="6660" width="38.7109375" style="3" customWidth="1"/>
    <col min="6661" max="6661" width="5.28515625" style="3" customWidth="1"/>
    <col min="6662" max="6662" width="36" style="3" customWidth="1"/>
    <col min="6663" max="6663" width="10.7109375" style="3" customWidth="1"/>
    <col min="6664" max="6664" width="8.5703125" style="3" customWidth="1"/>
    <col min="6665" max="6665" width="10.5703125" style="3" customWidth="1"/>
    <col min="6666" max="6666" width="9.140625" style="3"/>
    <col min="6667" max="6667" width="33" style="3" customWidth="1"/>
    <col min="6668" max="6668" width="9.140625" style="3" customWidth="1"/>
    <col min="6669" max="6669" width="6.5703125" style="3" customWidth="1"/>
    <col min="6670" max="6670" width="12.28515625" style="3" customWidth="1"/>
    <col min="6671" max="6672" width="9.140625" style="3"/>
    <col min="6673" max="6673" width="17.28515625" style="3" customWidth="1"/>
    <col min="6674" max="6674" width="10.42578125" style="3" bestFit="1" customWidth="1"/>
    <col min="6675" max="6912" width="9.140625" style="3"/>
    <col min="6913" max="6913" width="4.42578125" style="3" customWidth="1"/>
    <col min="6914" max="6914" width="27" style="3" customWidth="1"/>
    <col min="6915" max="6915" width="10.42578125" style="3" customWidth="1"/>
    <col min="6916" max="6916" width="38.7109375" style="3" customWidth="1"/>
    <col min="6917" max="6917" width="5.28515625" style="3" customWidth="1"/>
    <col min="6918" max="6918" width="36" style="3" customWidth="1"/>
    <col min="6919" max="6919" width="10.7109375" style="3" customWidth="1"/>
    <col min="6920" max="6920" width="8.5703125" style="3" customWidth="1"/>
    <col min="6921" max="6921" width="10.5703125" style="3" customWidth="1"/>
    <col min="6922" max="6922" width="9.140625" style="3"/>
    <col min="6923" max="6923" width="33" style="3" customWidth="1"/>
    <col min="6924" max="6924" width="9.140625" style="3" customWidth="1"/>
    <col min="6925" max="6925" width="6.5703125" style="3" customWidth="1"/>
    <col min="6926" max="6926" width="12.28515625" style="3" customWidth="1"/>
    <col min="6927" max="6928" width="9.140625" style="3"/>
    <col min="6929" max="6929" width="17.28515625" style="3" customWidth="1"/>
    <col min="6930" max="6930" width="10.42578125" style="3" bestFit="1" customWidth="1"/>
    <col min="6931" max="7168" width="9.140625" style="3"/>
    <col min="7169" max="7169" width="4.42578125" style="3" customWidth="1"/>
    <col min="7170" max="7170" width="27" style="3" customWidth="1"/>
    <col min="7171" max="7171" width="10.42578125" style="3" customWidth="1"/>
    <col min="7172" max="7172" width="38.7109375" style="3" customWidth="1"/>
    <col min="7173" max="7173" width="5.28515625" style="3" customWidth="1"/>
    <col min="7174" max="7174" width="36" style="3" customWidth="1"/>
    <col min="7175" max="7175" width="10.7109375" style="3" customWidth="1"/>
    <col min="7176" max="7176" width="8.5703125" style="3" customWidth="1"/>
    <col min="7177" max="7177" width="10.5703125" style="3" customWidth="1"/>
    <col min="7178" max="7178" width="9.140625" style="3"/>
    <col min="7179" max="7179" width="33" style="3" customWidth="1"/>
    <col min="7180" max="7180" width="9.140625" style="3" customWidth="1"/>
    <col min="7181" max="7181" width="6.5703125" style="3" customWidth="1"/>
    <col min="7182" max="7182" width="12.28515625" style="3" customWidth="1"/>
    <col min="7183" max="7184" width="9.140625" style="3"/>
    <col min="7185" max="7185" width="17.28515625" style="3" customWidth="1"/>
    <col min="7186" max="7186" width="10.42578125" style="3" bestFit="1" customWidth="1"/>
    <col min="7187" max="7424" width="9.140625" style="3"/>
    <col min="7425" max="7425" width="4.42578125" style="3" customWidth="1"/>
    <col min="7426" max="7426" width="27" style="3" customWidth="1"/>
    <col min="7427" max="7427" width="10.42578125" style="3" customWidth="1"/>
    <col min="7428" max="7428" width="38.7109375" style="3" customWidth="1"/>
    <col min="7429" max="7429" width="5.28515625" style="3" customWidth="1"/>
    <col min="7430" max="7430" width="36" style="3" customWidth="1"/>
    <col min="7431" max="7431" width="10.7109375" style="3" customWidth="1"/>
    <col min="7432" max="7432" width="8.5703125" style="3" customWidth="1"/>
    <col min="7433" max="7433" width="10.5703125" style="3" customWidth="1"/>
    <col min="7434" max="7434" width="9.140625" style="3"/>
    <col min="7435" max="7435" width="33" style="3" customWidth="1"/>
    <col min="7436" max="7436" width="9.140625" style="3" customWidth="1"/>
    <col min="7437" max="7437" width="6.5703125" style="3" customWidth="1"/>
    <col min="7438" max="7438" width="12.28515625" style="3" customWidth="1"/>
    <col min="7439" max="7440" width="9.140625" style="3"/>
    <col min="7441" max="7441" width="17.28515625" style="3" customWidth="1"/>
    <col min="7442" max="7442" width="10.42578125" style="3" bestFit="1" customWidth="1"/>
    <col min="7443" max="7680" width="9.140625" style="3"/>
    <col min="7681" max="7681" width="4.42578125" style="3" customWidth="1"/>
    <col min="7682" max="7682" width="27" style="3" customWidth="1"/>
    <col min="7683" max="7683" width="10.42578125" style="3" customWidth="1"/>
    <col min="7684" max="7684" width="38.7109375" style="3" customWidth="1"/>
    <col min="7685" max="7685" width="5.28515625" style="3" customWidth="1"/>
    <col min="7686" max="7686" width="36" style="3" customWidth="1"/>
    <col min="7687" max="7687" width="10.7109375" style="3" customWidth="1"/>
    <col min="7688" max="7688" width="8.5703125" style="3" customWidth="1"/>
    <col min="7689" max="7689" width="10.5703125" style="3" customWidth="1"/>
    <col min="7690" max="7690" width="9.140625" style="3"/>
    <col min="7691" max="7691" width="33" style="3" customWidth="1"/>
    <col min="7692" max="7692" width="9.140625" style="3" customWidth="1"/>
    <col min="7693" max="7693" width="6.5703125" style="3" customWidth="1"/>
    <col min="7694" max="7694" width="12.28515625" style="3" customWidth="1"/>
    <col min="7695" max="7696" width="9.140625" style="3"/>
    <col min="7697" max="7697" width="17.28515625" style="3" customWidth="1"/>
    <col min="7698" max="7698" width="10.42578125" style="3" bestFit="1" customWidth="1"/>
    <col min="7699" max="7936" width="9.140625" style="3"/>
    <col min="7937" max="7937" width="4.42578125" style="3" customWidth="1"/>
    <col min="7938" max="7938" width="27" style="3" customWidth="1"/>
    <col min="7939" max="7939" width="10.42578125" style="3" customWidth="1"/>
    <col min="7940" max="7940" width="38.7109375" style="3" customWidth="1"/>
    <col min="7941" max="7941" width="5.28515625" style="3" customWidth="1"/>
    <col min="7942" max="7942" width="36" style="3" customWidth="1"/>
    <col min="7943" max="7943" width="10.7109375" style="3" customWidth="1"/>
    <col min="7944" max="7944" width="8.5703125" style="3" customWidth="1"/>
    <col min="7945" max="7945" width="10.5703125" style="3" customWidth="1"/>
    <col min="7946" max="7946" width="9.140625" style="3"/>
    <col min="7947" max="7947" width="33" style="3" customWidth="1"/>
    <col min="7948" max="7948" width="9.140625" style="3" customWidth="1"/>
    <col min="7949" max="7949" width="6.5703125" style="3" customWidth="1"/>
    <col min="7950" max="7950" width="12.28515625" style="3" customWidth="1"/>
    <col min="7951" max="7952" width="9.140625" style="3"/>
    <col min="7953" max="7953" width="17.28515625" style="3" customWidth="1"/>
    <col min="7954" max="7954" width="10.42578125" style="3" bestFit="1" customWidth="1"/>
    <col min="7955" max="8192" width="9.140625" style="3"/>
    <col min="8193" max="8193" width="4.42578125" style="3" customWidth="1"/>
    <col min="8194" max="8194" width="27" style="3" customWidth="1"/>
    <col min="8195" max="8195" width="10.42578125" style="3" customWidth="1"/>
    <col min="8196" max="8196" width="38.7109375" style="3" customWidth="1"/>
    <col min="8197" max="8197" width="5.28515625" style="3" customWidth="1"/>
    <col min="8198" max="8198" width="36" style="3" customWidth="1"/>
    <col min="8199" max="8199" width="10.7109375" style="3" customWidth="1"/>
    <col min="8200" max="8200" width="8.5703125" style="3" customWidth="1"/>
    <col min="8201" max="8201" width="10.5703125" style="3" customWidth="1"/>
    <col min="8202" max="8202" width="9.140625" style="3"/>
    <col min="8203" max="8203" width="33" style="3" customWidth="1"/>
    <col min="8204" max="8204" width="9.140625" style="3" customWidth="1"/>
    <col min="8205" max="8205" width="6.5703125" style="3" customWidth="1"/>
    <col min="8206" max="8206" width="12.28515625" style="3" customWidth="1"/>
    <col min="8207" max="8208" width="9.140625" style="3"/>
    <col min="8209" max="8209" width="17.28515625" style="3" customWidth="1"/>
    <col min="8210" max="8210" width="10.42578125" style="3" bestFit="1" customWidth="1"/>
    <col min="8211" max="8448" width="9.140625" style="3"/>
    <col min="8449" max="8449" width="4.42578125" style="3" customWidth="1"/>
    <col min="8450" max="8450" width="27" style="3" customWidth="1"/>
    <col min="8451" max="8451" width="10.42578125" style="3" customWidth="1"/>
    <col min="8452" max="8452" width="38.7109375" style="3" customWidth="1"/>
    <col min="8453" max="8453" width="5.28515625" style="3" customWidth="1"/>
    <col min="8454" max="8454" width="36" style="3" customWidth="1"/>
    <col min="8455" max="8455" width="10.7109375" style="3" customWidth="1"/>
    <col min="8456" max="8456" width="8.5703125" style="3" customWidth="1"/>
    <col min="8457" max="8457" width="10.5703125" style="3" customWidth="1"/>
    <col min="8458" max="8458" width="9.140625" style="3"/>
    <col min="8459" max="8459" width="33" style="3" customWidth="1"/>
    <col min="8460" max="8460" width="9.140625" style="3" customWidth="1"/>
    <col min="8461" max="8461" width="6.5703125" style="3" customWidth="1"/>
    <col min="8462" max="8462" width="12.28515625" style="3" customWidth="1"/>
    <col min="8463" max="8464" width="9.140625" style="3"/>
    <col min="8465" max="8465" width="17.28515625" style="3" customWidth="1"/>
    <col min="8466" max="8466" width="10.42578125" style="3" bestFit="1" customWidth="1"/>
    <col min="8467" max="8704" width="9.140625" style="3"/>
    <col min="8705" max="8705" width="4.42578125" style="3" customWidth="1"/>
    <col min="8706" max="8706" width="27" style="3" customWidth="1"/>
    <col min="8707" max="8707" width="10.42578125" style="3" customWidth="1"/>
    <col min="8708" max="8708" width="38.7109375" style="3" customWidth="1"/>
    <col min="8709" max="8709" width="5.28515625" style="3" customWidth="1"/>
    <col min="8710" max="8710" width="36" style="3" customWidth="1"/>
    <col min="8711" max="8711" width="10.7109375" style="3" customWidth="1"/>
    <col min="8712" max="8712" width="8.5703125" style="3" customWidth="1"/>
    <col min="8713" max="8713" width="10.5703125" style="3" customWidth="1"/>
    <col min="8714" max="8714" width="9.140625" style="3"/>
    <col min="8715" max="8715" width="33" style="3" customWidth="1"/>
    <col min="8716" max="8716" width="9.140625" style="3" customWidth="1"/>
    <col min="8717" max="8717" width="6.5703125" style="3" customWidth="1"/>
    <col min="8718" max="8718" width="12.28515625" style="3" customWidth="1"/>
    <col min="8719" max="8720" width="9.140625" style="3"/>
    <col min="8721" max="8721" width="17.28515625" style="3" customWidth="1"/>
    <col min="8722" max="8722" width="10.42578125" style="3" bestFit="1" customWidth="1"/>
    <col min="8723" max="8960" width="9.140625" style="3"/>
    <col min="8961" max="8961" width="4.42578125" style="3" customWidth="1"/>
    <col min="8962" max="8962" width="27" style="3" customWidth="1"/>
    <col min="8963" max="8963" width="10.42578125" style="3" customWidth="1"/>
    <col min="8964" max="8964" width="38.7109375" style="3" customWidth="1"/>
    <col min="8965" max="8965" width="5.28515625" style="3" customWidth="1"/>
    <col min="8966" max="8966" width="36" style="3" customWidth="1"/>
    <col min="8967" max="8967" width="10.7109375" style="3" customWidth="1"/>
    <col min="8968" max="8968" width="8.5703125" style="3" customWidth="1"/>
    <col min="8969" max="8969" width="10.5703125" style="3" customWidth="1"/>
    <col min="8970" max="8970" width="9.140625" style="3"/>
    <col min="8971" max="8971" width="33" style="3" customWidth="1"/>
    <col min="8972" max="8972" width="9.140625" style="3" customWidth="1"/>
    <col min="8973" max="8973" width="6.5703125" style="3" customWidth="1"/>
    <col min="8974" max="8974" width="12.28515625" style="3" customWidth="1"/>
    <col min="8975" max="8976" width="9.140625" style="3"/>
    <col min="8977" max="8977" width="17.28515625" style="3" customWidth="1"/>
    <col min="8978" max="8978" width="10.42578125" style="3" bestFit="1" customWidth="1"/>
    <col min="8979" max="9216" width="9.140625" style="3"/>
    <col min="9217" max="9217" width="4.42578125" style="3" customWidth="1"/>
    <col min="9218" max="9218" width="27" style="3" customWidth="1"/>
    <col min="9219" max="9219" width="10.42578125" style="3" customWidth="1"/>
    <col min="9220" max="9220" width="38.7109375" style="3" customWidth="1"/>
    <col min="9221" max="9221" width="5.28515625" style="3" customWidth="1"/>
    <col min="9222" max="9222" width="36" style="3" customWidth="1"/>
    <col min="9223" max="9223" width="10.7109375" style="3" customWidth="1"/>
    <col min="9224" max="9224" width="8.5703125" style="3" customWidth="1"/>
    <col min="9225" max="9225" width="10.5703125" style="3" customWidth="1"/>
    <col min="9226" max="9226" width="9.140625" style="3"/>
    <col min="9227" max="9227" width="33" style="3" customWidth="1"/>
    <col min="9228" max="9228" width="9.140625" style="3" customWidth="1"/>
    <col min="9229" max="9229" width="6.5703125" style="3" customWidth="1"/>
    <col min="9230" max="9230" width="12.28515625" style="3" customWidth="1"/>
    <col min="9231" max="9232" width="9.140625" style="3"/>
    <col min="9233" max="9233" width="17.28515625" style="3" customWidth="1"/>
    <col min="9234" max="9234" width="10.42578125" style="3" bestFit="1" customWidth="1"/>
    <col min="9235" max="9472" width="9.140625" style="3"/>
    <col min="9473" max="9473" width="4.42578125" style="3" customWidth="1"/>
    <col min="9474" max="9474" width="27" style="3" customWidth="1"/>
    <col min="9475" max="9475" width="10.42578125" style="3" customWidth="1"/>
    <col min="9476" max="9476" width="38.7109375" style="3" customWidth="1"/>
    <col min="9477" max="9477" width="5.28515625" style="3" customWidth="1"/>
    <col min="9478" max="9478" width="36" style="3" customWidth="1"/>
    <col min="9479" max="9479" width="10.7109375" style="3" customWidth="1"/>
    <col min="9480" max="9480" width="8.5703125" style="3" customWidth="1"/>
    <col min="9481" max="9481" width="10.5703125" style="3" customWidth="1"/>
    <col min="9482" max="9482" width="9.140625" style="3"/>
    <col min="9483" max="9483" width="33" style="3" customWidth="1"/>
    <col min="9484" max="9484" width="9.140625" style="3" customWidth="1"/>
    <col min="9485" max="9485" width="6.5703125" style="3" customWidth="1"/>
    <col min="9486" max="9486" width="12.28515625" style="3" customWidth="1"/>
    <col min="9487" max="9488" width="9.140625" style="3"/>
    <col min="9489" max="9489" width="17.28515625" style="3" customWidth="1"/>
    <col min="9490" max="9490" width="10.42578125" style="3" bestFit="1" customWidth="1"/>
    <col min="9491" max="9728" width="9.140625" style="3"/>
    <col min="9729" max="9729" width="4.42578125" style="3" customWidth="1"/>
    <col min="9730" max="9730" width="27" style="3" customWidth="1"/>
    <col min="9731" max="9731" width="10.42578125" style="3" customWidth="1"/>
    <col min="9732" max="9732" width="38.7109375" style="3" customWidth="1"/>
    <col min="9733" max="9733" width="5.28515625" style="3" customWidth="1"/>
    <col min="9734" max="9734" width="36" style="3" customWidth="1"/>
    <col min="9735" max="9735" width="10.7109375" style="3" customWidth="1"/>
    <col min="9736" max="9736" width="8.5703125" style="3" customWidth="1"/>
    <col min="9737" max="9737" width="10.5703125" style="3" customWidth="1"/>
    <col min="9738" max="9738" width="9.140625" style="3"/>
    <col min="9739" max="9739" width="33" style="3" customWidth="1"/>
    <col min="9740" max="9740" width="9.140625" style="3" customWidth="1"/>
    <col min="9741" max="9741" width="6.5703125" style="3" customWidth="1"/>
    <col min="9742" max="9742" width="12.28515625" style="3" customWidth="1"/>
    <col min="9743" max="9744" width="9.140625" style="3"/>
    <col min="9745" max="9745" width="17.28515625" style="3" customWidth="1"/>
    <col min="9746" max="9746" width="10.42578125" style="3" bestFit="1" customWidth="1"/>
    <col min="9747" max="9984" width="9.140625" style="3"/>
    <col min="9985" max="9985" width="4.42578125" style="3" customWidth="1"/>
    <col min="9986" max="9986" width="27" style="3" customWidth="1"/>
    <col min="9987" max="9987" width="10.42578125" style="3" customWidth="1"/>
    <col min="9988" max="9988" width="38.7109375" style="3" customWidth="1"/>
    <col min="9989" max="9989" width="5.28515625" style="3" customWidth="1"/>
    <col min="9990" max="9990" width="36" style="3" customWidth="1"/>
    <col min="9991" max="9991" width="10.7109375" style="3" customWidth="1"/>
    <col min="9992" max="9992" width="8.5703125" style="3" customWidth="1"/>
    <col min="9993" max="9993" width="10.5703125" style="3" customWidth="1"/>
    <col min="9994" max="9994" width="9.140625" style="3"/>
    <col min="9995" max="9995" width="33" style="3" customWidth="1"/>
    <col min="9996" max="9996" width="9.140625" style="3" customWidth="1"/>
    <col min="9997" max="9997" width="6.5703125" style="3" customWidth="1"/>
    <col min="9998" max="9998" width="12.28515625" style="3" customWidth="1"/>
    <col min="9999" max="10000" width="9.140625" style="3"/>
    <col min="10001" max="10001" width="17.28515625" style="3" customWidth="1"/>
    <col min="10002" max="10002" width="10.42578125" style="3" bestFit="1" customWidth="1"/>
    <col min="10003" max="10240" width="9.140625" style="3"/>
    <col min="10241" max="10241" width="4.42578125" style="3" customWidth="1"/>
    <col min="10242" max="10242" width="27" style="3" customWidth="1"/>
    <col min="10243" max="10243" width="10.42578125" style="3" customWidth="1"/>
    <col min="10244" max="10244" width="38.7109375" style="3" customWidth="1"/>
    <col min="10245" max="10245" width="5.28515625" style="3" customWidth="1"/>
    <col min="10246" max="10246" width="36" style="3" customWidth="1"/>
    <col min="10247" max="10247" width="10.7109375" style="3" customWidth="1"/>
    <col min="10248" max="10248" width="8.5703125" style="3" customWidth="1"/>
    <col min="10249" max="10249" width="10.5703125" style="3" customWidth="1"/>
    <col min="10250" max="10250" width="9.140625" style="3"/>
    <col min="10251" max="10251" width="33" style="3" customWidth="1"/>
    <col min="10252" max="10252" width="9.140625" style="3" customWidth="1"/>
    <col min="10253" max="10253" width="6.5703125" style="3" customWidth="1"/>
    <col min="10254" max="10254" width="12.28515625" style="3" customWidth="1"/>
    <col min="10255" max="10256" width="9.140625" style="3"/>
    <col min="10257" max="10257" width="17.28515625" style="3" customWidth="1"/>
    <col min="10258" max="10258" width="10.42578125" style="3" bestFit="1" customWidth="1"/>
    <col min="10259" max="10496" width="9.140625" style="3"/>
    <col min="10497" max="10497" width="4.42578125" style="3" customWidth="1"/>
    <col min="10498" max="10498" width="27" style="3" customWidth="1"/>
    <col min="10499" max="10499" width="10.42578125" style="3" customWidth="1"/>
    <col min="10500" max="10500" width="38.7109375" style="3" customWidth="1"/>
    <col min="10501" max="10501" width="5.28515625" style="3" customWidth="1"/>
    <col min="10502" max="10502" width="36" style="3" customWidth="1"/>
    <col min="10503" max="10503" width="10.7109375" style="3" customWidth="1"/>
    <col min="10504" max="10504" width="8.5703125" style="3" customWidth="1"/>
    <col min="10505" max="10505" width="10.5703125" style="3" customWidth="1"/>
    <col min="10506" max="10506" width="9.140625" style="3"/>
    <col min="10507" max="10507" width="33" style="3" customWidth="1"/>
    <col min="10508" max="10508" width="9.140625" style="3" customWidth="1"/>
    <col min="10509" max="10509" width="6.5703125" style="3" customWidth="1"/>
    <col min="10510" max="10510" width="12.28515625" style="3" customWidth="1"/>
    <col min="10511" max="10512" width="9.140625" style="3"/>
    <col min="10513" max="10513" width="17.28515625" style="3" customWidth="1"/>
    <col min="10514" max="10514" width="10.42578125" style="3" bestFit="1" customWidth="1"/>
    <col min="10515" max="10752" width="9.140625" style="3"/>
    <col min="10753" max="10753" width="4.42578125" style="3" customWidth="1"/>
    <col min="10754" max="10754" width="27" style="3" customWidth="1"/>
    <col min="10755" max="10755" width="10.42578125" style="3" customWidth="1"/>
    <col min="10756" max="10756" width="38.7109375" style="3" customWidth="1"/>
    <col min="10757" max="10757" width="5.28515625" style="3" customWidth="1"/>
    <col min="10758" max="10758" width="36" style="3" customWidth="1"/>
    <col min="10759" max="10759" width="10.7109375" style="3" customWidth="1"/>
    <col min="10760" max="10760" width="8.5703125" style="3" customWidth="1"/>
    <col min="10761" max="10761" width="10.5703125" style="3" customWidth="1"/>
    <col min="10762" max="10762" width="9.140625" style="3"/>
    <col min="10763" max="10763" width="33" style="3" customWidth="1"/>
    <col min="10764" max="10764" width="9.140625" style="3" customWidth="1"/>
    <col min="10765" max="10765" width="6.5703125" style="3" customWidth="1"/>
    <col min="10766" max="10766" width="12.28515625" style="3" customWidth="1"/>
    <col min="10767" max="10768" width="9.140625" style="3"/>
    <col min="10769" max="10769" width="17.28515625" style="3" customWidth="1"/>
    <col min="10770" max="10770" width="10.42578125" style="3" bestFit="1" customWidth="1"/>
    <col min="10771" max="11008" width="9.140625" style="3"/>
    <col min="11009" max="11009" width="4.42578125" style="3" customWidth="1"/>
    <col min="11010" max="11010" width="27" style="3" customWidth="1"/>
    <col min="11011" max="11011" width="10.42578125" style="3" customWidth="1"/>
    <col min="11012" max="11012" width="38.7109375" style="3" customWidth="1"/>
    <col min="11013" max="11013" width="5.28515625" style="3" customWidth="1"/>
    <col min="11014" max="11014" width="36" style="3" customWidth="1"/>
    <col min="11015" max="11015" width="10.7109375" style="3" customWidth="1"/>
    <col min="11016" max="11016" width="8.5703125" style="3" customWidth="1"/>
    <col min="11017" max="11017" width="10.5703125" style="3" customWidth="1"/>
    <col min="11018" max="11018" width="9.140625" style="3"/>
    <col min="11019" max="11019" width="33" style="3" customWidth="1"/>
    <col min="11020" max="11020" width="9.140625" style="3" customWidth="1"/>
    <col min="11021" max="11021" width="6.5703125" style="3" customWidth="1"/>
    <col min="11022" max="11022" width="12.28515625" style="3" customWidth="1"/>
    <col min="11023" max="11024" width="9.140625" style="3"/>
    <col min="11025" max="11025" width="17.28515625" style="3" customWidth="1"/>
    <col min="11026" max="11026" width="10.42578125" style="3" bestFit="1" customWidth="1"/>
    <col min="11027" max="11264" width="9.140625" style="3"/>
    <col min="11265" max="11265" width="4.42578125" style="3" customWidth="1"/>
    <col min="11266" max="11266" width="27" style="3" customWidth="1"/>
    <col min="11267" max="11267" width="10.42578125" style="3" customWidth="1"/>
    <col min="11268" max="11268" width="38.7109375" style="3" customWidth="1"/>
    <col min="11269" max="11269" width="5.28515625" style="3" customWidth="1"/>
    <col min="11270" max="11270" width="36" style="3" customWidth="1"/>
    <col min="11271" max="11271" width="10.7109375" style="3" customWidth="1"/>
    <col min="11272" max="11272" width="8.5703125" style="3" customWidth="1"/>
    <col min="11273" max="11273" width="10.5703125" style="3" customWidth="1"/>
    <col min="11274" max="11274" width="9.140625" style="3"/>
    <col min="11275" max="11275" width="33" style="3" customWidth="1"/>
    <col min="11276" max="11276" width="9.140625" style="3" customWidth="1"/>
    <col min="11277" max="11277" width="6.5703125" style="3" customWidth="1"/>
    <col min="11278" max="11278" width="12.28515625" style="3" customWidth="1"/>
    <col min="11279" max="11280" width="9.140625" style="3"/>
    <col min="11281" max="11281" width="17.28515625" style="3" customWidth="1"/>
    <col min="11282" max="11282" width="10.42578125" style="3" bestFit="1" customWidth="1"/>
    <col min="11283" max="11520" width="9.140625" style="3"/>
    <col min="11521" max="11521" width="4.42578125" style="3" customWidth="1"/>
    <col min="11522" max="11522" width="27" style="3" customWidth="1"/>
    <col min="11523" max="11523" width="10.42578125" style="3" customWidth="1"/>
    <col min="11524" max="11524" width="38.7109375" style="3" customWidth="1"/>
    <col min="11525" max="11525" width="5.28515625" style="3" customWidth="1"/>
    <col min="11526" max="11526" width="36" style="3" customWidth="1"/>
    <col min="11527" max="11527" width="10.7109375" style="3" customWidth="1"/>
    <col min="11528" max="11528" width="8.5703125" style="3" customWidth="1"/>
    <col min="11529" max="11529" width="10.5703125" style="3" customWidth="1"/>
    <col min="11530" max="11530" width="9.140625" style="3"/>
    <col min="11531" max="11531" width="33" style="3" customWidth="1"/>
    <col min="11532" max="11532" width="9.140625" style="3" customWidth="1"/>
    <col min="11533" max="11533" width="6.5703125" style="3" customWidth="1"/>
    <col min="11534" max="11534" width="12.28515625" style="3" customWidth="1"/>
    <col min="11535" max="11536" width="9.140625" style="3"/>
    <col min="11537" max="11537" width="17.28515625" style="3" customWidth="1"/>
    <col min="11538" max="11538" width="10.42578125" style="3" bestFit="1" customWidth="1"/>
    <col min="11539" max="11776" width="9.140625" style="3"/>
    <col min="11777" max="11777" width="4.42578125" style="3" customWidth="1"/>
    <col min="11778" max="11778" width="27" style="3" customWidth="1"/>
    <col min="11779" max="11779" width="10.42578125" style="3" customWidth="1"/>
    <col min="11780" max="11780" width="38.7109375" style="3" customWidth="1"/>
    <col min="11781" max="11781" width="5.28515625" style="3" customWidth="1"/>
    <col min="11782" max="11782" width="36" style="3" customWidth="1"/>
    <col min="11783" max="11783" width="10.7109375" style="3" customWidth="1"/>
    <col min="11784" max="11784" width="8.5703125" style="3" customWidth="1"/>
    <col min="11785" max="11785" width="10.5703125" style="3" customWidth="1"/>
    <col min="11786" max="11786" width="9.140625" style="3"/>
    <col min="11787" max="11787" width="33" style="3" customWidth="1"/>
    <col min="11788" max="11788" width="9.140625" style="3" customWidth="1"/>
    <col min="11789" max="11789" width="6.5703125" style="3" customWidth="1"/>
    <col min="11790" max="11790" width="12.28515625" style="3" customWidth="1"/>
    <col min="11791" max="11792" width="9.140625" style="3"/>
    <col min="11793" max="11793" width="17.28515625" style="3" customWidth="1"/>
    <col min="11794" max="11794" width="10.42578125" style="3" bestFit="1" customWidth="1"/>
    <col min="11795" max="12032" width="9.140625" style="3"/>
    <col min="12033" max="12033" width="4.42578125" style="3" customWidth="1"/>
    <col min="12034" max="12034" width="27" style="3" customWidth="1"/>
    <col min="12035" max="12035" width="10.42578125" style="3" customWidth="1"/>
    <col min="12036" max="12036" width="38.7109375" style="3" customWidth="1"/>
    <col min="12037" max="12037" width="5.28515625" style="3" customWidth="1"/>
    <col min="12038" max="12038" width="36" style="3" customWidth="1"/>
    <col min="12039" max="12039" width="10.7109375" style="3" customWidth="1"/>
    <col min="12040" max="12040" width="8.5703125" style="3" customWidth="1"/>
    <col min="12041" max="12041" width="10.5703125" style="3" customWidth="1"/>
    <col min="12042" max="12042" width="9.140625" style="3"/>
    <col min="12043" max="12043" width="33" style="3" customWidth="1"/>
    <col min="12044" max="12044" width="9.140625" style="3" customWidth="1"/>
    <col min="12045" max="12045" width="6.5703125" style="3" customWidth="1"/>
    <col min="12046" max="12046" width="12.28515625" style="3" customWidth="1"/>
    <col min="12047" max="12048" width="9.140625" style="3"/>
    <col min="12049" max="12049" width="17.28515625" style="3" customWidth="1"/>
    <col min="12050" max="12050" width="10.42578125" style="3" bestFit="1" customWidth="1"/>
    <col min="12051" max="12288" width="9.140625" style="3"/>
    <col min="12289" max="12289" width="4.42578125" style="3" customWidth="1"/>
    <col min="12290" max="12290" width="27" style="3" customWidth="1"/>
    <col min="12291" max="12291" width="10.42578125" style="3" customWidth="1"/>
    <col min="12292" max="12292" width="38.7109375" style="3" customWidth="1"/>
    <col min="12293" max="12293" width="5.28515625" style="3" customWidth="1"/>
    <col min="12294" max="12294" width="36" style="3" customWidth="1"/>
    <col min="12295" max="12295" width="10.7109375" style="3" customWidth="1"/>
    <col min="12296" max="12296" width="8.5703125" style="3" customWidth="1"/>
    <col min="12297" max="12297" width="10.5703125" style="3" customWidth="1"/>
    <col min="12298" max="12298" width="9.140625" style="3"/>
    <col min="12299" max="12299" width="33" style="3" customWidth="1"/>
    <col min="12300" max="12300" width="9.140625" style="3" customWidth="1"/>
    <col min="12301" max="12301" width="6.5703125" style="3" customWidth="1"/>
    <col min="12302" max="12302" width="12.28515625" style="3" customWidth="1"/>
    <col min="12303" max="12304" width="9.140625" style="3"/>
    <col min="12305" max="12305" width="17.28515625" style="3" customWidth="1"/>
    <col min="12306" max="12306" width="10.42578125" style="3" bestFit="1" customWidth="1"/>
    <col min="12307" max="12544" width="9.140625" style="3"/>
    <col min="12545" max="12545" width="4.42578125" style="3" customWidth="1"/>
    <col min="12546" max="12546" width="27" style="3" customWidth="1"/>
    <col min="12547" max="12547" width="10.42578125" style="3" customWidth="1"/>
    <col min="12548" max="12548" width="38.7109375" style="3" customWidth="1"/>
    <col min="12549" max="12549" width="5.28515625" style="3" customWidth="1"/>
    <col min="12550" max="12550" width="36" style="3" customWidth="1"/>
    <col min="12551" max="12551" width="10.7109375" style="3" customWidth="1"/>
    <col min="12552" max="12552" width="8.5703125" style="3" customWidth="1"/>
    <col min="12553" max="12553" width="10.5703125" style="3" customWidth="1"/>
    <col min="12554" max="12554" width="9.140625" style="3"/>
    <col min="12555" max="12555" width="33" style="3" customWidth="1"/>
    <col min="12556" max="12556" width="9.140625" style="3" customWidth="1"/>
    <col min="12557" max="12557" width="6.5703125" style="3" customWidth="1"/>
    <col min="12558" max="12558" width="12.28515625" style="3" customWidth="1"/>
    <col min="12559" max="12560" width="9.140625" style="3"/>
    <col min="12561" max="12561" width="17.28515625" style="3" customWidth="1"/>
    <col min="12562" max="12562" width="10.42578125" style="3" bestFit="1" customWidth="1"/>
    <col min="12563" max="12800" width="9.140625" style="3"/>
    <col min="12801" max="12801" width="4.42578125" style="3" customWidth="1"/>
    <col min="12802" max="12802" width="27" style="3" customWidth="1"/>
    <col min="12803" max="12803" width="10.42578125" style="3" customWidth="1"/>
    <col min="12804" max="12804" width="38.7109375" style="3" customWidth="1"/>
    <col min="12805" max="12805" width="5.28515625" style="3" customWidth="1"/>
    <col min="12806" max="12806" width="36" style="3" customWidth="1"/>
    <col min="12807" max="12807" width="10.7109375" style="3" customWidth="1"/>
    <col min="12808" max="12808" width="8.5703125" style="3" customWidth="1"/>
    <col min="12809" max="12809" width="10.5703125" style="3" customWidth="1"/>
    <col min="12810" max="12810" width="9.140625" style="3"/>
    <col min="12811" max="12811" width="33" style="3" customWidth="1"/>
    <col min="12812" max="12812" width="9.140625" style="3" customWidth="1"/>
    <col min="12813" max="12813" width="6.5703125" style="3" customWidth="1"/>
    <col min="12814" max="12814" width="12.28515625" style="3" customWidth="1"/>
    <col min="12815" max="12816" width="9.140625" style="3"/>
    <col min="12817" max="12817" width="17.28515625" style="3" customWidth="1"/>
    <col min="12818" max="12818" width="10.42578125" style="3" bestFit="1" customWidth="1"/>
    <col min="12819" max="13056" width="9.140625" style="3"/>
    <col min="13057" max="13057" width="4.42578125" style="3" customWidth="1"/>
    <col min="13058" max="13058" width="27" style="3" customWidth="1"/>
    <col min="13059" max="13059" width="10.42578125" style="3" customWidth="1"/>
    <col min="13060" max="13060" width="38.7109375" style="3" customWidth="1"/>
    <col min="13061" max="13061" width="5.28515625" style="3" customWidth="1"/>
    <col min="13062" max="13062" width="36" style="3" customWidth="1"/>
    <col min="13063" max="13063" width="10.7109375" style="3" customWidth="1"/>
    <col min="13064" max="13064" width="8.5703125" style="3" customWidth="1"/>
    <col min="13065" max="13065" width="10.5703125" style="3" customWidth="1"/>
    <col min="13066" max="13066" width="9.140625" style="3"/>
    <col min="13067" max="13067" width="33" style="3" customWidth="1"/>
    <col min="13068" max="13068" width="9.140625" style="3" customWidth="1"/>
    <col min="13069" max="13069" width="6.5703125" style="3" customWidth="1"/>
    <col min="13070" max="13070" width="12.28515625" style="3" customWidth="1"/>
    <col min="13071" max="13072" width="9.140625" style="3"/>
    <col min="13073" max="13073" width="17.28515625" style="3" customWidth="1"/>
    <col min="13074" max="13074" width="10.42578125" style="3" bestFit="1" customWidth="1"/>
    <col min="13075" max="13312" width="9.140625" style="3"/>
    <col min="13313" max="13313" width="4.42578125" style="3" customWidth="1"/>
    <col min="13314" max="13314" width="27" style="3" customWidth="1"/>
    <col min="13315" max="13315" width="10.42578125" style="3" customWidth="1"/>
    <col min="13316" max="13316" width="38.7109375" style="3" customWidth="1"/>
    <col min="13317" max="13317" width="5.28515625" style="3" customWidth="1"/>
    <col min="13318" max="13318" width="36" style="3" customWidth="1"/>
    <col min="13319" max="13319" width="10.7109375" style="3" customWidth="1"/>
    <col min="13320" max="13320" width="8.5703125" style="3" customWidth="1"/>
    <col min="13321" max="13321" width="10.5703125" style="3" customWidth="1"/>
    <col min="13322" max="13322" width="9.140625" style="3"/>
    <col min="13323" max="13323" width="33" style="3" customWidth="1"/>
    <col min="13324" max="13324" width="9.140625" style="3" customWidth="1"/>
    <col min="13325" max="13325" width="6.5703125" style="3" customWidth="1"/>
    <col min="13326" max="13326" width="12.28515625" style="3" customWidth="1"/>
    <col min="13327" max="13328" width="9.140625" style="3"/>
    <col min="13329" max="13329" width="17.28515625" style="3" customWidth="1"/>
    <col min="13330" max="13330" width="10.42578125" style="3" bestFit="1" customWidth="1"/>
    <col min="13331" max="13568" width="9.140625" style="3"/>
    <col min="13569" max="13569" width="4.42578125" style="3" customWidth="1"/>
    <col min="13570" max="13570" width="27" style="3" customWidth="1"/>
    <col min="13571" max="13571" width="10.42578125" style="3" customWidth="1"/>
    <col min="13572" max="13572" width="38.7109375" style="3" customWidth="1"/>
    <col min="13573" max="13573" width="5.28515625" style="3" customWidth="1"/>
    <col min="13574" max="13574" width="36" style="3" customWidth="1"/>
    <col min="13575" max="13575" width="10.7109375" style="3" customWidth="1"/>
    <col min="13576" max="13576" width="8.5703125" style="3" customWidth="1"/>
    <col min="13577" max="13577" width="10.5703125" style="3" customWidth="1"/>
    <col min="13578" max="13578" width="9.140625" style="3"/>
    <col min="13579" max="13579" width="33" style="3" customWidth="1"/>
    <col min="13580" max="13580" width="9.140625" style="3" customWidth="1"/>
    <col min="13581" max="13581" width="6.5703125" style="3" customWidth="1"/>
    <col min="13582" max="13582" width="12.28515625" style="3" customWidth="1"/>
    <col min="13583" max="13584" width="9.140625" style="3"/>
    <col min="13585" max="13585" width="17.28515625" style="3" customWidth="1"/>
    <col min="13586" max="13586" width="10.42578125" style="3" bestFit="1" customWidth="1"/>
    <col min="13587" max="13824" width="9.140625" style="3"/>
    <col min="13825" max="13825" width="4.42578125" style="3" customWidth="1"/>
    <col min="13826" max="13826" width="27" style="3" customWidth="1"/>
    <col min="13827" max="13827" width="10.42578125" style="3" customWidth="1"/>
    <col min="13828" max="13828" width="38.7109375" style="3" customWidth="1"/>
    <col min="13829" max="13829" width="5.28515625" style="3" customWidth="1"/>
    <col min="13830" max="13830" width="36" style="3" customWidth="1"/>
    <col min="13831" max="13831" width="10.7109375" style="3" customWidth="1"/>
    <col min="13832" max="13832" width="8.5703125" style="3" customWidth="1"/>
    <col min="13833" max="13833" width="10.5703125" style="3" customWidth="1"/>
    <col min="13834" max="13834" width="9.140625" style="3"/>
    <col min="13835" max="13835" width="33" style="3" customWidth="1"/>
    <col min="13836" max="13836" width="9.140625" style="3" customWidth="1"/>
    <col min="13837" max="13837" width="6.5703125" style="3" customWidth="1"/>
    <col min="13838" max="13838" width="12.28515625" style="3" customWidth="1"/>
    <col min="13839" max="13840" width="9.140625" style="3"/>
    <col min="13841" max="13841" width="17.28515625" style="3" customWidth="1"/>
    <col min="13842" max="13842" width="10.42578125" style="3" bestFit="1" customWidth="1"/>
    <col min="13843" max="14080" width="9.140625" style="3"/>
    <col min="14081" max="14081" width="4.42578125" style="3" customWidth="1"/>
    <col min="14082" max="14082" width="27" style="3" customWidth="1"/>
    <col min="14083" max="14083" width="10.42578125" style="3" customWidth="1"/>
    <col min="14084" max="14084" width="38.7109375" style="3" customWidth="1"/>
    <col min="14085" max="14085" width="5.28515625" style="3" customWidth="1"/>
    <col min="14086" max="14086" width="36" style="3" customWidth="1"/>
    <col min="14087" max="14087" width="10.7109375" style="3" customWidth="1"/>
    <col min="14088" max="14088" width="8.5703125" style="3" customWidth="1"/>
    <col min="14089" max="14089" width="10.5703125" style="3" customWidth="1"/>
    <col min="14090" max="14090" width="9.140625" style="3"/>
    <col min="14091" max="14091" width="33" style="3" customWidth="1"/>
    <col min="14092" max="14092" width="9.140625" style="3" customWidth="1"/>
    <col min="14093" max="14093" width="6.5703125" style="3" customWidth="1"/>
    <col min="14094" max="14094" width="12.28515625" style="3" customWidth="1"/>
    <col min="14095" max="14096" width="9.140625" style="3"/>
    <col min="14097" max="14097" width="17.28515625" style="3" customWidth="1"/>
    <col min="14098" max="14098" width="10.42578125" style="3" bestFit="1" customWidth="1"/>
    <col min="14099" max="14336" width="9.140625" style="3"/>
    <col min="14337" max="14337" width="4.42578125" style="3" customWidth="1"/>
    <col min="14338" max="14338" width="27" style="3" customWidth="1"/>
    <col min="14339" max="14339" width="10.42578125" style="3" customWidth="1"/>
    <col min="14340" max="14340" width="38.7109375" style="3" customWidth="1"/>
    <col min="14341" max="14341" width="5.28515625" style="3" customWidth="1"/>
    <col min="14342" max="14342" width="36" style="3" customWidth="1"/>
    <col min="14343" max="14343" width="10.7109375" style="3" customWidth="1"/>
    <col min="14344" max="14344" width="8.5703125" style="3" customWidth="1"/>
    <col min="14345" max="14345" width="10.5703125" style="3" customWidth="1"/>
    <col min="14346" max="14346" width="9.140625" style="3"/>
    <col min="14347" max="14347" width="33" style="3" customWidth="1"/>
    <col min="14348" max="14348" width="9.140625" style="3" customWidth="1"/>
    <col min="14349" max="14349" width="6.5703125" style="3" customWidth="1"/>
    <col min="14350" max="14350" width="12.28515625" style="3" customWidth="1"/>
    <col min="14351" max="14352" width="9.140625" style="3"/>
    <col min="14353" max="14353" width="17.28515625" style="3" customWidth="1"/>
    <col min="14354" max="14354" width="10.42578125" style="3" bestFit="1" customWidth="1"/>
    <col min="14355" max="14592" width="9.140625" style="3"/>
    <col min="14593" max="14593" width="4.42578125" style="3" customWidth="1"/>
    <col min="14594" max="14594" width="27" style="3" customWidth="1"/>
    <col min="14595" max="14595" width="10.42578125" style="3" customWidth="1"/>
    <col min="14596" max="14596" width="38.7109375" style="3" customWidth="1"/>
    <col min="14597" max="14597" width="5.28515625" style="3" customWidth="1"/>
    <col min="14598" max="14598" width="36" style="3" customWidth="1"/>
    <col min="14599" max="14599" width="10.7109375" style="3" customWidth="1"/>
    <col min="14600" max="14600" width="8.5703125" style="3" customWidth="1"/>
    <col min="14601" max="14601" width="10.5703125" style="3" customWidth="1"/>
    <col min="14602" max="14602" width="9.140625" style="3"/>
    <col min="14603" max="14603" width="33" style="3" customWidth="1"/>
    <col min="14604" max="14604" width="9.140625" style="3" customWidth="1"/>
    <col min="14605" max="14605" width="6.5703125" style="3" customWidth="1"/>
    <col min="14606" max="14606" width="12.28515625" style="3" customWidth="1"/>
    <col min="14607" max="14608" width="9.140625" style="3"/>
    <col min="14609" max="14609" width="17.28515625" style="3" customWidth="1"/>
    <col min="14610" max="14610" width="10.42578125" style="3" bestFit="1" customWidth="1"/>
    <col min="14611" max="14848" width="9.140625" style="3"/>
    <col min="14849" max="14849" width="4.42578125" style="3" customWidth="1"/>
    <col min="14850" max="14850" width="27" style="3" customWidth="1"/>
    <col min="14851" max="14851" width="10.42578125" style="3" customWidth="1"/>
    <col min="14852" max="14852" width="38.7109375" style="3" customWidth="1"/>
    <col min="14853" max="14853" width="5.28515625" style="3" customWidth="1"/>
    <col min="14854" max="14854" width="36" style="3" customWidth="1"/>
    <col min="14855" max="14855" width="10.7109375" style="3" customWidth="1"/>
    <col min="14856" max="14856" width="8.5703125" style="3" customWidth="1"/>
    <col min="14857" max="14857" width="10.5703125" style="3" customWidth="1"/>
    <col min="14858" max="14858" width="9.140625" style="3"/>
    <col min="14859" max="14859" width="33" style="3" customWidth="1"/>
    <col min="14860" max="14860" width="9.140625" style="3" customWidth="1"/>
    <col min="14861" max="14861" width="6.5703125" style="3" customWidth="1"/>
    <col min="14862" max="14862" width="12.28515625" style="3" customWidth="1"/>
    <col min="14863" max="14864" width="9.140625" style="3"/>
    <col min="14865" max="14865" width="17.28515625" style="3" customWidth="1"/>
    <col min="14866" max="14866" width="10.42578125" style="3" bestFit="1" customWidth="1"/>
    <col min="14867" max="15104" width="9.140625" style="3"/>
    <col min="15105" max="15105" width="4.42578125" style="3" customWidth="1"/>
    <col min="15106" max="15106" width="27" style="3" customWidth="1"/>
    <col min="15107" max="15107" width="10.42578125" style="3" customWidth="1"/>
    <col min="15108" max="15108" width="38.7109375" style="3" customWidth="1"/>
    <col min="15109" max="15109" width="5.28515625" style="3" customWidth="1"/>
    <col min="15110" max="15110" width="36" style="3" customWidth="1"/>
    <col min="15111" max="15111" width="10.7109375" style="3" customWidth="1"/>
    <col min="15112" max="15112" width="8.5703125" style="3" customWidth="1"/>
    <col min="15113" max="15113" width="10.5703125" style="3" customWidth="1"/>
    <col min="15114" max="15114" width="9.140625" style="3"/>
    <col min="15115" max="15115" width="33" style="3" customWidth="1"/>
    <col min="15116" max="15116" width="9.140625" style="3" customWidth="1"/>
    <col min="15117" max="15117" width="6.5703125" style="3" customWidth="1"/>
    <col min="15118" max="15118" width="12.28515625" style="3" customWidth="1"/>
    <col min="15119" max="15120" width="9.140625" style="3"/>
    <col min="15121" max="15121" width="17.28515625" style="3" customWidth="1"/>
    <col min="15122" max="15122" width="10.42578125" style="3" bestFit="1" customWidth="1"/>
    <col min="15123" max="15360" width="9.140625" style="3"/>
    <col min="15361" max="15361" width="4.42578125" style="3" customWidth="1"/>
    <col min="15362" max="15362" width="27" style="3" customWidth="1"/>
    <col min="15363" max="15363" width="10.42578125" style="3" customWidth="1"/>
    <col min="15364" max="15364" width="38.7109375" style="3" customWidth="1"/>
    <col min="15365" max="15365" width="5.28515625" style="3" customWidth="1"/>
    <col min="15366" max="15366" width="36" style="3" customWidth="1"/>
    <col min="15367" max="15367" width="10.7109375" style="3" customWidth="1"/>
    <col min="15368" max="15368" width="8.5703125" style="3" customWidth="1"/>
    <col min="15369" max="15369" width="10.5703125" style="3" customWidth="1"/>
    <col min="15370" max="15370" width="9.140625" style="3"/>
    <col min="15371" max="15371" width="33" style="3" customWidth="1"/>
    <col min="15372" max="15372" width="9.140625" style="3" customWidth="1"/>
    <col min="15373" max="15373" width="6.5703125" style="3" customWidth="1"/>
    <col min="15374" max="15374" width="12.28515625" style="3" customWidth="1"/>
    <col min="15375" max="15376" width="9.140625" style="3"/>
    <col min="15377" max="15377" width="17.28515625" style="3" customWidth="1"/>
    <col min="15378" max="15378" width="10.42578125" style="3" bestFit="1" customWidth="1"/>
    <col min="15379" max="15616" width="9.140625" style="3"/>
    <col min="15617" max="15617" width="4.42578125" style="3" customWidth="1"/>
    <col min="15618" max="15618" width="27" style="3" customWidth="1"/>
    <col min="15619" max="15619" width="10.42578125" style="3" customWidth="1"/>
    <col min="15620" max="15620" width="38.7109375" style="3" customWidth="1"/>
    <col min="15621" max="15621" width="5.28515625" style="3" customWidth="1"/>
    <col min="15622" max="15622" width="36" style="3" customWidth="1"/>
    <col min="15623" max="15623" width="10.7109375" style="3" customWidth="1"/>
    <col min="15624" max="15624" width="8.5703125" style="3" customWidth="1"/>
    <col min="15625" max="15625" width="10.5703125" style="3" customWidth="1"/>
    <col min="15626" max="15626" width="9.140625" style="3"/>
    <col min="15627" max="15627" width="33" style="3" customWidth="1"/>
    <col min="15628" max="15628" width="9.140625" style="3" customWidth="1"/>
    <col min="15629" max="15629" width="6.5703125" style="3" customWidth="1"/>
    <col min="15630" max="15630" width="12.28515625" style="3" customWidth="1"/>
    <col min="15631" max="15632" width="9.140625" style="3"/>
    <col min="15633" max="15633" width="17.28515625" style="3" customWidth="1"/>
    <col min="15634" max="15634" width="10.42578125" style="3" bestFit="1" customWidth="1"/>
    <col min="15635" max="15872" width="9.140625" style="3"/>
    <col min="15873" max="15873" width="4.42578125" style="3" customWidth="1"/>
    <col min="15874" max="15874" width="27" style="3" customWidth="1"/>
    <col min="15875" max="15875" width="10.42578125" style="3" customWidth="1"/>
    <col min="15876" max="15876" width="38.7109375" style="3" customWidth="1"/>
    <col min="15877" max="15877" width="5.28515625" style="3" customWidth="1"/>
    <col min="15878" max="15878" width="36" style="3" customWidth="1"/>
    <col min="15879" max="15879" width="10.7109375" style="3" customWidth="1"/>
    <col min="15880" max="15880" width="8.5703125" style="3" customWidth="1"/>
    <col min="15881" max="15881" width="10.5703125" style="3" customWidth="1"/>
    <col min="15882" max="15882" width="9.140625" style="3"/>
    <col min="15883" max="15883" width="33" style="3" customWidth="1"/>
    <col min="15884" max="15884" width="9.140625" style="3" customWidth="1"/>
    <col min="15885" max="15885" width="6.5703125" style="3" customWidth="1"/>
    <col min="15886" max="15886" width="12.28515625" style="3" customWidth="1"/>
    <col min="15887" max="15888" width="9.140625" style="3"/>
    <col min="15889" max="15889" width="17.28515625" style="3" customWidth="1"/>
    <col min="15890" max="15890" width="10.42578125" style="3" bestFit="1" customWidth="1"/>
    <col min="15891" max="16128" width="9.140625" style="3"/>
    <col min="16129" max="16129" width="4.42578125" style="3" customWidth="1"/>
    <col min="16130" max="16130" width="27" style="3" customWidth="1"/>
    <col min="16131" max="16131" width="10.42578125" style="3" customWidth="1"/>
    <col min="16132" max="16132" width="38.7109375" style="3" customWidth="1"/>
    <col min="16133" max="16133" width="5.28515625" style="3" customWidth="1"/>
    <col min="16134" max="16134" width="36" style="3" customWidth="1"/>
    <col min="16135" max="16135" width="10.7109375" style="3" customWidth="1"/>
    <col min="16136" max="16136" width="8.5703125" style="3" customWidth="1"/>
    <col min="16137" max="16137" width="10.5703125" style="3" customWidth="1"/>
    <col min="16138" max="16138" width="9.140625" style="3"/>
    <col min="16139" max="16139" width="33" style="3" customWidth="1"/>
    <col min="16140" max="16140" width="9.140625" style="3" customWidth="1"/>
    <col min="16141" max="16141" width="6.5703125" style="3" customWidth="1"/>
    <col min="16142" max="16142" width="12.28515625" style="3" customWidth="1"/>
    <col min="16143" max="16144" width="9.140625" style="3"/>
    <col min="16145" max="16145" width="17.28515625" style="3" customWidth="1"/>
    <col min="16146" max="16146" width="10.42578125" style="3" bestFit="1" customWidth="1"/>
    <col min="16147" max="16384" width="9.140625" style="3"/>
  </cols>
  <sheetData>
    <row r="2" spans="1:17">
      <c r="D2" s="3251" t="s">
        <v>730</v>
      </c>
      <c r="E2" s="3251"/>
      <c r="F2" s="3251"/>
    </row>
    <row r="3" spans="1:17" ht="13.5" thickBot="1">
      <c r="B3" s="52">
        <v>43633</v>
      </c>
    </row>
    <row r="4" spans="1:17" ht="15" customHeight="1" thickBot="1">
      <c r="B4" s="3124" t="s">
        <v>223</v>
      </c>
      <c r="C4" s="3125"/>
      <c r="D4" s="3126"/>
      <c r="E4" s="3"/>
      <c r="F4" s="3121" t="s">
        <v>224</v>
      </c>
      <c r="G4" s="3122"/>
      <c r="H4" s="3122"/>
      <c r="I4" s="3123"/>
      <c r="J4" s="3"/>
      <c r="K4" s="56" t="s">
        <v>225</v>
      </c>
      <c r="L4" s="57"/>
      <c r="M4" s="57"/>
      <c r="N4" s="58" t="s">
        <v>226</v>
      </c>
      <c r="O4" s="59"/>
      <c r="P4" s="59"/>
      <c r="Q4" s="59"/>
    </row>
    <row r="5" spans="1:17" ht="15" customHeight="1" thickBot="1">
      <c r="B5" s="60"/>
      <c r="C5" s="61" t="s">
        <v>227</v>
      </c>
      <c r="D5" s="62" t="s">
        <v>228</v>
      </c>
      <c r="E5" s="3"/>
      <c r="F5" s="1036" t="s">
        <v>229</v>
      </c>
      <c r="G5" s="125"/>
      <c r="H5" s="125"/>
      <c r="I5" s="63">
        <f>N15</f>
        <v>1144</v>
      </c>
      <c r="J5" s="3"/>
      <c r="K5" s="64" t="s">
        <v>230</v>
      </c>
      <c r="L5" s="65" t="s">
        <v>231</v>
      </c>
      <c r="M5" s="66" t="s">
        <v>232</v>
      </c>
      <c r="N5" s="67">
        <v>2080</v>
      </c>
      <c r="O5" s="59"/>
      <c r="P5" s="59"/>
      <c r="Q5" s="59"/>
    </row>
    <row r="6" spans="1:17" ht="15" customHeight="1">
      <c r="B6" s="68" t="s">
        <v>233</v>
      </c>
      <c r="C6" s="69">
        <f>47142.3136737089*(1+C17)</f>
        <v>48426.278050541601</v>
      </c>
      <c r="D6" s="70" t="s">
        <v>710</v>
      </c>
      <c r="E6" s="3"/>
      <c r="F6" s="71" t="s">
        <v>234</v>
      </c>
      <c r="G6" s="72" t="s">
        <v>209</v>
      </c>
      <c r="H6" s="73" t="s">
        <v>235</v>
      </c>
      <c r="I6" s="74" t="s">
        <v>210</v>
      </c>
      <c r="J6" s="3"/>
      <c r="K6" s="76" t="s">
        <v>236</v>
      </c>
      <c r="L6" s="77">
        <f>'[7]Orig Behavioral Model Masters'!D24</f>
        <v>40</v>
      </c>
      <c r="M6" s="78">
        <f>'[7]Orig Behavioral Model Masters'!C24</f>
        <v>3</v>
      </c>
      <c r="N6" s="79">
        <f>M6*L6</f>
        <v>120</v>
      </c>
      <c r="O6" s="59"/>
      <c r="P6" s="59"/>
      <c r="Q6" s="59"/>
    </row>
    <row r="7" spans="1:17" ht="15" customHeight="1">
      <c r="B7" s="80"/>
      <c r="C7" s="81"/>
      <c r="D7" s="82"/>
      <c r="E7" s="3"/>
      <c r="F7" s="83" t="str">
        <f>B6</f>
        <v>Behavioral Support - Bachelor's</v>
      </c>
      <c r="G7" s="1038">
        <f>C6</f>
        <v>48426.278050541601</v>
      </c>
      <c r="H7" s="85">
        <f>C8</f>
        <v>1</v>
      </c>
      <c r="I7" s="1039">
        <f>G7*H7</f>
        <v>48426.278050541601</v>
      </c>
      <c r="J7" s="3"/>
      <c r="K7" s="86" t="s">
        <v>237</v>
      </c>
      <c r="L7" s="77">
        <f>'[7]Orig Behavioral Model Masters'!D25</f>
        <v>40</v>
      </c>
      <c r="M7" s="87">
        <f>'[7]Orig Behavioral Model Masters'!C25</f>
        <v>2</v>
      </c>
      <c r="N7" s="79">
        <f>M7*L7</f>
        <v>80</v>
      </c>
      <c r="O7" s="59"/>
      <c r="P7" s="59"/>
      <c r="Q7" s="59"/>
    </row>
    <row r="8" spans="1:17" ht="15" customHeight="1">
      <c r="B8" s="68" t="s">
        <v>233</v>
      </c>
      <c r="C8" s="1533">
        <v>1</v>
      </c>
      <c r="D8" s="88" t="s">
        <v>238</v>
      </c>
      <c r="E8" s="3"/>
      <c r="F8" s="89"/>
      <c r="G8" s="90"/>
      <c r="H8" s="85"/>
      <c r="I8" s="91"/>
      <c r="J8" s="3"/>
      <c r="K8" s="92" t="s">
        <v>239</v>
      </c>
      <c r="L8" s="77">
        <v>40</v>
      </c>
      <c r="M8" s="93">
        <v>1</v>
      </c>
      <c r="N8" s="79">
        <f>M8*L8</f>
        <v>40</v>
      </c>
      <c r="O8" s="59"/>
      <c r="P8" s="59"/>
      <c r="Q8" s="59"/>
    </row>
    <row r="9" spans="1:17" ht="15" customHeight="1" thickBot="1">
      <c r="B9" s="1127" t="s">
        <v>240</v>
      </c>
      <c r="C9" s="1034"/>
      <c r="D9" s="94"/>
      <c r="E9" s="3"/>
      <c r="F9" s="95" t="s">
        <v>220</v>
      </c>
      <c r="G9" s="96">
        <f>C13</f>
        <v>0.22</v>
      </c>
      <c r="H9" s="97"/>
      <c r="I9" s="1040">
        <f>G9*I7</f>
        <v>10653.781171119152</v>
      </c>
      <c r="J9" s="3"/>
      <c r="K9" s="92" t="s">
        <v>241</v>
      </c>
      <c r="L9" s="77">
        <v>40</v>
      </c>
      <c r="M9" s="93">
        <f>'[7]Orig Behavioral Model Masters'!C25</f>
        <v>2</v>
      </c>
      <c r="N9" s="79">
        <f>M9*L9</f>
        <v>80</v>
      </c>
      <c r="O9" s="59"/>
      <c r="P9" s="59"/>
      <c r="Q9" s="59"/>
    </row>
    <row r="10" spans="1:17" ht="15" customHeight="1" thickTop="1" thickBot="1">
      <c r="B10" s="2210" t="s">
        <v>313</v>
      </c>
      <c r="C10" s="2212">
        <f>'Master Look Up'!F4</f>
        <v>5155.4902174195804</v>
      </c>
      <c r="D10" s="2213" t="s">
        <v>832</v>
      </c>
      <c r="E10" s="3"/>
      <c r="F10" s="101" t="s">
        <v>243</v>
      </c>
      <c r="G10" s="102"/>
      <c r="H10" s="102"/>
      <c r="I10" s="1041">
        <f>SUM(I7:I9)</f>
        <v>59080.059221660755</v>
      </c>
      <c r="J10" s="3"/>
      <c r="K10" s="104" t="s">
        <v>244</v>
      </c>
      <c r="L10" s="105">
        <v>6</v>
      </c>
      <c r="M10" s="106">
        <v>44</v>
      </c>
      <c r="N10" s="79">
        <f>M10*L10</f>
        <v>264</v>
      </c>
      <c r="O10" s="59"/>
      <c r="P10" s="59"/>
      <c r="Q10" s="59"/>
    </row>
    <row r="11" spans="1:17" ht="15" customHeight="1" thickTop="1" thickBot="1">
      <c r="B11" s="2210" t="s">
        <v>840</v>
      </c>
      <c r="C11" s="2211">
        <f>'Master Look Up'!F9</f>
        <v>596.88798545698035</v>
      </c>
      <c r="D11" s="2213" t="s">
        <v>832</v>
      </c>
      <c r="E11" s="3"/>
      <c r="F11" s="89" t="s">
        <v>313</v>
      </c>
      <c r="G11" s="90"/>
      <c r="H11" s="90"/>
      <c r="I11" s="2209">
        <f>C10</f>
        <v>5155.4902174195804</v>
      </c>
      <c r="J11" s="3"/>
      <c r="K11" s="107" t="s">
        <v>246</v>
      </c>
      <c r="L11" s="108">
        <v>8</v>
      </c>
      <c r="M11" s="109">
        <v>44</v>
      </c>
      <c r="N11" s="110">
        <f>L11*M11</f>
        <v>352</v>
      </c>
      <c r="O11" s="59"/>
      <c r="P11" s="59"/>
      <c r="Q11" s="59"/>
    </row>
    <row r="12" spans="1:17" ht="15" customHeight="1" thickBot="1">
      <c r="B12" s="2210"/>
      <c r="C12" s="125"/>
      <c r="D12" s="2213"/>
      <c r="E12" s="3"/>
      <c r="F12" s="89" t="s">
        <v>840</v>
      </c>
      <c r="G12" s="75"/>
      <c r="H12" s="90"/>
      <c r="I12" s="2209">
        <f>C11</f>
        <v>596.88798545698035</v>
      </c>
      <c r="J12" s="3"/>
      <c r="K12" s="111" t="s">
        <v>248</v>
      </c>
      <c r="L12" s="112"/>
      <c r="M12" s="113"/>
      <c r="N12" s="67">
        <f>SUM(N6:N11)</f>
        <v>936</v>
      </c>
      <c r="O12" s="59"/>
      <c r="P12" s="59"/>
      <c r="Q12" s="59"/>
    </row>
    <row r="13" spans="1:17" ht="15" customHeight="1">
      <c r="B13" s="99" t="s">
        <v>196</v>
      </c>
      <c r="C13" s="100">
        <v>0.22</v>
      </c>
      <c r="D13" s="70" t="s">
        <v>546</v>
      </c>
      <c r="E13" s="3"/>
      <c r="F13" s="1780"/>
      <c r="G13" s="125"/>
      <c r="H13" s="125"/>
      <c r="I13" s="2214"/>
      <c r="J13" s="3"/>
      <c r="K13" s="117" t="s">
        <v>250</v>
      </c>
      <c r="L13" s="118"/>
      <c r="M13" s="119"/>
      <c r="N13" s="120">
        <f>N5-N12</f>
        <v>1144</v>
      </c>
      <c r="O13" s="59"/>
      <c r="P13" s="59"/>
      <c r="Q13" s="59"/>
    </row>
    <row r="14" spans="1:17" ht="15" customHeight="1" thickBot="1">
      <c r="B14" s="89" t="s">
        <v>247</v>
      </c>
      <c r="C14" s="100">
        <v>0.11</v>
      </c>
      <c r="D14" s="70" t="s">
        <v>546</v>
      </c>
      <c r="E14" s="3"/>
      <c r="F14" s="114" t="s">
        <v>249</v>
      </c>
      <c r="G14" s="115"/>
      <c r="H14" s="115"/>
      <c r="I14" s="1043">
        <f>SUM(I10:I12)</f>
        <v>64832.437424537318</v>
      </c>
      <c r="J14" s="3"/>
      <c r="K14" s="121" t="s">
        <v>251</v>
      </c>
      <c r="L14" s="122"/>
      <c r="M14" s="123"/>
      <c r="N14" s="124">
        <f>C8</f>
        <v>1</v>
      </c>
      <c r="O14" s="59"/>
      <c r="P14" s="59"/>
      <c r="Q14" s="59"/>
    </row>
    <row r="15" spans="1:17" ht="15.75" customHeight="1" thickBot="1">
      <c r="B15" s="1531" t="s">
        <v>653</v>
      </c>
      <c r="C15" s="1534">
        <v>6.3E-3</v>
      </c>
      <c r="D15" s="1536" t="s">
        <v>860</v>
      </c>
      <c r="E15" s="3"/>
      <c r="F15" s="1541" t="str">
        <f>B15</f>
        <v>PFMLA</v>
      </c>
      <c r="G15" s="1498">
        <f>C15</f>
        <v>6.3E-3</v>
      </c>
      <c r="H15" s="1499"/>
      <c r="I15" s="1542">
        <f>I7*G15</f>
        <v>305.08555171841209</v>
      </c>
      <c r="J15" s="3"/>
      <c r="K15" s="111" t="s">
        <v>252</v>
      </c>
      <c r="L15" s="112"/>
      <c r="M15" s="113"/>
      <c r="N15" s="67">
        <f>N14*N13</f>
        <v>1144</v>
      </c>
    </row>
    <row r="16" spans="1:17" ht="15" customHeight="1">
      <c r="A16" s="125"/>
      <c r="B16" s="1532" t="s">
        <v>651</v>
      </c>
      <c r="C16" s="1535">
        <f>'Spring 2019 CAF'!BU25</f>
        <v>1.8120393120392975E-2</v>
      </c>
      <c r="D16" s="1537" t="s">
        <v>652</v>
      </c>
      <c r="E16" s="3"/>
      <c r="F16" s="89" t="s">
        <v>247</v>
      </c>
      <c r="G16" s="75">
        <f>C14</f>
        <v>0.11</v>
      </c>
      <c r="H16" s="90"/>
      <c r="I16" s="1042">
        <f>G16*I14</f>
        <v>7131.5681166991053</v>
      </c>
      <c r="J16" s="3"/>
      <c r="K16" s="126"/>
      <c r="L16" s="129"/>
      <c r="M16" s="130"/>
      <c r="N16" s="131"/>
    </row>
    <row r="17" spans="1:19" ht="15" customHeight="1" thickBot="1">
      <c r="A17" s="125"/>
      <c r="B17" s="1538" t="s">
        <v>537</v>
      </c>
      <c r="C17" s="1539">
        <f>'CAF Spring17'!BK27</f>
        <v>2.7235921972764018E-2</v>
      </c>
      <c r="D17" s="1540" t="s">
        <v>539</v>
      </c>
      <c r="E17" s="3"/>
      <c r="F17" s="101" t="s">
        <v>203</v>
      </c>
      <c r="G17" s="102"/>
      <c r="H17" s="102"/>
      <c r="I17" s="1041">
        <f>SUM(I14:I16)</f>
        <v>72269.091092954826</v>
      </c>
      <c r="J17" s="3"/>
      <c r="K17" s="135"/>
      <c r="L17" s="135"/>
      <c r="M17" s="135"/>
      <c r="N17" s="135"/>
      <c r="R17" s="136"/>
    </row>
    <row r="18" spans="1:19" ht="15" customHeight="1">
      <c r="A18" s="125"/>
      <c r="E18" s="3"/>
      <c r="F18" s="89"/>
      <c r="G18" s="133"/>
      <c r="H18" s="1"/>
      <c r="I18" s="134"/>
      <c r="J18" s="3"/>
      <c r="K18" s="135"/>
      <c r="L18" s="135"/>
      <c r="M18" s="135"/>
      <c r="N18" s="135"/>
      <c r="R18" s="136"/>
    </row>
    <row r="19" spans="1:19" ht="15" customHeight="1">
      <c r="A19" s="125"/>
      <c r="E19" s="3"/>
      <c r="F19" s="137" t="s">
        <v>205</v>
      </c>
      <c r="G19" s="138">
        <f>C16</f>
        <v>1.8120393120392975E-2</v>
      </c>
      <c r="H19" s="139"/>
      <c r="I19" s="1039">
        <f>I17*(1+G19)</f>
        <v>73578.635434012656</v>
      </c>
      <c r="J19" s="3"/>
      <c r="K19" s="135"/>
      <c r="L19" s="135"/>
      <c r="M19" s="135"/>
      <c r="N19" s="135"/>
      <c r="R19" s="136"/>
    </row>
    <row r="20" spans="1:19" ht="15" customHeight="1" thickBot="1">
      <c r="A20" s="125"/>
      <c r="B20" s="126"/>
      <c r="C20" s="127"/>
      <c r="D20" s="128"/>
      <c r="E20" s="3"/>
      <c r="F20" s="141" t="s">
        <v>301</v>
      </c>
      <c r="G20" s="142"/>
      <c r="H20" s="143"/>
      <c r="I20" s="1044">
        <f>I19/I5</f>
        <v>64.316989015745335</v>
      </c>
      <c r="J20" s="3"/>
      <c r="K20" s="135"/>
      <c r="L20" s="135"/>
      <c r="M20" s="135"/>
      <c r="N20" s="135"/>
      <c r="P20" s="144"/>
      <c r="Q20" s="145"/>
      <c r="R20" s="146"/>
    </row>
    <row r="21" spans="1:19" ht="15" customHeight="1" thickBot="1">
      <c r="A21" s="125"/>
      <c r="B21" s="126"/>
      <c r="C21" s="127"/>
      <c r="D21" s="132"/>
      <c r="E21" s="3"/>
      <c r="F21" s="151" t="s">
        <v>257</v>
      </c>
      <c r="G21" s="152"/>
      <c r="H21" s="153"/>
      <c r="I21" s="336">
        <f>I20*0.25</f>
        <v>16.079247253936334</v>
      </c>
      <c r="J21" s="3"/>
      <c r="K21" s="147"/>
      <c r="L21" s="147"/>
      <c r="M21" s="147"/>
      <c r="N21" s="147"/>
      <c r="P21" s="148"/>
      <c r="Q21" s="149"/>
      <c r="R21" s="149"/>
      <c r="S21" s="150"/>
    </row>
    <row r="22" spans="1:19" ht="15" customHeight="1">
      <c r="A22" s="125"/>
      <c r="B22" s="126"/>
      <c r="C22" s="127"/>
      <c r="D22" s="132"/>
      <c r="E22" s="3"/>
      <c r="F22" s="1128"/>
      <c r="G22" s="3250"/>
      <c r="H22" s="3250"/>
      <c r="I22" s="1130"/>
      <c r="J22" s="1530"/>
      <c r="K22" s="147"/>
      <c r="L22" s="147"/>
      <c r="M22" s="147"/>
      <c r="N22" s="147"/>
      <c r="P22" s="148"/>
      <c r="Q22" s="149"/>
      <c r="R22" s="149"/>
      <c r="S22" s="150"/>
    </row>
    <row r="23" spans="1:19" ht="15" customHeight="1" thickBot="1">
      <c r="E23" s="3"/>
      <c r="J23" s="1530"/>
      <c r="K23" s="159"/>
      <c r="L23" s="160"/>
      <c r="M23" s="160"/>
      <c r="N23" s="161"/>
    </row>
    <row r="24" spans="1:19" ht="15" customHeight="1" thickBot="1">
      <c r="B24" s="3252" t="s">
        <v>223</v>
      </c>
      <c r="C24" s="3253"/>
      <c r="D24" s="3254"/>
      <c r="E24" s="75"/>
      <c r="F24" s="3258" t="s">
        <v>560</v>
      </c>
      <c r="G24" s="3259"/>
      <c r="H24" s="3259"/>
      <c r="I24" s="3260"/>
      <c r="J24" s="1530"/>
      <c r="K24" s="162" t="s">
        <v>225</v>
      </c>
      <c r="L24" s="163"/>
      <c r="M24" s="163"/>
      <c r="N24" s="164" t="s">
        <v>226</v>
      </c>
    </row>
    <row r="25" spans="1:19" ht="15" customHeight="1" thickBot="1">
      <c r="B25" s="60"/>
      <c r="C25" s="61" t="s">
        <v>227</v>
      </c>
      <c r="D25" s="62" t="s">
        <v>228</v>
      </c>
      <c r="E25" s="75"/>
      <c r="F25" s="1036" t="s">
        <v>229</v>
      </c>
      <c r="G25" s="75"/>
      <c r="H25" s="75"/>
      <c r="I25" s="63">
        <f>N35</f>
        <v>968</v>
      </c>
      <c r="J25" s="1530"/>
      <c r="K25" s="64" t="s">
        <v>230</v>
      </c>
      <c r="L25" s="65" t="s">
        <v>231</v>
      </c>
      <c r="M25" s="66" t="s">
        <v>232</v>
      </c>
      <c r="N25" s="67">
        <v>2080</v>
      </c>
    </row>
    <row r="26" spans="1:19" ht="15" customHeight="1">
      <c r="B26" s="68" t="s">
        <v>255</v>
      </c>
      <c r="C26" s="69">
        <f>59912.8121981123*(1+C17)</f>
        <v>61544.592876308947</v>
      </c>
      <c r="D26" s="70" t="s">
        <v>538</v>
      </c>
      <c r="E26" s="75"/>
      <c r="F26" s="71" t="s">
        <v>234</v>
      </c>
      <c r="G26" s="72" t="s">
        <v>209</v>
      </c>
      <c r="H26" s="73" t="s">
        <v>235</v>
      </c>
      <c r="I26" s="74" t="s">
        <v>210</v>
      </c>
      <c r="J26" s="1530"/>
      <c r="K26" s="76" t="s">
        <v>236</v>
      </c>
      <c r="L26" s="77">
        <f>'[7]Orig Behavioral Model Masters'!D24</f>
        <v>40</v>
      </c>
      <c r="M26" s="78">
        <f>'[7]Orig Behavioral Model Masters'!C24</f>
        <v>3</v>
      </c>
      <c r="N26" s="79">
        <f t="shared" ref="N26:N31" si="0">M26*L26</f>
        <v>120</v>
      </c>
    </row>
    <row r="27" spans="1:19" ht="15" customHeight="1">
      <c r="B27" s="80"/>
      <c r="C27" s="81"/>
      <c r="D27" s="82"/>
      <c r="E27" s="75"/>
      <c r="F27" s="83" t="str">
        <f>B26</f>
        <v>Behavioral Support - Master's</v>
      </c>
      <c r="G27" s="84">
        <f>C26</f>
        <v>61544.592876308947</v>
      </c>
      <c r="H27" s="85">
        <f>C28</f>
        <v>1</v>
      </c>
      <c r="I27" s="63">
        <f>G27*H27</f>
        <v>61544.592876308947</v>
      </c>
      <c r="J27" s="1530"/>
      <c r="K27" s="86" t="s">
        <v>237</v>
      </c>
      <c r="L27" s="77">
        <f>'[7]Orig Behavioral Model Masters'!D25</f>
        <v>40</v>
      </c>
      <c r="M27" s="87">
        <f>'[7]Orig Behavioral Model Masters'!C25</f>
        <v>2</v>
      </c>
      <c r="N27" s="79">
        <f t="shared" si="0"/>
        <v>80</v>
      </c>
    </row>
    <row r="28" spans="1:19" ht="15" customHeight="1">
      <c r="B28" s="68" t="s">
        <v>255</v>
      </c>
      <c r="C28" s="1533">
        <v>1</v>
      </c>
      <c r="D28" s="88" t="s">
        <v>238</v>
      </c>
      <c r="E28" s="75"/>
      <c r="F28" s="89"/>
      <c r="G28" s="90"/>
      <c r="H28" s="85"/>
      <c r="I28" s="91"/>
      <c r="J28" s="1530"/>
      <c r="K28" s="92" t="s">
        <v>239</v>
      </c>
      <c r="L28" s="77">
        <f>'[7]Orig Behavioral Model Masters'!E27</f>
        <v>40</v>
      </c>
      <c r="M28" s="93">
        <v>1</v>
      </c>
      <c r="N28" s="79">
        <f t="shared" si="0"/>
        <v>40</v>
      </c>
    </row>
    <row r="29" spans="1:19" ht="15" customHeight="1" thickBot="1">
      <c r="B29" s="1127" t="s">
        <v>240</v>
      </c>
      <c r="C29" s="1034"/>
      <c r="D29" s="94"/>
      <c r="E29" s="75"/>
      <c r="F29" s="95" t="s">
        <v>220</v>
      </c>
      <c r="G29" s="96">
        <f>C33</f>
        <v>0.22</v>
      </c>
      <c r="H29" s="97"/>
      <c r="I29" s="98">
        <f>G29*I27</f>
        <v>13539.810432787968</v>
      </c>
      <c r="J29" s="1530"/>
      <c r="K29" s="92" t="s">
        <v>241</v>
      </c>
      <c r="L29" s="77">
        <f>'[7]Orig Behavioral Model Masters'!E27</f>
        <v>40</v>
      </c>
      <c r="M29" s="93">
        <f>M9</f>
        <v>2</v>
      </c>
      <c r="N29" s="79">
        <f t="shared" si="0"/>
        <v>80</v>
      </c>
    </row>
    <row r="30" spans="1:19" ht="15" customHeight="1" thickTop="1" thickBot="1">
      <c r="B30" s="2210" t="s">
        <v>313</v>
      </c>
      <c r="C30" s="2212">
        <f>C10</f>
        <v>5155.4902174195804</v>
      </c>
      <c r="D30" s="2213" t="s">
        <v>832</v>
      </c>
      <c r="E30" s="75"/>
      <c r="F30" s="101" t="s">
        <v>243</v>
      </c>
      <c r="G30" s="102"/>
      <c r="H30" s="102"/>
      <c r="I30" s="103">
        <f>SUM(I27:I29)</f>
        <v>75084.403309096917</v>
      </c>
      <c r="J30" s="1530"/>
      <c r="K30" s="104" t="s">
        <v>244</v>
      </c>
      <c r="L30" s="77">
        <v>8</v>
      </c>
      <c r="M30" s="106">
        <v>44</v>
      </c>
      <c r="N30" s="79">
        <f t="shared" si="0"/>
        <v>352</v>
      </c>
    </row>
    <row r="31" spans="1:19" ht="15" customHeight="1" thickTop="1" thickBot="1">
      <c r="B31" s="2210" t="s">
        <v>840</v>
      </c>
      <c r="C31" s="2212">
        <f>C11</f>
        <v>596.88798545698035</v>
      </c>
      <c r="D31" s="2213" t="s">
        <v>832</v>
      </c>
      <c r="E31" s="75"/>
      <c r="F31" s="89" t="s">
        <v>313</v>
      </c>
      <c r="G31" s="90"/>
      <c r="H31" s="90"/>
      <c r="I31" s="2209">
        <f>(G27/G7)*C30</f>
        <v>6552.0737765088879</v>
      </c>
      <c r="J31" s="1530"/>
      <c r="K31" s="107" t="s">
        <v>246</v>
      </c>
      <c r="L31" s="108">
        <v>10</v>
      </c>
      <c r="M31" s="109">
        <v>44</v>
      </c>
      <c r="N31" s="79">
        <f t="shared" si="0"/>
        <v>440</v>
      </c>
    </row>
    <row r="32" spans="1:19" ht="15" customHeight="1" thickBot="1">
      <c r="B32" s="2210"/>
      <c r="C32" s="125"/>
      <c r="D32" s="2213"/>
      <c r="E32" s="75"/>
      <c r="F32" s="89" t="s">
        <v>840</v>
      </c>
      <c r="G32" s="75"/>
      <c r="H32" s="90"/>
      <c r="I32" s="2209">
        <f>(G27/G7)*C31</f>
        <v>758.58045541658601</v>
      </c>
      <c r="J32" s="2208"/>
      <c r="K32" s="111" t="s">
        <v>248</v>
      </c>
      <c r="L32" s="112"/>
      <c r="M32" s="113"/>
      <c r="N32" s="67">
        <f>SUM(N26:N31)</f>
        <v>1112</v>
      </c>
    </row>
    <row r="33" spans="2:14" ht="15" customHeight="1">
      <c r="B33" s="99" t="s">
        <v>196</v>
      </c>
      <c r="C33" s="100">
        <v>0.22</v>
      </c>
      <c r="D33" s="70" t="s">
        <v>546</v>
      </c>
      <c r="E33" s="75"/>
      <c r="F33" s="1780"/>
      <c r="G33" s="125"/>
      <c r="H33" s="125"/>
      <c r="I33" s="2214"/>
      <c r="J33" s="1530"/>
      <c r="K33" s="117" t="s">
        <v>250</v>
      </c>
      <c r="L33" s="118"/>
      <c r="M33" s="119"/>
      <c r="N33" s="120">
        <f>N25-N32</f>
        <v>968</v>
      </c>
    </row>
    <row r="34" spans="2:14" ht="15" customHeight="1" thickBot="1">
      <c r="B34" s="165" t="s">
        <v>247</v>
      </c>
      <c r="C34" s="2078">
        <v>0.11</v>
      </c>
      <c r="D34" s="82" t="s">
        <v>546</v>
      </c>
      <c r="E34" s="75"/>
      <c r="F34" s="114" t="s">
        <v>249</v>
      </c>
      <c r="G34" s="115"/>
      <c r="H34" s="115"/>
      <c r="I34" s="116">
        <f>SUM(I30:I32)</f>
        <v>82395.057541022383</v>
      </c>
      <c r="J34" s="1530"/>
      <c r="K34" s="121" t="s">
        <v>251</v>
      </c>
      <c r="L34" s="122"/>
      <c r="M34" s="123"/>
      <c r="N34" s="124">
        <f>C28</f>
        <v>1</v>
      </c>
    </row>
    <row r="35" spans="2:14" ht="15" customHeight="1" thickBot="1">
      <c r="B35" s="1531" t="s">
        <v>653</v>
      </c>
      <c r="C35" s="1534">
        <v>6.3E-3</v>
      </c>
      <c r="D35" s="1536" t="s">
        <v>860</v>
      </c>
      <c r="E35" s="75"/>
      <c r="F35" s="1541" t="str">
        <f>B35</f>
        <v>PFMLA</v>
      </c>
      <c r="G35" s="1498">
        <f>C35</f>
        <v>6.3E-3</v>
      </c>
      <c r="H35" s="1499"/>
      <c r="I35" s="1542">
        <f>G35*I27</f>
        <v>387.73093512074638</v>
      </c>
      <c r="J35" s="1530"/>
      <c r="K35" s="111" t="s">
        <v>252</v>
      </c>
      <c r="L35" s="112"/>
      <c r="M35" s="113"/>
      <c r="N35" s="67">
        <f>N33*N34</f>
        <v>968</v>
      </c>
    </row>
    <row r="36" spans="2:14" ht="15" customHeight="1">
      <c r="B36" s="1532" t="s">
        <v>651</v>
      </c>
      <c r="C36" s="1535">
        <f>C16</f>
        <v>1.8120393120392975E-2</v>
      </c>
      <c r="D36" s="1537" t="s">
        <v>652</v>
      </c>
      <c r="E36" s="75"/>
      <c r="F36" s="89" t="s">
        <v>247</v>
      </c>
      <c r="G36" s="75">
        <f>C34</f>
        <v>0.11</v>
      </c>
      <c r="H36" s="90"/>
      <c r="I36" s="91">
        <f>G36*I34</f>
        <v>9063.4563295124626</v>
      </c>
      <c r="J36" s="1530"/>
      <c r="K36" s="126"/>
      <c r="L36" s="129"/>
      <c r="M36" s="130"/>
      <c r="N36" s="131"/>
    </row>
    <row r="37" spans="2:14" ht="15" customHeight="1" thickBot="1">
      <c r="B37" s="1538" t="s">
        <v>537</v>
      </c>
      <c r="C37" s="1539">
        <f>C17</f>
        <v>2.7235921972764018E-2</v>
      </c>
      <c r="D37" s="1540" t="s">
        <v>539</v>
      </c>
      <c r="E37" s="75"/>
      <c r="F37" s="101" t="s">
        <v>203</v>
      </c>
      <c r="G37" s="102"/>
      <c r="H37" s="102"/>
      <c r="I37" s="103">
        <f>SUM(I34:I36)</f>
        <v>91846.244805655602</v>
      </c>
      <c r="J37" s="1530"/>
      <c r="K37" s="126"/>
      <c r="L37" s="130"/>
      <c r="M37" s="130"/>
      <c r="N37" s="131"/>
    </row>
    <row r="38" spans="2:14" ht="15" customHeight="1">
      <c r="E38" s="75"/>
      <c r="F38" s="1780"/>
      <c r="G38" s="125"/>
      <c r="H38" s="125"/>
      <c r="I38" s="2214"/>
      <c r="J38" s="1530"/>
      <c r="K38" s="126"/>
      <c r="L38" s="130"/>
      <c r="M38" s="130"/>
      <c r="N38" s="131"/>
    </row>
    <row r="39" spans="2:14" ht="15" customHeight="1" thickBot="1">
      <c r="B39" s="1131"/>
      <c r="C39" s="1130"/>
      <c r="E39" s="75"/>
      <c r="F39" s="137" t="s">
        <v>182</v>
      </c>
      <c r="G39" s="138">
        <f>C36</f>
        <v>1.8120393120392975E-2</v>
      </c>
      <c r="H39" s="139"/>
      <c r="I39" s="63">
        <f>(G39*I37)+I37</f>
        <v>93510.534868165938</v>
      </c>
      <c r="J39" s="1530"/>
      <c r="K39" s="126"/>
      <c r="L39" s="130"/>
      <c r="M39" s="130"/>
      <c r="N39" s="131"/>
    </row>
    <row r="40" spans="2:14" ht="15" customHeight="1" thickBot="1">
      <c r="E40" s="75"/>
      <c r="F40" s="154" t="s">
        <v>301</v>
      </c>
      <c r="G40" s="155"/>
      <c r="H40" s="156"/>
      <c r="I40" s="1044">
        <f>I39/I25+0.03</f>
        <v>96.631792219179687</v>
      </c>
      <c r="J40" s="1530"/>
      <c r="K40" s="126"/>
      <c r="L40" s="130"/>
      <c r="M40" s="130"/>
      <c r="N40" s="131"/>
    </row>
    <row r="41" spans="2:14" ht="16.5" customHeight="1" thickBot="1">
      <c r="E41" s="75"/>
      <c r="F41" s="151" t="s">
        <v>257</v>
      </c>
      <c r="G41" s="152"/>
      <c r="H41" s="153"/>
      <c r="I41" s="336">
        <f>I40/4</f>
        <v>24.157948054794922</v>
      </c>
      <c r="J41" s="1530"/>
      <c r="K41" s="167"/>
      <c r="L41" s="130"/>
      <c r="M41" s="130"/>
      <c r="N41" s="131"/>
    </row>
    <row r="42" spans="2:14" ht="15" customHeight="1">
      <c r="E42" s="75"/>
      <c r="F42" s="1128"/>
      <c r="G42" s="3250"/>
      <c r="H42" s="3250"/>
      <c r="I42" s="1130"/>
      <c r="J42" s="1530"/>
      <c r="K42" s="126"/>
      <c r="L42" s="130"/>
      <c r="M42" s="130"/>
      <c r="N42" s="131"/>
    </row>
    <row r="43" spans="2:14" ht="15" customHeight="1" thickBot="1">
      <c r="E43" s="75"/>
      <c r="F43" s="1128"/>
      <c r="G43" s="1128"/>
      <c r="H43" s="1129"/>
      <c r="I43" s="1130"/>
      <c r="J43" s="1530"/>
      <c r="K43" s="126"/>
      <c r="L43" s="130"/>
      <c r="M43" s="130"/>
      <c r="N43" s="131"/>
    </row>
    <row r="44" spans="2:14" ht="14.25" customHeight="1" thickBot="1">
      <c r="B44" s="3255" t="s">
        <v>223</v>
      </c>
      <c r="C44" s="3256"/>
      <c r="D44" s="3257"/>
      <c r="F44" s="3261" t="s">
        <v>258</v>
      </c>
      <c r="G44" s="3262"/>
      <c r="H44" s="3262"/>
      <c r="I44" s="3263"/>
      <c r="J44" s="1530"/>
      <c r="K44" s="168" t="s">
        <v>225</v>
      </c>
      <c r="L44" s="169"/>
      <c r="M44" s="169"/>
      <c r="N44" s="170" t="s">
        <v>259</v>
      </c>
    </row>
    <row r="45" spans="2:14" ht="16.5" customHeight="1" thickBot="1">
      <c r="B45" s="60"/>
      <c r="C45" s="61" t="s">
        <v>227</v>
      </c>
      <c r="D45" s="62" t="s">
        <v>228</v>
      </c>
      <c r="F45" s="1036" t="s">
        <v>229</v>
      </c>
      <c r="G45" s="2215"/>
      <c r="H45" s="2215"/>
      <c r="I45" s="63">
        <f>N55</f>
        <v>948</v>
      </c>
      <c r="J45" s="1530"/>
      <c r="K45" s="64" t="s">
        <v>230</v>
      </c>
      <c r="L45" s="65" t="s">
        <v>231</v>
      </c>
      <c r="M45" s="66" t="s">
        <v>232</v>
      </c>
      <c r="N45" s="67">
        <v>2080</v>
      </c>
    </row>
    <row r="46" spans="2:14">
      <c r="B46" s="68" t="s">
        <v>260</v>
      </c>
      <c r="C46" s="69">
        <f>83939.2142343322*(1+C57)</f>
        <v>86225.376123673603</v>
      </c>
      <c r="D46" s="70" t="s">
        <v>538</v>
      </c>
      <c r="F46" s="71" t="s">
        <v>234</v>
      </c>
      <c r="G46" s="72" t="s">
        <v>209</v>
      </c>
      <c r="H46" s="73" t="s">
        <v>235</v>
      </c>
      <c r="I46" s="74" t="s">
        <v>210</v>
      </c>
      <c r="J46" s="1530"/>
      <c r="K46" s="76" t="s">
        <v>236</v>
      </c>
      <c r="L46" s="77">
        <v>40</v>
      </c>
      <c r="M46" s="78">
        <v>3</v>
      </c>
      <c r="N46" s="79">
        <f t="shared" ref="N46:N51" si="1">L46*M46</f>
        <v>120</v>
      </c>
    </row>
    <row r="47" spans="2:14">
      <c r="B47" s="80"/>
      <c r="C47" s="81"/>
      <c r="D47" s="82"/>
      <c r="F47" s="83" t="str">
        <f>B46</f>
        <v>Behavioral Support - Doctorate</v>
      </c>
      <c r="G47" s="84">
        <f>C46</f>
        <v>86225.376123673603</v>
      </c>
      <c r="H47" s="85">
        <f>C48</f>
        <v>1</v>
      </c>
      <c r="I47" s="63">
        <f>H47*G47</f>
        <v>86225.376123673603</v>
      </c>
      <c r="J47" s="1530"/>
      <c r="K47" s="86" t="s">
        <v>237</v>
      </c>
      <c r="L47" s="77">
        <v>40</v>
      </c>
      <c r="M47" s="87">
        <v>2</v>
      </c>
      <c r="N47" s="79">
        <f t="shared" si="1"/>
        <v>80</v>
      </c>
    </row>
    <row r="48" spans="2:14">
      <c r="B48" s="68" t="str">
        <f>B46</f>
        <v>Behavioral Support - Doctorate</v>
      </c>
      <c r="C48" s="1533">
        <v>1</v>
      </c>
      <c r="D48" s="88" t="s">
        <v>238</v>
      </c>
      <c r="F48" s="89"/>
      <c r="G48" s="90"/>
      <c r="H48" s="85"/>
      <c r="I48" s="91"/>
      <c r="J48" s="1530"/>
      <c r="K48" s="92" t="s">
        <v>239</v>
      </c>
      <c r="L48" s="77">
        <v>40</v>
      </c>
      <c r="M48" s="93">
        <v>1.5</v>
      </c>
      <c r="N48" s="79">
        <f t="shared" si="1"/>
        <v>60</v>
      </c>
    </row>
    <row r="49" spans="2:14" ht="14.25" customHeight="1" thickBot="1">
      <c r="B49" s="1127" t="s">
        <v>240</v>
      </c>
      <c r="C49" s="1034"/>
      <c r="D49" s="94"/>
      <c r="F49" s="95" t="s">
        <v>220</v>
      </c>
      <c r="G49" s="96">
        <f>C53</f>
        <v>0.22</v>
      </c>
      <c r="H49" s="97"/>
      <c r="I49" s="98">
        <f>G49*I47</f>
        <v>18969.582747208191</v>
      </c>
      <c r="J49" s="1530"/>
      <c r="K49" s="92" t="s">
        <v>241</v>
      </c>
      <c r="L49" s="77">
        <v>40</v>
      </c>
      <c r="M49" s="93">
        <v>2</v>
      </c>
      <c r="N49" s="79">
        <f t="shared" si="1"/>
        <v>80</v>
      </c>
    </row>
    <row r="50" spans="2:14" ht="15" customHeight="1" thickTop="1" thickBot="1">
      <c r="B50" s="2210" t="s">
        <v>313</v>
      </c>
      <c r="C50" s="2212">
        <f>C30</f>
        <v>5155.4902174195804</v>
      </c>
      <c r="D50" s="2213" t="s">
        <v>832</v>
      </c>
      <c r="F50" s="101" t="s">
        <v>243</v>
      </c>
      <c r="G50" s="102"/>
      <c r="H50" s="102"/>
      <c r="I50" s="103">
        <f>SUM(I47:I49)</f>
        <v>105194.95887088179</v>
      </c>
      <c r="J50" s="1530"/>
      <c r="K50" s="104" t="s">
        <v>244</v>
      </c>
      <c r="L50" s="77">
        <v>8</v>
      </c>
      <c r="M50" s="106">
        <v>44</v>
      </c>
      <c r="N50" s="79">
        <f t="shared" si="1"/>
        <v>352</v>
      </c>
    </row>
    <row r="51" spans="2:14" ht="14.25" thickTop="1" thickBot="1">
      <c r="B51" s="2210" t="s">
        <v>840</v>
      </c>
      <c r="C51" s="2212">
        <f>C31</f>
        <v>596.88798545698035</v>
      </c>
      <c r="D51" s="2213" t="s">
        <v>832</v>
      </c>
      <c r="F51" s="89" t="s">
        <v>313</v>
      </c>
      <c r="G51" s="90"/>
      <c r="H51" s="90"/>
      <c r="I51" s="2209">
        <f>(G47/G7)*C50</f>
        <v>9179.6045658303792</v>
      </c>
      <c r="J51" s="1530"/>
      <c r="K51" s="107" t="s">
        <v>246</v>
      </c>
      <c r="L51" s="108">
        <v>10</v>
      </c>
      <c r="M51" s="109">
        <v>44</v>
      </c>
      <c r="N51" s="79">
        <f t="shared" si="1"/>
        <v>440</v>
      </c>
    </row>
    <row r="52" spans="2:14" ht="13.5" thickBot="1">
      <c r="B52" s="2210"/>
      <c r="C52" s="125"/>
      <c r="D52" s="2213"/>
      <c r="F52" s="89" t="s">
        <v>840</v>
      </c>
      <c r="G52" s="75"/>
      <c r="H52" s="90"/>
      <c r="I52" s="2209">
        <f>(G47/G7)*C51</f>
        <v>1062.7884925621358</v>
      </c>
      <c r="J52" s="2208"/>
      <c r="K52" s="111" t="s">
        <v>248</v>
      </c>
      <c r="L52" s="112"/>
      <c r="M52" s="113"/>
      <c r="N52" s="67">
        <f>SUM(N46:N51)</f>
        <v>1132</v>
      </c>
    </row>
    <row r="53" spans="2:14">
      <c r="B53" s="99" t="s">
        <v>196</v>
      </c>
      <c r="C53" s="100">
        <v>0.22</v>
      </c>
      <c r="D53" s="70" t="s">
        <v>546</v>
      </c>
      <c r="F53" s="1780"/>
      <c r="G53" s="125"/>
      <c r="H53" s="125"/>
      <c r="I53" s="2214"/>
      <c r="J53" s="1530"/>
      <c r="K53" s="117" t="s">
        <v>250</v>
      </c>
      <c r="L53" s="118"/>
      <c r="M53" s="119"/>
      <c r="N53" s="120">
        <f>N45-N52</f>
        <v>948</v>
      </c>
    </row>
    <row r="54" spans="2:14" ht="13.5" thickBot="1">
      <c r="B54" s="165" t="s">
        <v>247</v>
      </c>
      <c r="C54" s="2078">
        <v>0.11</v>
      </c>
      <c r="D54" s="82" t="s">
        <v>546</v>
      </c>
      <c r="F54" s="114" t="s">
        <v>249</v>
      </c>
      <c r="G54" s="115"/>
      <c r="H54" s="115"/>
      <c r="I54" s="116">
        <f>SUM(I50:I52)</f>
        <v>115437.3519292743</v>
      </c>
      <c r="J54" s="1530"/>
      <c r="K54" s="121" t="s">
        <v>251</v>
      </c>
      <c r="L54" s="122"/>
      <c r="M54" s="123"/>
      <c r="N54" s="124">
        <f>C48</f>
        <v>1</v>
      </c>
    </row>
    <row r="55" spans="2:14" ht="15.75" customHeight="1" thickBot="1">
      <c r="B55" s="1531" t="s">
        <v>653</v>
      </c>
      <c r="C55" s="1534">
        <v>6.3E-3</v>
      </c>
      <c r="D55" s="1536" t="s">
        <v>860</v>
      </c>
      <c r="F55" s="1541" t="str">
        <f>B55</f>
        <v>PFMLA</v>
      </c>
      <c r="G55" s="1498">
        <f>C55</f>
        <v>6.3E-3</v>
      </c>
      <c r="H55" s="1499"/>
      <c r="I55" s="1542">
        <f>G55*I47</f>
        <v>543.21986957914373</v>
      </c>
      <c r="J55" s="1530"/>
      <c r="K55" s="111" t="s">
        <v>252</v>
      </c>
      <c r="L55" s="112"/>
      <c r="M55" s="113"/>
      <c r="N55" s="67">
        <f>N53*N54</f>
        <v>948</v>
      </c>
    </row>
    <row r="56" spans="2:14" ht="12.75" customHeight="1">
      <c r="B56" s="1532" t="s">
        <v>651</v>
      </c>
      <c r="C56" s="1535">
        <f>C16</f>
        <v>1.8120393120392975E-2</v>
      </c>
      <c r="D56" s="1537" t="s">
        <v>652</v>
      </c>
      <c r="F56" s="89" t="s">
        <v>247</v>
      </c>
      <c r="G56" s="75">
        <f>C54</f>
        <v>0.11</v>
      </c>
      <c r="H56" s="90"/>
      <c r="I56" s="91">
        <f>G56*I54</f>
        <v>12698.108712220173</v>
      </c>
      <c r="J56" s="1530"/>
    </row>
    <row r="57" spans="2:14" ht="13.5" thickBot="1">
      <c r="B57" s="1538" t="s">
        <v>537</v>
      </c>
      <c r="C57" s="1539">
        <f>C17</f>
        <v>2.7235921972764018E-2</v>
      </c>
      <c r="D57" s="1540" t="s">
        <v>539</v>
      </c>
      <c r="F57" s="101" t="s">
        <v>203</v>
      </c>
      <c r="G57" s="102"/>
      <c r="H57" s="102"/>
      <c r="I57" s="103">
        <f>SUM(I54:I56)</f>
        <v>128678.68051107362</v>
      </c>
      <c r="J57" s="1530"/>
      <c r="K57" s="126"/>
      <c r="L57" s="129"/>
    </row>
    <row r="58" spans="2:14">
      <c r="F58" s="1780"/>
      <c r="G58" s="125"/>
      <c r="H58" s="125"/>
      <c r="I58" s="2214"/>
      <c r="J58" s="1530"/>
    </row>
    <row r="59" spans="2:14" ht="13.5" thickBot="1">
      <c r="F59" s="137" t="s">
        <v>182</v>
      </c>
      <c r="G59" s="138">
        <f>C56</f>
        <v>1.8120393120392975E-2</v>
      </c>
      <c r="H59" s="139"/>
      <c r="I59" s="63">
        <f>I57+(I57*G59)</f>
        <v>131010.38878814773</v>
      </c>
      <c r="J59" s="1530"/>
    </row>
    <row r="60" spans="2:14" ht="13.5" thickBot="1">
      <c r="F60" s="154" t="s">
        <v>253</v>
      </c>
      <c r="G60" s="155"/>
      <c r="H60" s="156"/>
      <c r="I60" s="157">
        <f>I59/I45+0.03</f>
        <v>138.22661264572545</v>
      </c>
      <c r="J60" s="3114"/>
    </row>
    <row r="61" spans="2:14" ht="17.25" customHeight="1" thickBot="1">
      <c r="F61" s="151" t="s">
        <v>254</v>
      </c>
      <c r="G61" s="152"/>
      <c r="H61" s="153"/>
      <c r="I61" s="335">
        <f>I60*0.25+0.03</f>
        <v>34.586653161431364</v>
      </c>
      <c r="J61" s="1530"/>
    </row>
    <row r="62" spans="2:14" ht="18.75" customHeight="1">
      <c r="G62" s="3250"/>
      <c r="H62" s="3250"/>
      <c r="I62" s="1130"/>
      <c r="J62" s="1530"/>
    </row>
    <row r="65" ht="17.25" customHeight="1"/>
  </sheetData>
  <customSheetViews>
    <customSheetView guid="{4C1AD9FE-DB97-4D30-8CF1-D476DD376A5A}" scale="82" fitToPage="1">
      <selection activeCell="D3" sqref="D3:D13"/>
      <pageMargins left="0.2" right="0.2" top="0.75" bottom="0.25" header="0.3" footer="0.3"/>
      <printOptions verticalCentered="1"/>
      <pageSetup scale="45" orientation="portrait" r:id="rId1"/>
    </customSheetView>
    <customSheetView guid="{6A16E15D-0E79-4250-8AEC-339F57F63027}" scale="82" fitToPage="1">
      <selection activeCell="B2" sqref="B2:D12"/>
      <pageMargins left="0.2" right="0.2" top="0.75" bottom="0.25" header="0.3" footer="0.3"/>
      <printOptions verticalCentered="1"/>
      <pageSetup scale="45" orientation="portrait" r:id="rId2"/>
    </customSheetView>
  </customSheetViews>
  <mergeCells count="10">
    <mergeCell ref="G62:H62"/>
    <mergeCell ref="D2:F2"/>
    <mergeCell ref="B4:D4"/>
    <mergeCell ref="B24:D24"/>
    <mergeCell ref="B44:D44"/>
    <mergeCell ref="F4:I4"/>
    <mergeCell ref="F24:I24"/>
    <mergeCell ref="F44:I44"/>
    <mergeCell ref="G22:H22"/>
    <mergeCell ref="G42:H42"/>
  </mergeCells>
  <printOptions verticalCentered="1"/>
  <pageMargins left="0.2" right="0.2" top="0.75" bottom="0.25" header="0.3" footer="0.3"/>
  <pageSetup scale="61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I1" zoomScale="90" zoomScaleNormal="90" workbookViewId="0">
      <selection activeCell="T5" sqref="T5"/>
    </sheetView>
  </sheetViews>
  <sheetFormatPr defaultRowHeight="15.75"/>
  <cols>
    <col min="1" max="1" width="43.7109375" style="449" hidden="1" customWidth="1"/>
    <col min="2" max="2" width="32.5703125" style="696" hidden="1" customWidth="1"/>
    <col min="3" max="3" width="10.42578125" style="449" hidden="1" customWidth="1"/>
    <col min="4" max="4" width="6.7109375" style="691" hidden="1" customWidth="1"/>
    <col min="5" max="5" width="9.140625" style="692" hidden="1" customWidth="1"/>
    <col min="6" max="6" width="31.85546875" style="449" hidden="1" customWidth="1"/>
    <col min="7" max="8" width="12" style="449" hidden="1" customWidth="1"/>
    <col min="9" max="9" width="12" style="449" customWidth="1"/>
    <col min="10" max="10" width="34.5703125" style="449" customWidth="1"/>
    <col min="11" max="13" width="12" style="449" customWidth="1"/>
    <col min="14" max="14" width="9.140625" style="947"/>
    <col min="15" max="15" width="34.140625" style="947" bestFit="1" customWidth="1"/>
    <col min="16" max="16" width="10.7109375" style="947" customWidth="1"/>
    <col min="17" max="17" width="9.85546875" style="947" bestFit="1" customWidth="1"/>
    <col min="18" max="18" width="8.28515625" style="947" customWidth="1"/>
    <col min="19" max="19" width="13.140625" style="947" customWidth="1"/>
    <col min="20" max="21" width="10.85546875" style="947" customWidth="1"/>
    <col min="22" max="22" width="24.5703125" style="947" bestFit="1" customWidth="1"/>
    <col min="23" max="23" width="11.42578125" style="1269" customWidth="1"/>
    <col min="24" max="24" width="57.7109375" style="948" customWidth="1"/>
    <col min="25" max="261" width="9.140625" style="449"/>
    <col min="262" max="262" width="27.7109375" style="449" customWidth="1"/>
    <col min="263" max="263" width="32.85546875" style="449" bestFit="1" customWidth="1"/>
    <col min="264" max="264" width="11.5703125" style="449" bestFit="1" customWidth="1"/>
    <col min="265" max="265" width="9.7109375" style="449" customWidth="1"/>
    <col min="266" max="266" width="12" style="449" customWidth="1"/>
    <col min="267" max="267" width="30.140625" style="449" customWidth="1"/>
    <col min="268" max="268" width="12" style="449" customWidth="1"/>
    <col min="269" max="269" width="12.140625" style="449" customWidth="1"/>
    <col min="270" max="517" width="9.140625" style="449"/>
    <col min="518" max="518" width="27.7109375" style="449" customWidth="1"/>
    <col min="519" max="519" width="32.85546875" style="449" bestFit="1" customWidth="1"/>
    <col min="520" max="520" width="11.5703125" style="449" bestFit="1" customWidth="1"/>
    <col min="521" max="521" width="9.7109375" style="449" customWidth="1"/>
    <col min="522" max="522" width="12" style="449" customWidth="1"/>
    <col min="523" max="523" width="30.140625" style="449" customWidth="1"/>
    <col min="524" max="524" width="12" style="449" customWidth="1"/>
    <col min="525" max="525" width="12.140625" style="449" customWidth="1"/>
    <col min="526" max="773" width="9.140625" style="449"/>
    <col min="774" max="774" width="27.7109375" style="449" customWidth="1"/>
    <col min="775" max="775" width="32.85546875" style="449" bestFit="1" customWidth="1"/>
    <col min="776" max="776" width="11.5703125" style="449" bestFit="1" customWidth="1"/>
    <col min="777" max="777" width="9.7109375" style="449" customWidth="1"/>
    <col min="778" max="778" width="12" style="449" customWidth="1"/>
    <col min="779" max="779" width="30.140625" style="449" customWidth="1"/>
    <col min="780" max="780" width="12" style="449" customWidth="1"/>
    <col min="781" max="781" width="12.140625" style="449" customWidth="1"/>
    <col min="782" max="1029" width="9.140625" style="449"/>
    <col min="1030" max="1030" width="27.7109375" style="449" customWidth="1"/>
    <col min="1031" max="1031" width="32.85546875" style="449" bestFit="1" customWidth="1"/>
    <col min="1032" max="1032" width="11.5703125" style="449" bestFit="1" customWidth="1"/>
    <col min="1033" max="1033" width="9.7109375" style="449" customWidth="1"/>
    <col min="1034" max="1034" width="12" style="449" customWidth="1"/>
    <col min="1035" max="1035" width="30.140625" style="449" customWidth="1"/>
    <col min="1036" max="1036" width="12" style="449" customWidth="1"/>
    <col min="1037" max="1037" width="12.140625" style="449" customWidth="1"/>
    <col min="1038" max="1285" width="9.140625" style="449"/>
    <col min="1286" max="1286" width="27.7109375" style="449" customWidth="1"/>
    <col min="1287" max="1287" width="32.85546875" style="449" bestFit="1" customWidth="1"/>
    <col min="1288" max="1288" width="11.5703125" style="449" bestFit="1" customWidth="1"/>
    <col min="1289" max="1289" width="9.7109375" style="449" customWidth="1"/>
    <col min="1290" max="1290" width="12" style="449" customWidth="1"/>
    <col min="1291" max="1291" width="30.140625" style="449" customWidth="1"/>
    <col min="1292" max="1292" width="12" style="449" customWidth="1"/>
    <col min="1293" max="1293" width="12.140625" style="449" customWidth="1"/>
    <col min="1294" max="1541" width="9.140625" style="449"/>
    <col min="1542" max="1542" width="27.7109375" style="449" customWidth="1"/>
    <col min="1543" max="1543" width="32.85546875" style="449" bestFit="1" customWidth="1"/>
    <col min="1544" max="1544" width="11.5703125" style="449" bestFit="1" customWidth="1"/>
    <col min="1545" max="1545" width="9.7109375" style="449" customWidth="1"/>
    <col min="1546" max="1546" width="12" style="449" customWidth="1"/>
    <col min="1547" max="1547" width="30.140625" style="449" customWidth="1"/>
    <col min="1548" max="1548" width="12" style="449" customWidth="1"/>
    <col min="1549" max="1549" width="12.140625" style="449" customWidth="1"/>
    <col min="1550" max="1797" width="9.140625" style="449"/>
    <col min="1798" max="1798" width="27.7109375" style="449" customWidth="1"/>
    <col min="1799" max="1799" width="32.85546875" style="449" bestFit="1" customWidth="1"/>
    <col min="1800" max="1800" width="11.5703125" style="449" bestFit="1" customWidth="1"/>
    <col min="1801" max="1801" width="9.7109375" style="449" customWidth="1"/>
    <col min="1802" max="1802" width="12" style="449" customWidth="1"/>
    <col min="1803" max="1803" width="30.140625" style="449" customWidth="1"/>
    <col min="1804" max="1804" width="12" style="449" customWidth="1"/>
    <col min="1805" max="1805" width="12.140625" style="449" customWidth="1"/>
    <col min="1806" max="2053" width="9.140625" style="449"/>
    <col min="2054" max="2054" width="27.7109375" style="449" customWidth="1"/>
    <col min="2055" max="2055" width="32.85546875" style="449" bestFit="1" customWidth="1"/>
    <col min="2056" max="2056" width="11.5703125" style="449" bestFit="1" customWidth="1"/>
    <col min="2057" max="2057" width="9.7109375" style="449" customWidth="1"/>
    <col min="2058" max="2058" width="12" style="449" customWidth="1"/>
    <col min="2059" max="2059" width="30.140625" style="449" customWidth="1"/>
    <col min="2060" max="2060" width="12" style="449" customWidth="1"/>
    <col min="2061" max="2061" width="12.140625" style="449" customWidth="1"/>
    <col min="2062" max="2309" width="9.140625" style="449"/>
    <col min="2310" max="2310" width="27.7109375" style="449" customWidth="1"/>
    <col min="2311" max="2311" width="32.85546875" style="449" bestFit="1" customWidth="1"/>
    <col min="2312" max="2312" width="11.5703125" style="449" bestFit="1" customWidth="1"/>
    <col min="2313" max="2313" width="9.7109375" style="449" customWidth="1"/>
    <col min="2314" max="2314" width="12" style="449" customWidth="1"/>
    <col min="2315" max="2315" width="30.140625" style="449" customWidth="1"/>
    <col min="2316" max="2316" width="12" style="449" customWidth="1"/>
    <col min="2317" max="2317" width="12.140625" style="449" customWidth="1"/>
    <col min="2318" max="2565" width="9.140625" style="449"/>
    <col min="2566" max="2566" width="27.7109375" style="449" customWidth="1"/>
    <col min="2567" max="2567" width="32.85546875" style="449" bestFit="1" customWidth="1"/>
    <col min="2568" max="2568" width="11.5703125" style="449" bestFit="1" customWidth="1"/>
    <col min="2569" max="2569" width="9.7109375" style="449" customWidth="1"/>
    <col min="2570" max="2570" width="12" style="449" customWidth="1"/>
    <col min="2571" max="2571" width="30.140625" style="449" customWidth="1"/>
    <col min="2572" max="2572" width="12" style="449" customWidth="1"/>
    <col min="2573" max="2573" width="12.140625" style="449" customWidth="1"/>
    <col min="2574" max="2821" width="9.140625" style="449"/>
    <col min="2822" max="2822" width="27.7109375" style="449" customWidth="1"/>
    <col min="2823" max="2823" width="32.85546875" style="449" bestFit="1" customWidth="1"/>
    <col min="2824" max="2824" width="11.5703125" style="449" bestFit="1" customWidth="1"/>
    <col min="2825" max="2825" width="9.7109375" style="449" customWidth="1"/>
    <col min="2826" max="2826" width="12" style="449" customWidth="1"/>
    <col min="2827" max="2827" width="30.140625" style="449" customWidth="1"/>
    <col min="2828" max="2828" width="12" style="449" customWidth="1"/>
    <col min="2829" max="2829" width="12.140625" style="449" customWidth="1"/>
    <col min="2830" max="3077" width="9.140625" style="449"/>
    <col min="3078" max="3078" width="27.7109375" style="449" customWidth="1"/>
    <col min="3079" max="3079" width="32.85546875" style="449" bestFit="1" customWidth="1"/>
    <col min="3080" max="3080" width="11.5703125" style="449" bestFit="1" customWidth="1"/>
    <col min="3081" max="3081" width="9.7109375" style="449" customWidth="1"/>
    <col min="3082" max="3082" width="12" style="449" customWidth="1"/>
    <col min="3083" max="3083" width="30.140625" style="449" customWidth="1"/>
    <col min="3084" max="3084" width="12" style="449" customWidth="1"/>
    <col min="3085" max="3085" width="12.140625" style="449" customWidth="1"/>
    <col min="3086" max="3333" width="9.140625" style="449"/>
    <col min="3334" max="3334" width="27.7109375" style="449" customWidth="1"/>
    <col min="3335" max="3335" width="32.85546875" style="449" bestFit="1" customWidth="1"/>
    <col min="3336" max="3336" width="11.5703125" style="449" bestFit="1" customWidth="1"/>
    <col min="3337" max="3337" width="9.7109375" style="449" customWidth="1"/>
    <col min="3338" max="3338" width="12" style="449" customWidth="1"/>
    <col min="3339" max="3339" width="30.140625" style="449" customWidth="1"/>
    <col min="3340" max="3340" width="12" style="449" customWidth="1"/>
    <col min="3341" max="3341" width="12.140625" style="449" customWidth="1"/>
    <col min="3342" max="3589" width="9.140625" style="449"/>
    <col min="3590" max="3590" width="27.7109375" style="449" customWidth="1"/>
    <col min="3591" max="3591" width="32.85546875" style="449" bestFit="1" customWidth="1"/>
    <col min="3592" max="3592" width="11.5703125" style="449" bestFit="1" customWidth="1"/>
    <col min="3593" max="3593" width="9.7109375" style="449" customWidth="1"/>
    <col min="3594" max="3594" width="12" style="449" customWidth="1"/>
    <col min="3595" max="3595" width="30.140625" style="449" customWidth="1"/>
    <col min="3596" max="3596" width="12" style="449" customWidth="1"/>
    <col min="3597" max="3597" width="12.140625" style="449" customWidth="1"/>
    <col min="3598" max="3845" width="9.140625" style="449"/>
    <col min="3846" max="3846" width="27.7109375" style="449" customWidth="1"/>
    <col min="3847" max="3847" width="32.85546875" style="449" bestFit="1" customWidth="1"/>
    <col min="3848" max="3848" width="11.5703125" style="449" bestFit="1" customWidth="1"/>
    <col min="3849" max="3849" width="9.7109375" style="449" customWidth="1"/>
    <col min="3850" max="3850" width="12" style="449" customWidth="1"/>
    <col min="3851" max="3851" width="30.140625" style="449" customWidth="1"/>
    <col min="3852" max="3852" width="12" style="449" customWidth="1"/>
    <col min="3853" max="3853" width="12.140625" style="449" customWidth="1"/>
    <col min="3854" max="4101" width="9.140625" style="449"/>
    <col min="4102" max="4102" width="27.7109375" style="449" customWidth="1"/>
    <col min="4103" max="4103" width="32.85546875" style="449" bestFit="1" customWidth="1"/>
    <col min="4104" max="4104" width="11.5703125" style="449" bestFit="1" customWidth="1"/>
    <col min="4105" max="4105" width="9.7109375" style="449" customWidth="1"/>
    <col min="4106" max="4106" width="12" style="449" customWidth="1"/>
    <col min="4107" max="4107" width="30.140625" style="449" customWidth="1"/>
    <col min="4108" max="4108" width="12" style="449" customWidth="1"/>
    <col min="4109" max="4109" width="12.140625" style="449" customWidth="1"/>
    <col min="4110" max="4357" width="9.140625" style="449"/>
    <col min="4358" max="4358" width="27.7109375" style="449" customWidth="1"/>
    <col min="4359" max="4359" width="32.85546875" style="449" bestFit="1" customWidth="1"/>
    <col min="4360" max="4360" width="11.5703125" style="449" bestFit="1" customWidth="1"/>
    <col min="4361" max="4361" width="9.7109375" style="449" customWidth="1"/>
    <col min="4362" max="4362" width="12" style="449" customWidth="1"/>
    <col min="4363" max="4363" width="30.140625" style="449" customWidth="1"/>
    <col min="4364" max="4364" width="12" style="449" customWidth="1"/>
    <col min="4365" max="4365" width="12.140625" style="449" customWidth="1"/>
    <col min="4366" max="4613" width="9.140625" style="449"/>
    <col min="4614" max="4614" width="27.7109375" style="449" customWidth="1"/>
    <col min="4615" max="4615" width="32.85546875" style="449" bestFit="1" customWidth="1"/>
    <col min="4616" max="4616" width="11.5703125" style="449" bestFit="1" customWidth="1"/>
    <col min="4617" max="4617" width="9.7109375" style="449" customWidth="1"/>
    <col min="4618" max="4618" width="12" style="449" customWidth="1"/>
    <col min="4619" max="4619" width="30.140625" style="449" customWidth="1"/>
    <col min="4620" max="4620" width="12" style="449" customWidth="1"/>
    <col min="4621" max="4621" width="12.140625" style="449" customWidth="1"/>
    <col min="4622" max="4869" width="9.140625" style="449"/>
    <col min="4870" max="4870" width="27.7109375" style="449" customWidth="1"/>
    <col min="4871" max="4871" width="32.85546875" style="449" bestFit="1" customWidth="1"/>
    <col min="4872" max="4872" width="11.5703125" style="449" bestFit="1" customWidth="1"/>
    <col min="4873" max="4873" width="9.7109375" style="449" customWidth="1"/>
    <col min="4874" max="4874" width="12" style="449" customWidth="1"/>
    <col min="4875" max="4875" width="30.140625" style="449" customWidth="1"/>
    <col min="4876" max="4876" width="12" style="449" customWidth="1"/>
    <col min="4877" max="4877" width="12.140625" style="449" customWidth="1"/>
    <col min="4878" max="5125" width="9.140625" style="449"/>
    <col min="5126" max="5126" width="27.7109375" style="449" customWidth="1"/>
    <col min="5127" max="5127" width="32.85546875" style="449" bestFit="1" customWidth="1"/>
    <col min="5128" max="5128" width="11.5703125" style="449" bestFit="1" customWidth="1"/>
    <col min="5129" max="5129" width="9.7109375" style="449" customWidth="1"/>
    <col min="5130" max="5130" width="12" style="449" customWidth="1"/>
    <col min="5131" max="5131" width="30.140625" style="449" customWidth="1"/>
    <col min="5132" max="5132" width="12" style="449" customWidth="1"/>
    <col min="5133" max="5133" width="12.140625" style="449" customWidth="1"/>
    <col min="5134" max="5381" width="9.140625" style="449"/>
    <col min="5382" max="5382" width="27.7109375" style="449" customWidth="1"/>
    <col min="5383" max="5383" width="32.85546875" style="449" bestFit="1" customWidth="1"/>
    <col min="5384" max="5384" width="11.5703125" style="449" bestFit="1" customWidth="1"/>
    <col min="5385" max="5385" width="9.7109375" style="449" customWidth="1"/>
    <col min="5386" max="5386" width="12" style="449" customWidth="1"/>
    <col min="5387" max="5387" width="30.140625" style="449" customWidth="1"/>
    <col min="5388" max="5388" width="12" style="449" customWidth="1"/>
    <col min="5389" max="5389" width="12.140625" style="449" customWidth="1"/>
    <col min="5390" max="5637" width="9.140625" style="449"/>
    <col min="5638" max="5638" width="27.7109375" style="449" customWidth="1"/>
    <col min="5639" max="5639" width="32.85546875" style="449" bestFit="1" customWidth="1"/>
    <col min="5640" max="5640" width="11.5703125" style="449" bestFit="1" customWidth="1"/>
    <col min="5641" max="5641" width="9.7109375" style="449" customWidth="1"/>
    <col min="5642" max="5642" width="12" style="449" customWidth="1"/>
    <col min="5643" max="5643" width="30.140625" style="449" customWidth="1"/>
    <col min="5644" max="5644" width="12" style="449" customWidth="1"/>
    <col min="5645" max="5645" width="12.140625" style="449" customWidth="1"/>
    <col min="5646" max="5893" width="9.140625" style="449"/>
    <col min="5894" max="5894" width="27.7109375" style="449" customWidth="1"/>
    <col min="5895" max="5895" width="32.85546875" style="449" bestFit="1" customWidth="1"/>
    <col min="5896" max="5896" width="11.5703125" style="449" bestFit="1" customWidth="1"/>
    <col min="5897" max="5897" width="9.7109375" style="449" customWidth="1"/>
    <col min="5898" max="5898" width="12" style="449" customWidth="1"/>
    <col min="5899" max="5899" width="30.140625" style="449" customWidth="1"/>
    <col min="5900" max="5900" width="12" style="449" customWidth="1"/>
    <col min="5901" max="5901" width="12.140625" style="449" customWidth="1"/>
    <col min="5902" max="6149" width="9.140625" style="449"/>
    <col min="6150" max="6150" width="27.7109375" style="449" customWidth="1"/>
    <col min="6151" max="6151" width="32.85546875" style="449" bestFit="1" customWidth="1"/>
    <col min="6152" max="6152" width="11.5703125" style="449" bestFit="1" customWidth="1"/>
    <col min="6153" max="6153" width="9.7109375" style="449" customWidth="1"/>
    <col min="6154" max="6154" width="12" style="449" customWidth="1"/>
    <col min="6155" max="6155" width="30.140625" style="449" customWidth="1"/>
    <col min="6156" max="6156" width="12" style="449" customWidth="1"/>
    <col min="6157" max="6157" width="12.140625" style="449" customWidth="1"/>
    <col min="6158" max="6405" width="9.140625" style="449"/>
    <col min="6406" max="6406" width="27.7109375" style="449" customWidth="1"/>
    <col min="6407" max="6407" width="32.85546875" style="449" bestFit="1" customWidth="1"/>
    <col min="6408" max="6408" width="11.5703125" style="449" bestFit="1" customWidth="1"/>
    <col min="6409" max="6409" width="9.7109375" style="449" customWidth="1"/>
    <col min="6410" max="6410" width="12" style="449" customWidth="1"/>
    <col min="6411" max="6411" width="30.140625" style="449" customWidth="1"/>
    <col min="6412" max="6412" width="12" style="449" customWidth="1"/>
    <col min="6413" max="6413" width="12.140625" style="449" customWidth="1"/>
    <col min="6414" max="6661" width="9.140625" style="449"/>
    <col min="6662" max="6662" width="27.7109375" style="449" customWidth="1"/>
    <col min="6663" max="6663" width="32.85546875" style="449" bestFit="1" customWidth="1"/>
    <col min="6664" max="6664" width="11.5703125" style="449" bestFit="1" customWidth="1"/>
    <col min="6665" max="6665" width="9.7109375" style="449" customWidth="1"/>
    <col min="6666" max="6666" width="12" style="449" customWidth="1"/>
    <col min="6667" max="6667" width="30.140625" style="449" customWidth="1"/>
    <col min="6668" max="6668" width="12" style="449" customWidth="1"/>
    <col min="6669" max="6669" width="12.140625" style="449" customWidth="1"/>
    <col min="6670" max="6917" width="9.140625" style="449"/>
    <col min="6918" max="6918" width="27.7109375" style="449" customWidth="1"/>
    <col min="6919" max="6919" width="32.85546875" style="449" bestFit="1" customWidth="1"/>
    <col min="6920" max="6920" width="11.5703125" style="449" bestFit="1" customWidth="1"/>
    <col min="6921" max="6921" width="9.7109375" style="449" customWidth="1"/>
    <col min="6922" max="6922" width="12" style="449" customWidth="1"/>
    <col min="6923" max="6923" width="30.140625" style="449" customWidth="1"/>
    <col min="6924" max="6924" width="12" style="449" customWidth="1"/>
    <col min="6925" max="6925" width="12.140625" style="449" customWidth="1"/>
    <col min="6926" max="7173" width="9.140625" style="449"/>
    <col min="7174" max="7174" width="27.7109375" style="449" customWidth="1"/>
    <col min="7175" max="7175" width="32.85546875" style="449" bestFit="1" customWidth="1"/>
    <col min="7176" max="7176" width="11.5703125" style="449" bestFit="1" customWidth="1"/>
    <col min="7177" max="7177" width="9.7109375" style="449" customWidth="1"/>
    <col min="7178" max="7178" width="12" style="449" customWidth="1"/>
    <col min="7179" max="7179" width="30.140625" style="449" customWidth="1"/>
    <col min="7180" max="7180" width="12" style="449" customWidth="1"/>
    <col min="7181" max="7181" width="12.140625" style="449" customWidth="1"/>
    <col min="7182" max="7429" width="9.140625" style="449"/>
    <col min="7430" max="7430" width="27.7109375" style="449" customWidth="1"/>
    <col min="7431" max="7431" width="32.85546875" style="449" bestFit="1" customWidth="1"/>
    <col min="7432" max="7432" width="11.5703125" style="449" bestFit="1" customWidth="1"/>
    <col min="7433" max="7433" width="9.7109375" style="449" customWidth="1"/>
    <col min="7434" max="7434" width="12" style="449" customWidth="1"/>
    <col min="7435" max="7435" width="30.140625" style="449" customWidth="1"/>
    <col min="7436" max="7436" width="12" style="449" customWidth="1"/>
    <col min="7437" max="7437" width="12.140625" style="449" customWidth="1"/>
    <col min="7438" max="7685" width="9.140625" style="449"/>
    <col min="7686" max="7686" width="27.7109375" style="449" customWidth="1"/>
    <col min="7687" max="7687" width="32.85546875" style="449" bestFit="1" customWidth="1"/>
    <col min="7688" max="7688" width="11.5703125" style="449" bestFit="1" customWidth="1"/>
    <col min="7689" max="7689" width="9.7109375" style="449" customWidth="1"/>
    <col min="7690" max="7690" width="12" style="449" customWidth="1"/>
    <col min="7691" max="7691" width="30.140625" style="449" customWidth="1"/>
    <col min="7692" max="7692" width="12" style="449" customWidth="1"/>
    <col min="7693" max="7693" width="12.140625" style="449" customWidth="1"/>
    <col min="7694" max="7941" width="9.140625" style="449"/>
    <col min="7942" max="7942" width="27.7109375" style="449" customWidth="1"/>
    <col min="7943" max="7943" width="32.85546875" style="449" bestFit="1" customWidth="1"/>
    <col min="7944" max="7944" width="11.5703125" style="449" bestFit="1" customWidth="1"/>
    <col min="7945" max="7945" width="9.7109375" style="449" customWidth="1"/>
    <col min="7946" max="7946" width="12" style="449" customWidth="1"/>
    <col min="7947" max="7947" width="30.140625" style="449" customWidth="1"/>
    <col min="7948" max="7948" width="12" style="449" customWidth="1"/>
    <col min="7949" max="7949" width="12.140625" style="449" customWidth="1"/>
    <col min="7950" max="8197" width="9.140625" style="449"/>
    <col min="8198" max="8198" width="27.7109375" style="449" customWidth="1"/>
    <col min="8199" max="8199" width="32.85546875" style="449" bestFit="1" customWidth="1"/>
    <col min="8200" max="8200" width="11.5703125" style="449" bestFit="1" customWidth="1"/>
    <col min="8201" max="8201" width="9.7109375" style="449" customWidth="1"/>
    <col min="8202" max="8202" width="12" style="449" customWidth="1"/>
    <col min="8203" max="8203" width="30.140625" style="449" customWidth="1"/>
    <col min="8204" max="8204" width="12" style="449" customWidth="1"/>
    <col min="8205" max="8205" width="12.140625" style="449" customWidth="1"/>
    <col min="8206" max="8453" width="9.140625" style="449"/>
    <col min="8454" max="8454" width="27.7109375" style="449" customWidth="1"/>
    <col min="8455" max="8455" width="32.85546875" style="449" bestFit="1" customWidth="1"/>
    <col min="8456" max="8456" width="11.5703125" style="449" bestFit="1" customWidth="1"/>
    <col min="8457" max="8457" width="9.7109375" style="449" customWidth="1"/>
    <col min="8458" max="8458" width="12" style="449" customWidth="1"/>
    <col min="8459" max="8459" width="30.140625" style="449" customWidth="1"/>
    <col min="8460" max="8460" width="12" style="449" customWidth="1"/>
    <col min="8461" max="8461" width="12.140625" style="449" customWidth="1"/>
    <col min="8462" max="8709" width="9.140625" style="449"/>
    <col min="8710" max="8710" width="27.7109375" style="449" customWidth="1"/>
    <col min="8711" max="8711" width="32.85546875" style="449" bestFit="1" customWidth="1"/>
    <col min="8712" max="8712" width="11.5703125" style="449" bestFit="1" customWidth="1"/>
    <col min="8713" max="8713" width="9.7109375" style="449" customWidth="1"/>
    <col min="8714" max="8714" width="12" style="449" customWidth="1"/>
    <col min="8715" max="8715" width="30.140625" style="449" customWidth="1"/>
    <col min="8716" max="8716" width="12" style="449" customWidth="1"/>
    <col min="8717" max="8717" width="12.140625" style="449" customWidth="1"/>
    <col min="8718" max="8965" width="9.140625" style="449"/>
    <col min="8966" max="8966" width="27.7109375" style="449" customWidth="1"/>
    <col min="8967" max="8967" width="32.85546875" style="449" bestFit="1" customWidth="1"/>
    <col min="8968" max="8968" width="11.5703125" style="449" bestFit="1" customWidth="1"/>
    <col min="8969" max="8969" width="9.7109375" style="449" customWidth="1"/>
    <col min="8970" max="8970" width="12" style="449" customWidth="1"/>
    <col min="8971" max="8971" width="30.140625" style="449" customWidth="1"/>
    <col min="8972" max="8972" width="12" style="449" customWidth="1"/>
    <col min="8973" max="8973" width="12.140625" style="449" customWidth="1"/>
    <col min="8974" max="9221" width="9.140625" style="449"/>
    <col min="9222" max="9222" width="27.7109375" style="449" customWidth="1"/>
    <col min="9223" max="9223" width="32.85546875" style="449" bestFit="1" customWidth="1"/>
    <col min="9224" max="9224" width="11.5703125" style="449" bestFit="1" customWidth="1"/>
    <col min="9225" max="9225" width="9.7109375" style="449" customWidth="1"/>
    <col min="9226" max="9226" width="12" style="449" customWidth="1"/>
    <col min="9227" max="9227" width="30.140625" style="449" customWidth="1"/>
    <col min="9228" max="9228" width="12" style="449" customWidth="1"/>
    <col min="9229" max="9229" width="12.140625" style="449" customWidth="1"/>
    <col min="9230" max="9477" width="9.140625" style="449"/>
    <col min="9478" max="9478" width="27.7109375" style="449" customWidth="1"/>
    <col min="9479" max="9479" width="32.85546875" style="449" bestFit="1" customWidth="1"/>
    <col min="9480" max="9480" width="11.5703125" style="449" bestFit="1" customWidth="1"/>
    <col min="9481" max="9481" width="9.7109375" style="449" customWidth="1"/>
    <col min="9482" max="9482" width="12" style="449" customWidth="1"/>
    <col min="9483" max="9483" width="30.140625" style="449" customWidth="1"/>
    <col min="9484" max="9484" width="12" style="449" customWidth="1"/>
    <col min="9485" max="9485" width="12.140625" style="449" customWidth="1"/>
    <col min="9486" max="9733" width="9.140625" style="449"/>
    <col min="9734" max="9734" width="27.7109375" style="449" customWidth="1"/>
    <col min="9735" max="9735" width="32.85546875" style="449" bestFit="1" customWidth="1"/>
    <col min="9736" max="9736" width="11.5703125" style="449" bestFit="1" customWidth="1"/>
    <col min="9737" max="9737" width="9.7109375" style="449" customWidth="1"/>
    <col min="9738" max="9738" width="12" style="449" customWidth="1"/>
    <col min="9739" max="9739" width="30.140625" style="449" customWidth="1"/>
    <col min="9740" max="9740" width="12" style="449" customWidth="1"/>
    <col min="9741" max="9741" width="12.140625" style="449" customWidth="1"/>
    <col min="9742" max="9989" width="9.140625" style="449"/>
    <col min="9990" max="9990" width="27.7109375" style="449" customWidth="1"/>
    <col min="9991" max="9991" width="32.85546875" style="449" bestFit="1" customWidth="1"/>
    <col min="9992" max="9992" width="11.5703125" style="449" bestFit="1" customWidth="1"/>
    <col min="9993" max="9993" width="9.7109375" style="449" customWidth="1"/>
    <col min="9994" max="9994" width="12" style="449" customWidth="1"/>
    <col min="9995" max="9995" width="30.140625" style="449" customWidth="1"/>
    <col min="9996" max="9996" width="12" style="449" customWidth="1"/>
    <col min="9997" max="9997" width="12.140625" style="449" customWidth="1"/>
    <col min="9998" max="10245" width="9.140625" style="449"/>
    <col min="10246" max="10246" width="27.7109375" style="449" customWidth="1"/>
    <col min="10247" max="10247" width="32.85546875" style="449" bestFit="1" customWidth="1"/>
    <col min="10248" max="10248" width="11.5703125" style="449" bestFit="1" customWidth="1"/>
    <col min="10249" max="10249" width="9.7109375" style="449" customWidth="1"/>
    <col min="10250" max="10250" width="12" style="449" customWidth="1"/>
    <col min="10251" max="10251" width="30.140625" style="449" customWidth="1"/>
    <col min="10252" max="10252" width="12" style="449" customWidth="1"/>
    <col min="10253" max="10253" width="12.140625" style="449" customWidth="1"/>
    <col min="10254" max="10501" width="9.140625" style="449"/>
    <col min="10502" max="10502" width="27.7109375" style="449" customWidth="1"/>
    <col min="10503" max="10503" width="32.85546875" style="449" bestFit="1" customWidth="1"/>
    <col min="10504" max="10504" width="11.5703125" style="449" bestFit="1" customWidth="1"/>
    <col min="10505" max="10505" width="9.7109375" style="449" customWidth="1"/>
    <col min="10506" max="10506" width="12" style="449" customWidth="1"/>
    <col min="10507" max="10507" width="30.140625" style="449" customWidth="1"/>
    <col min="10508" max="10508" width="12" style="449" customWidth="1"/>
    <col min="10509" max="10509" width="12.140625" style="449" customWidth="1"/>
    <col min="10510" max="10757" width="9.140625" style="449"/>
    <col min="10758" max="10758" width="27.7109375" style="449" customWidth="1"/>
    <col min="10759" max="10759" width="32.85546875" style="449" bestFit="1" customWidth="1"/>
    <col min="10760" max="10760" width="11.5703125" style="449" bestFit="1" customWidth="1"/>
    <col min="10761" max="10761" width="9.7109375" style="449" customWidth="1"/>
    <col min="10762" max="10762" width="12" style="449" customWidth="1"/>
    <col min="10763" max="10763" width="30.140625" style="449" customWidth="1"/>
    <col min="10764" max="10764" width="12" style="449" customWidth="1"/>
    <col min="10765" max="10765" width="12.140625" style="449" customWidth="1"/>
    <col min="10766" max="11013" width="9.140625" style="449"/>
    <col min="11014" max="11014" width="27.7109375" style="449" customWidth="1"/>
    <col min="11015" max="11015" width="32.85546875" style="449" bestFit="1" customWidth="1"/>
    <col min="11016" max="11016" width="11.5703125" style="449" bestFit="1" customWidth="1"/>
    <col min="11017" max="11017" width="9.7109375" style="449" customWidth="1"/>
    <col min="11018" max="11018" width="12" style="449" customWidth="1"/>
    <col min="11019" max="11019" width="30.140625" style="449" customWidth="1"/>
    <col min="11020" max="11020" width="12" style="449" customWidth="1"/>
    <col min="11021" max="11021" width="12.140625" style="449" customWidth="1"/>
    <col min="11022" max="11269" width="9.140625" style="449"/>
    <col min="11270" max="11270" width="27.7109375" style="449" customWidth="1"/>
    <col min="11271" max="11271" width="32.85546875" style="449" bestFit="1" customWidth="1"/>
    <col min="11272" max="11272" width="11.5703125" style="449" bestFit="1" customWidth="1"/>
    <col min="11273" max="11273" width="9.7109375" style="449" customWidth="1"/>
    <col min="11274" max="11274" width="12" style="449" customWidth="1"/>
    <col min="11275" max="11275" width="30.140625" style="449" customWidth="1"/>
    <col min="11276" max="11276" width="12" style="449" customWidth="1"/>
    <col min="11277" max="11277" width="12.140625" style="449" customWidth="1"/>
    <col min="11278" max="11525" width="9.140625" style="449"/>
    <col min="11526" max="11526" width="27.7109375" style="449" customWidth="1"/>
    <col min="11527" max="11527" width="32.85546875" style="449" bestFit="1" customWidth="1"/>
    <col min="11528" max="11528" width="11.5703125" style="449" bestFit="1" customWidth="1"/>
    <col min="11529" max="11529" width="9.7109375" style="449" customWidth="1"/>
    <col min="11530" max="11530" width="12" style="449" customWidth="1"/>
    <col min="11531" max="11531" width="30.140625" style="449" customWidth="1"/>
    <col min="11532" max="11532" width="12" style="449" customWidth="1"/>
    <col min="11533" max="11533" width="12.140625" style="449" customWidth="1"/>
    <col min="11534" max="11781" width="9.140625" style="449"/>
    <col min="11782" max="11782" width="27.7109375" style="449" customWidth="1"/>
    <col min="11783" max="11783" width="32.85546875" style="449" bestFit="1" customWidth="1"/>
    <col min="11784" max="11784" width="11.5703125" style="449" bestFit="1" customWidth="1"/>
    <col min="11785" max="11785" width="9.7109375" style="449" customWidth="1"/>
    <col min="11786" max="11786" width="12" style="449" customWidth="1"/>
    <col min="11787" max="11787" width="30.140625" style="449" customWidth="1"/>
    <col min="11788" max="11788" width="12" style="449" customWidth="1"/>
    <col min="11789" max="11789" width="12.140625" style="449" customWidth="1"/>
    <col min="11790" max="12037" width="9.140625" style="449"/>
    <col min="12038" max="12038" width="27.7109375" style="449" customWidth="1"/>
    <col min="12039" max="12039" width="32.85546875" style="449" bestFit="1" customWidth="1"/>
    <col min="12040" max="12040" width="11.5703125" style="449" bestFit="1" customWidth="1"/>
    <col min="12041" max="12041" width="9.7109375" style="449" customWidth="1"/>
    <col min="12042" max="12042" width="12" style="449" customWidth="1"/>
    <col min="12043" max="12043" width="30.140625" style="449" customWidth="1"/>
    <col min="12044" max="12044" width="12" style="449" customWidth="1"/>
    <col min="12045" max="12045" width="12.140625" style="449" customWidth="1"/>
    <col min="12046" max="12293" width="9.140625" style="449"/>
    <col min="12294" max="12294" width="27.7109375" style="449" customWidth="1"/>
    <col min="12295" max="12295" width="32.85546875" style="449" bestFit="1" customWidth="1"/>
    <col min="12296" max="12296" width="11.5703125" style="449" bestFit="1" customWidth="1"/>
    <col min="12297" max="12297" width="9.7109375" style="449" customWidth="1"/>
    <col min="12298" max="12298" width="12" style="449" customWidth="1"/>
    <col min="12299" max="12299" width="30.140625" style="449" customWidth="1"/>
    <col min="12300" max="12300" width="12" style="449" customWidth="1"/>
    <col min="12301" max="12301" width="12.140625" style="449" customWidth="1"/>
    <col min="12302" max="12549" width="9.140625" style="449"/>
    <col min="12550" max="12550" width="27.7109375" style="449" customWidth="1"/>
    <col min="12551" max="12551" width="32.85546875" style="449" bestFit="1" customWidth="1"/>
    <col min="12552" max="12552" width="11.5703125" style="449" bestFit="1" customWidth="1"/>
    <col min="12553" max="12553" width="9.7109375" style="449" customWidth="1"/>
    <col min="12554" max="12554" width="12" style="449" customWidth="1"/>
    <col min="12555" max="12555" width="30.140625" style="449" customWidth="1"/>
    <col min="12556" max="12556" width="12" style="449" customWidth="1"/>
    <col min="12557" max="12557" width="12.140625" style="449" customWidth="1"/>
    <col min="12558" max="12805" width="9.140625" style="449"/>
    <col min="12806" max="12806" width="27.7109375" style="449" customWidth="1"/>
    <col min="12807" max="12807" width="32.85546875" style="449" bestFit="1" customWidth="1"/>
    <col min="12808" max="12808" width="11.5703125" style="449" bestFit="1" customWidth="1"/>
    <col min="12809" max="12809" width="9.7109375" style="449" customWidth="1"/>
    <col min="12810" max="12810" width="12" style="449" customWidth="1"/>
    <col min="12811" max="12811" width="30.140625" style="449" customWidth="1"/>
    <col min="12812" max="12812" width="12" style="449" customWidth="1"/>
    <col min="12813" max="12813" width="12.140625" style="449" customWidth="1"/>
    <col min="12814" max="13061" width="9.140625" style="449"/>
    <col min="13062" max="13062" width="27.7109375" style="449" customWidth="1"/>
    <col min="13063" max="13063" width="32.85546875" style="449" bestFit="1" customWidth="1"/>
    <col min="13064" max="13064" width="11.5703125" style="449" bestFit="1" customWidth="1"/>
    <col min="13065" max="13065" width="9.7109375" style="449" customWidth="1"/>
    <col min="13066" max="13066" width="12" style="449" customWidth="1"/>
    <col min="13067" max="13067" width="30.140625" style="449" customWidth="1"/>
    <col min="13068" max="13068" width="12" style="449" customWidth="1"/>
    <col min="13069" max="13069" width="12.140625" style="449" customWidth="1"/>
    <col min="13070" max="13317" width="9.140625" style="449"/>
    <col min="13318" max="13318" width="27.7109375" style="449" customWidth="1"/>
    <col min="13319" max="13319" width="32.85546875" style="449" bestFit="1" customWidth="1"/>
    <col min="13320" max="13320" width="11.5703125" style="449" bestFit="1" customWidth="1"/>
    <col min="13321" max="13321" width="9.7109375" style="449" customWidth="1"/>
    <col min="13322" max="13322" width="12" style="449" customWidth="1"/>
    <col min="13323" max="13323" width="30.140625" style="449" customWidth="1"/>
    <col min="13324" max="13324" width="12" style="449" customWidth="1"/>
    <col min="13325" max="13325" width="12.140625" style="449" customWidth="1"/>
    <col min="13326" max="13573" width="9.140625" style="449"/>
    <col min="13574" max="13574" width="27.7109375" style="449" customWidth="1"/>
    <col min="13575" max="13575" width="32.85546875" style="449" bestFit="1" customWidth="1"/>
    <col min="13576" max="13576" width="11.5703125" style="449" bestFit="1" customWidth="1"/>
    <col min="13577" max="13577" width="9.7109375" style="449" customWidth="1"/>
    <col min="13578" max="13578" width="12" style="449" customWidth="1"/>
    <col min="13579" max="13579" width="30.140625" style="449" customWidth="1"/>
    <col min="13580" max="13580" width="12" style="449" customWidth="1"/>
    <col min="13581" max="13581" width="12.140625" style="449" customWidth="1"/>
    <col min="13582" max="13829" width="9.140625" style="449"/>
    <col min="13830" max="13830" width="27.7109375" style="449" customWidth="1"/>
    <col min="13831" max="13831" width="32.85546875" style="449" bestFit="1" customWidth="1"/>
    <col min="13832" max="13832" width="11.5703125" style="449" bestFit="1" customWidth="1"/>
    <col min="13833" max="13833" width="9.7109375" style="449" customWidth="1"/>
    <col min="13834" max="13834" width="12" style="449" customWidth="1"/>
    <col min="13835" max="13835" width="30.140625" style="449" customWidth="1"/>
    <col min="13836" max="13836" width="12" style="449" customWidth="1"/>
    <col min="13837" max="13837" width="12.140625" style="449" customWidth="1"/>
    <col min="13838" max="14085" width="9.140625" style="449"/>
    <col min="14086" max="14086" width="27.7109375" style="449" customWidth="1"/>
    <col min="14087" max="14087" width="32.85546875" style="449" bestFit="1" customWidth="1"/>
    <col min="14088" max="14088" width="11.5703125" style="449" bestFit="1" customWidth="1"/>
    <col min="14089" max="14089" width="9.7109375" style="449" customWidth="1"/>
    <col min="14090" max="14090" width="12" style="449" customWidth="1"/>
    <col min="14091" max="14091" width="30.140625" style="449" customWidth="1"/>
    <col min="14092" max="14092" width="12" style="449" customWidth="1"/>
    <col min="14093" max="14093" width="12.140625" style="449" customWidth="1"/>
    <col min="14094" max="14341" width="9.140625" style="449"/>
    <col min="14342" max="14342" width="27.7109375" style="449" customWidth="1"/>
    <col min="14343" max="14343" width="32.85546875" style="449" bestFit="1" customWidth="1"/>
    <col min="14344" max="14344" width="11.5703125" style="449" bestFit="1" customWidth="1"/>
    <col min="14345" max="14345" width="9.7109375" style="449" customWidth="1"/>
    <col min="14346" max="14346" width="12" style="449" customWidth="1"/>
    <col min="14347" max="14347" width="30.140625" style="449" customWidth="1"/>
    <col min="14348" max="14348" width="12" style="449" customWidth="1"/>
    <col min="14349" max="14349" width="12.140625" style="449" customWidth="1"/>
    <col min="14350" max="14597" width="9.140625" style="449"/>
    <col min="14598" max="14598" width="27.7109375" style="449" customWidth="1"/>
    <col min="14599" max="14599" width="32.85546875" style="449" bestFit="1" customWidth="1"/>
    <col min="14600" max="14600" width="11.5703125" style="449" bestFit="1" customWidth="1"/>
    <col min="14601" max="14601" width="9.7109375" style="449" customWidth="1"/>
    <col min="14602" max="14602" width="12" style="449" customWidth="1"/>
    <col min="14603" max="14603" width="30.140625" style="449" customWidth="1"/>
    <col min="14604" max="14604" width="12" style="449" customWidth="1"/>
    <col min="14605" max="14605" width="12.140625" style="449" customWidth="1"/>
    <col min="14606" max="14853" width="9.140625" style="449"/>
    <col min="14854" max="14854" width="27.7109375" style="449" customWidth="1"/>
    <col min="14855" max="14855" width="32.85546875" style="449" bestFit="1" customWidth="1"/>
    <col min="14856" max="14856" width="11.5703125" style="449" bestFit="1" customWidth="1"/>
    <col min="14857" max="14857" width="9.7109375" style="449" customWidth="1"/>
    <col min="14858" max="14858" width="12" style="449" customWidth="1"/>
    <col min="14859" max="14859" width="30.140625" style="449" customWidth="1"/>
    <col min="14860" max="14860" width="12" style="449" customWidth="1"/>
    <col min="14861" max="14861" width="12.140625" style="449" customWidth="1"/>
    <col min="14862" max="15109" width="9.140625" style="449"/>
    <col min="15110" max="15110" width="27.7109375" style="449" customWidth="1"/>
    <col min="15111" max="15111" width="32.85546875" style="449" bestFit="1" customWidth="1"/>
    <col min="15112" max="15112" width="11.5703125" style="449" bestFit="1" customWidth="1"/>
    <col min="15113" max="15113" width="9.7109375" style="449" customWidth="1"/>
    <col min="15114" max="15114" width="12" style="449" customWidth="1"/>
    <col min="15115" max="15115" width="30.140625" style="449" customWidth="1"/>
    <col min="15116" max="15116" width="12" style="449" customWidth="1"/>
    <col min="15117" max="15117" width="12.140625" style="449" customWidth="1"/>
    <col min="15118" max="15365" width="9.140625" style="449"/>
    <col min="15366" max="15366" width="27.7109375" style="449" customWidth="1"/>
    <col min="15367" max="15367" width="32.85546875" style="449" bestFit="1" customWidth="1"/>
    <col min="15368" max="15368" width="11.5703125" style="449" bestFit="1" customWidth="1"/>
    <col min="15369" max="15369" width="9.7109375" style="449" customWidth="1"/>
    <col min="15370" max="15370" width="12" style="449" customWidth="1"/>
    <col min="15371" max="15371" width="30.140625" style="449" customWidth="1"/>
    <col min="15372" max="15372" width="12" style="449" customWidth="1"/>
    <col min="15373" max="15373" width="12.140625" style="449" customWidth="1"/>
    <col min="15374" max="15621" width="9.140625" style="449"/>
    <col min="15622" max="15622" width="27.7109375" style="449" customWidth="1"/>
    <col min="15623" max="15623" width="32.85546875" style="449" bestFit="1" customWidth="1"/>
    <col min="15624" max="15624" width="11.5703125" style="449" bestFit="1" customWidth="1"/>
    <col min="15625" max="15625" width="9.7109375" style="449" customWidth="1"/>
    <col min="15626" max="15626" width="12" style="449" customWidth="1"/>
    <col min="15627" max="15627" width="30.140625" style="449" customWidth="1"/>
    <col min="15628" max="15628" width="12" style="449" customWidth="1"/>
    <col min="15629" max="15629" width="12.140625" style="449" customWidth="1"/>
    <col min="15630" max="15877" width="9.140625" style="449"/>
    <col min="15878" max="15878" width="27.7109375" style="449" customWidth="1"/>
    <col min="15879" max="15879" width="32.85546875" style="449" bestFit="1" customWidth="1"/>
    <col min="15880" max="15880" width="11.5703125" style="449" bestFit="1" customWidth="1"/>
    <col min="15881" max="15881" width="9.7109375" style="449" customWidth="1"/>
    <col min="15882" max="15882" width="12" style="449" customWidth="1"/>
    <col min="15883" max="15883" width="30.140625" style="449" customWidth="1"/>
    <col min="15884" max="15884" width="12" style="449" customWidth="1"/>
    <col min="15885" max="15885" width="12.140625" style="449" customWidth="1"/>
    <col min="15886" max="16133" width="9.140625" style="449"/>
    <col min="16134" max="16134" width="27.7109375" style="449" customWidth="1"/>
    <col min="16135" max="16135" width="32.85546875" style="449" bestFit="1" customWidth="1"/>
    <col min="16136" max="16136" width="11.5703125" style="449" bestFit="1" customWidth="1"/>
    <col min="16137" max="16137" width="9.7109375" style="449" customWidth="1"/>
    <col min="16138" max="16138" width="12" style="449" customWidth="1"/>
    <col min="16139" max="16139" width="30.140625" style="449" customWidth="1"/>
    <col min="16140" max="16140" width="12" style="449" customWidth="1"/>
    <col min="16141" max="16141" width="12.140625" style="449" customWidth="1"/>
    <col min="16142" max="16384" width="9.140625" style="449"/>
  </cols>
  <sheetData>
    <row r="1" spans="1:24" s="642" customFormat="1" ht="20.25">
      <c r="A1" s="639" t="s">
        <v>442</v>
      </c>
      <c r="B1" s="638"/>
      <c r="C1" s="639"/>
      <c r="D1" s="640"/>
      <c r="E1" s="641"/>
      <c r="N1" s="943"/>
      <c r="O1" s="943"/>
      <c r="P1" s="943"/>
      <c r="Q1" s="943"/>
      <c r="R1" s="943"/>
      <c r="S1" s="943"/>
      <c r="T1" s="943"/>
      <c r="U1" s="943"/>
      <c r="V1" s="943"/>
      <c r="W1" s="1269"/>
      <c r="X1" s="944"/>
    </row>
    <row r="2" spans="1:24" s="415" customFormat="1">
      <c r="A2" s="414" t="s">
        <v>336</v>
      </c>
      <c r="N2" s="945"/>
      <c r="O2" s="945"/>
      <c r="P2" s="945"/>
      <c r="Q2" s="945"/>
      <c r="R2" s="945"/>
      <c r="S2" s="945"/>
      <c r="T2" s="945"/>
      <c r="U2" s="945"/>
      <c r="V2" s="945"/>
      <c r="W2" s="1270"/>
      <c r="X2" s="946"/>
    </row>
    <row r="3" spans="1:24">
      <c r="A3" s="643" t="s">
        <v>419</v>
      </c>
      <c r="B3" s="636"/>
      <c r="C3" s="442"/>
      <c r="D3" s="644"/>
      <c r="E3" s="645"/>
      <c r="O3" s="1546"/>
      <c r="P3" s="1546"/>
      <c r="Q3" s="1546"/>
      <c r="R3" s="1546"/>
      <c r="S3" s="1546"/>
      <c r="T3" s="1546"/>
      <c r="U3" s="1546"/>
      <c r="V3" s="1546"/>
      <c r="W3" s="1547"/>
      <c r="X3" s="1548"/>
    </row>
    <row r="4" spans="1:24" ht="16.5" thickBot="1">
      <c r="A4" s="646" t="s">
        <v>279</v>
      </c>
      <c r="B4" s="647"/>
      <c r="C4" s="648" t="s">
        <v>420</v>
      </c>
      <c r="D4" s="649" t="s">
        <v>421</v>
      </c>
      <c r="E4" s="712" t="s">
        <v>422</v>
      </c>
      <c r="F4" s="648" t="s">
        <v>443</v>
      </c>
      <c r="O4" s="1549"/>
      <c r="P4" s="1546"/>
      <c r="Q4" s="1546"/>
      <c r="R4" s="1546"/>
      <c r="S4" s="1546"/>
      <c r="T4" s="1546"/>
      <c r="U4" s="1546"/>
      <c r="V4" s="1546"/>
      <c r="W4" s="1547"/>
      <c r="X4" s="1548"/>
    </row>
    <row r="5" spans="1:24" ht="27" thickBot="1">
      <c r="A5" s="651" t="s">
        <v>282</v>
      </c>
      <c r="B5" s="652"/>
      <c r="C5" s="653"/>
      <c r="D5" s="654"/>
      <c r="E5" s="713"/>
      <c r="F5" s="714"/>
      <c r="G5" s="449">
        <f>C6*(3.27%+1)</f>
        <v>51635</v>
      </c>
      <c r="H5" s="449">
        <f>G5*(4.19%+1)</f>
        <v>53798.506500000003</v>
      </c>
      <c r="J5" s="56" t="s">
        <v>225</v>
      </c>
      <c r="K5" s="2536"/>
      <c r="L5" s="2536"/>
      <c r="M5" s="58" t="s">
        <v>226</v>
      </c>
      <c r="O5" s="3264" t="s">
        <v>21</v>
      </c>
      <c r="P5" s="3265"/>
      <c r="Q5" s="3265"/>
      <c r="R5" s="3265"/>
      <c r="S5" s="3266"/>
      <c r="T5" s="1546"/>
      <c r="U5" s="1546"/>
      <c r="V5" s="3267" t="s">
        <v>223</v>
      </c>
      <c r="W5" s="3268"/>
      <c r="X5" s="3269"/>
    </row>
    <row r="6" spans="1:24" ht="16.5" thickBot="1">
      <c r="A6" s="651"/>
      <c r="B6" s="656" t="s">
        <v>191</v>
      </c>
      <c r="C6" s="653">
        <v>50000</v>
      </c>
      <c r="D6" s="658">
        <v>0.06</v>
      </c>
      <c r="E6" s="715">
        <f>C6*D6</f>
        <v>3000</v>
      </c>
      <c r="F6" s="680"/>
      <c r="J6" s="64" t="s">
        <v>230</v>
      </c>
      <c r="K6" s="65" t="s">
        <v>231</v>
      </c>
      <c r="L6" s="66" t="s">
        <v>232</v>
      </c>
      <c r="M6" s="67">
        <v>2080</v>
      </c>
      <c r="O6" s="2247"/>
      <c r="P6" s="2248" t="s">
        <v>231</v>
      </c>
      <c r="Q6" s="2249">
        <f>M11</f>
        <v>1775</v>
      </c>
      <c r="R6" s="2248"/>
      <c r="S6" s="2250"/>
      <c r="T6" s="1546"/>
      <c r="U6" s="1546"/>
      <c r="V6" s="3270" t="s">
        <v>227</v>
      </c>
      <c r="W6" s="3271"/>
      <c r="X6" s="1554" t="s">
        <v>228</v>
      </c>
    </row>
    <row r="7" spans="1:24" ht="18" customHeight="1" thickBot="1">
      <c r="A7" s="659"/>
      <c r="B7" s="716" t="s">
        <v>215</v>
      </c>
      <c r="C7" s="717">
        <f>'[8]FY 09 UFR Salary Data'!$H$40</f>
        <v>25622.22</v>
      </c>
      <c r="D7" s="658">
        <v>1</v>
      </c>
      <c r="E7" s="715">
        <f>C7*D7</f>
        <v>25622.22</v>
      </c>
      <c r="F7" s="718" t="s">
        <v>444</v>
      </c>
      <c r="G7" s="449">
        <f>C7*(3.27%+1)</f>
        <v>26460.066594</v>
      </c>
      <c r="H7" s="449">
        <f>G7*(4.19%+1)</f>
        <v>27568.743384288602</v>
      </c>
      <c r="J7" s="76" t="s">
        <v>236</v>
      </c>
      <c r="K7" s="77">
        <v>120</v>
      </c>
      <c r="L7" s="2554">
        <v>2</v>
      </c>
      <c r="M7" s="79">
        <f>L7*K7</f>
        <v>240</v>
      </c>
      <c r="O7" s="2251"/>
      <c r="P7" s="2252"/>
      <c r="Q7" s="2253" t="s">
        <v>209</v>
      </c>
      <c r="R7" s="2254" t="s">
        <v>190</v>
      </c>
      <c r="S7" s="2255" t="s">
        <v>210</v>
      </c>
      <c r="T7" s="1546"/>
      <c r="U7" s="1546"/>
      <c r="V7" s="1560" t="s">
        <v>191</v>
      </c>
      <c r="W7" s="1561">
        <f>'Master Look Up'!L26</f>
        <v>55383.32303680529</v>
      </c>
      <c r="X7" s="2573" t="s">
        <v>861</v>
      </c>
    </row>
    <row r="8" spans="1:24" ht="16.5" thickBot="1">
      <c r="A8" s="660" t="s">
        <v>286</v>
      </c>
      <c r="B8" s="661"/>
      <c r="C8" s="657"/>
      <c r="D8" s="658">
        <f>SUM(D6:D7)</f>
        <v>1.06</v>
      </c>
      <c r="E8" s="715">
        <f>SUM(E6:E7)</f>
        <v>28622.22</v>
      </c>
      <c r="F8" s="680"/>
      <c r="J8" s="86" t="s">
        <v>237</v>
      </c>
      <c r="K8" s="77">
        <v>10</v>
      </c>
      <c r="L8" s="2553">
        <v>2.5</v>
      </c>
      <c r="M8" s="79">
        <f>L8*K8</f>
        <v>25</v>
      </c>
      <c r="O8" s="2256" t="s">
        <v>191</v>
      </c>
      <c r="P8" s="2257"/>
      <c r="Q8" s="2258">
        <f>W7</f>
        <v>55383.32303680529</v>
      </c>
      <c r="R8" s="2259">
        <v>0.06</v>
      </c>
      <c r="S8" s="2260">
        <f>Q8*R8</f>
        <v>3322.9993822083175</v>
      </c>
      <c r="T8" s="1546"/>
      <c r="U8" s="1546"/>
      <c r="V8" s="1567" t="s">
        <v>839</v>
      </c>
      <c r="W8" s="1568">
        <f>'Master Look Up'!L28</f>
        <v>40107</v>
      </c>
      <c r="X8" s="2213" t="s">
        <v>832</v>
      </c>
    </row>
    <row r="9" spans="1:24" ht="16.5" thickBot="1">
      <c r="A9" s="659"/>
      <c r="B9" s="662"/>
      <c r="C9" s="653"/>
      <c r="D9" s="654"/>
      <c r="E9" s="713"/>
      <c r="F9" s="714"/>
      <c r="J9" s="92" t="s">
        <v>239</v>
      </c>
      <c r="K9" s="77">
        <v>40</v>
      </c>
      <c r="L9" s="2552">
        <v>1</v>
      </c>
      <c r="M9" s="79">
        <f>L9*K9</f>
        <v>40</v>
      </c>
      <c r="O9" s="18" t="s">
        <v>839</v>
      </c>
      <c r="P9" s="1796"/>
      <c r="Q9" s="2284">
        <f>W8</f>
        <v>40107</v>
      </c>
      <c r="R9" s="1802">
        <v>1</v>
      </c>
      <c r="S9" s="2285">
        <f t="shared" ref="S9" si="0">Q9*R9</f>
        <v>40107</v>
      </c>
      <c r="T9" s="1546"/>
      <c r="U9" s="1546"/>
      <c r="V9" s="3272" t="s">
        <v>240</v>
      </c>
      <c r="W9" s="3273"/>
      <c r="X9" s="1572"/>
    </row>
    <row r="10" spans="1:24" ht="16.5" thickBot="1">
      <c r="A10" s="663" t="s">
        <v>288</v>
      </c>
      <c r="B10" s="664" t="s">
        <v>289</v>
      </c>
      <c r="C10" s="665">
        <v>0.22</v>
      </c>
      <c r="D10" s="658"/>
      <c r="E10" s="715">
        <f>E8*C10</f>
        <v>6296.8884000000007</v>
      </c>
      <c r="F10" s="719"/>
      <c r="J10" s="111" t="s">
        <v>248</v>
      </c>
      <c r="K10" s="112"/>
      <c r="L10" s="113"/>
      <c r="M10" s="67">
        <f>SUM(M7:M9)</f>
        <v>305</v>
      </c>
      <c r="O10" s="2236" t="s">
        <v>334</v>
      </c>
      <c r="P10" s="2226"/>
      <c r="Q10" s="840"/>
      <c r="R10" s="2227">
        <f>SUM(R8:R9)</f>
        <v>1.06</v>
      </c>
      <c r="S10" s="2283">
        <f>SUM(S8:S9)</f>
        <v>43429.99938220832</v>
      </c>
      <c r="T10" s="1546"/>
      <c r="U10" s="1546"/>
      <c r="V10" s="1127"/>
      <c r="W10" s="1034"/>
      <c r="X10" s="2221"/>
    </row>
    <row r="11" spans="1:24" ht="16.5" thickBot="1">
      <c r="A11" s="663" t="s">
        <v>295</v>
      </c>
      <c r="B11" s="664"/>
      <c r="C11" s="657"/>
      <c r="D11" s="658"/>
      <c r="E11" s="715">
        <f>SUM(E8,E10:E10)</f>
        <v>34919.108400000005</v>
      </c>
      <c r="F11" s="680"/>
      <c r="J11" s="2614" t="s">
        <v>250</v>
      </c>
      <c r="K11" s="2615"/>
      <c r="L11" s="2616"/>
      <c r="M11" s="2617">
        <f>M6-M10</f>
        <v>1775</v>
      </c>
      <c r="O11" s="2279" t="s">
        <v>196</v>
      </c>
      <c r="P11" s="2280">
        <f>W14</f>
        <v>0.22</v>
      </c>
      <c r="Q11" s="2281"/>
      <c r="R11" s="2282"/>
      <c r="S11" s="2283">
        <f>P11*S10</f>
        <v>9554.5998640858306</v>
      </c>
      <c r="T11" s="1546"/>
      <c r="U11" s="1546"/>
      <c r="V11" s="2210" t="s">
        <v>673</v>
      </c>
      <c r="W11" s="2212">
        <f>'Master Look Up'!F6</f>
        <v>178.16741415351552</v>
      </c>
      <c r="X11" s="2213" t="s">
        <v>832</v>
      </c>
    </row>
    <row r="12" spans="1:24" ht="16.5" thickBot="1">
      <c r="A12" s="659"/>
      <c r="B12" s="662"/>
      <c r="C12" s="653"/>
      <c r="D12" s="654"/>
      <c r="E12" s="713"/>
      <c r="F12" s="714"/>
      <c r="O12" s="2274" t="s">
        <v>198</v>
      </c>
      <c r="P12" s="2275"/>
      <c r="Q12" s="2276"/>
      <c r="R12" s="2277"/>
      <c r="S12" s="2278">
        <f>S10+S11</f>
        <v>52984.59924629415</v>
      </c>
      <c r="T12" s="1546"/>
      <c r="U12" s="1546"/>
      <c r="V12" s="2210" t="s">
        <v>674</v>
      </c>
      <c r="W12" s="2212">
        <f>'Master Look Up'!F7</f>
        <v>1410.7821990248415</v>
      </c>
      <c r="X12" s="2213" t="s">
        <v>832</v>
      </c>
    </row>
    <row r="13" spans="1:24" ht="16.5" thickBot="1">
      <c r="A13" s="675" t="s">
        <v>297</v>
      </c>
      <c r="B13" s="676" t="s">
        <v>298</v>
      </c>
      <c r="C13" s="677">
        <v>0.11</v>
      </c>
      <c r="D13" s="674"/>
      <c r="E13" s="720">
        <f>C13*E11</f>
        <v>3841.1019240000005</v>
      </c>
      <c r="F13" s="680"/>
      <c r="O13" s="2286" t="str">
        <f>V11</f>
        <v>Staff Training 204</v>
      </c>
      <c r="P13" s="2287"/>
      <c r="Q13" s="746"/>
      <c r="R13" s="51"/>
      <c r="S13" s="1809">
        <f>R9*W11</f>
        <v>178.16741415351552</v>
      </c>
      <c r="T13" s="1546"/>
      <c r="U13" s="1546"/>
      <c r="V13" s="2210"/>
      <c r="W13" s="125"/>
      <c r="X13" s="2213"/>
    </row>
    <row r="14" spans="1:24">
      <c r="A14" s="679" t="s">
        <v>299</v>
      </c>
      <c r="B14" s="679"/>
      <c r="C14" s="680"/>
      <c r="D14" s="678"/>
      <c r="E14" s="721">
        <f>SUM(E13:E13)</f>
        <v>3841.1019240000005</v>
      </c>
      <c r="F14" s="680"/>
      <c r="O14" s="2286" t="str">
        <f>V12</f>
        <v>Staff Mileage / Travel 205</v>
      </c>
      <c r="P14" s="2287"/>
      <c r="Q14" s="746"/>
      <c r="R14" s="51"/>
      <c r="S14" s="1809">
        <f>R9*W12</f>
        <v>1410.7821990248415</v>
      </c>
      <c r="T14" s="1546"/>
      <c r="U14" s="1546"/>
      <c r="V14" s="2293" t="s">
        <v>196</v>
      </c>
      <c r="W14" s="2294">
        <v>0.22</v>
      </c>
      <c r="X14" s="2295" t="s">
        <v>524</v>
      </c>
    </row>
    <row r="15" spans="1:24">
      <c r="A15" s="681"/>
      <c r="B15" s="682"/>
      <c r="C15" s="722"/>
      <c r="D15" s="683"/>
      <c r="E15" s="723"/>
      <c r="F15" s="714"/>
      <c r="O15" s="2237"/>
      <c r="P15" s="1810"/>
      <c r="Q15" s="1211"/>
      <c r="R15" s="2228"/>
      <c r="S15" s="1809"/>
      <c r="T15" s="1546"/>
      <c r="U15" s="1546"/>
      <c r="V15" s="2222" t="s">
        <v>653</v>
      </c>
      <c r="W15" s="2223">
        <v>6.3E-3</v>
      </c>
      <c r="X15" s="1536" t="s">
        <v>860</v>
      </c>
    </row>
    <row r="16" spans="1:24">
      <c r="A16" s="685" t="s">
        <v>300</v>
      </c>
      <c r="B16" s="686"/>
      <c r="C16" s="687"/>
      <c r="D16" s="688"/>
      <c r="E16" s="721">
        <f>SUM(E11,E14)</f>
        <v>38760.210324000007</v>
      </c>
      <c r="F16" s="680"/>
      <c r="O16" s="2291" t="s">
        <v>200</v>
      </c>
      <c r="P16" s="2288"/>
      <c r="Q16" s="2289"/>
      <c r="R16" s="2290"/>
      <c r="S16" s="2292">
        <f>SUM(S12:S15)</f>
        <v>54573.54885947251</v>
      </c>
      <c r="T16" s="1584"/>
      <c r="U16" s="1584"/>
      <c r="V16" s="99" t="s">
        <v>201</v>
      </c>
      <c r="W16" s="2224">
        <v>0.11</v>
      </c>
      <c r="X16" s="2216" t="s">
        <v>524</v>
      </c>
    </row>
    <row r="17" spans="1:24" ht="16.5" thickBot="1">
      <c r="A17" s="689"/>
      <c r="B17" s="690"/>
      <c r="G17" s="709" t="e">
        <f>#REF!</f>
        <v>#REF!</v>
      </c>
      <c r="H17" s="709"/>
      <c r="I17" s="709"/>
      <c r="J17" s="709"/>
      <c r="K17" s="709"/>
      <c r="L17" s="709"/>
      <c r="M17" s="709"/>
      <c r="O17" s="2238" t="str">
        <f>V15</f>
        <v>PFMLA</v>
      </c>
      <c r="P17" s="1823">
        <f>W15</f>
        <v>6.3E-3</v>
      </c>
      <c r="Q17" s="2229"/>
      <c r="R17" s="2230"/>
      <c r="S17" s="2239">
        <f>P17*S10</f>
        <v>273.60899610791239</v>
      </c>
      <c r="T17" s="1546"/>
      <c r="U17" s="1546"/>
      <c r="V17" s="2296" t="s">
        <v>256</v>
      </c>
      <c r="W17" s="2297">
        <f>'Spring 2019 CAF'!BU25</f>
        <v>1.8120393120392975E-2</v>
      </c>
      <c r="X17" s="2225" t="s">
        <v>652</v>
      </c>
    </row>
    <row r="18" spans="1:24" ht="16.5" thickBot="1">
      <c r="A18" s="695" t="s">
        <v>429</v>
      </c>
      <c r="D18" s="449"/>
      <c r="E18" s="691"/>
      <c r="F18" s="697" t="s">
        <v>430</v>
      </c>
      <c r="G18" s="698"/>
      <c r="O18" s="1581" t="s">
        <v>201</v>
      </c>
      <c r="P18" s="2262">
        <f>W16</f>
        <v>0.11</v>
      </c>
      <c r="Q18" s="2261"/>
      <c r="R18" s="2263"/>
      <c r="S18" s="2264">
        <f>P18*S16</f>
        <v>6003.0903745419764</v>
      </c>
      <c r="T18" s="1546"/>
      <c r="U18" s="1546"/>
      <c r="V18" s="2218" t="s">
        <v>711</v>
      </c>
      <c r="W18" s="2219">
        <f>'CAF Spring17'!BK27</f>
        <v>2.7235921972764018E-2</v>
      </c>
      <c r="X18" s="2220" t="s">
        <v>523</v>
      </c>
    </row>
    <row r="19" spans="1:24" ht="16.5" thickBot="1">
      <c r="A19" s="699" t="s">
        <v>431</v>
      </c>
      <c r="B19" s="700"/>
      <c r="C19" s="701">
        <v>52</v>
      </c>
      <c r="D19" s="464">
        <v>40</v>
      </c>
      <c r="E19" s="702">
        <f>52*40</f>
        <v>2080</v>
      </c>
      <c r="F19" s="703" t="s">
        <v>432</v>
      </c>
      <c r="G19" s="704">
        <f>E16</f>
        <v>38760.210324000007</v>
      </c>
      <c r="H19" s="684"/>
      <c r="I19" s="684"/>
      <c r="J19" s="684"/>
      <c r="K19" s="684"/>
      <c r="L19" s="684"/>
      <c r="M19" s="684"/>
      <c r="O19" s="832" t="s">
        <v>203</v>
      </c>
      <c r="P19" s="2231"/>
      <c r="Q19" s="859"/>
      <c r="R19" s="2232"/>
      <c r="S19" s="828">
        <f>S18+S17+S16</f>
        <v>60850.248230122401</v>
      </c>
      <c r="T19" s="1546"/>
      <c r="U19" s="1546"/>
      <c r="V19" s="1546"/>
      <c r="W19" s="1547"/>
      <c r="X19" s="1548"/>
    </row>
    <row r="20" spans="1:24" ht="16.5" thickBot="1">
      <c r="A20" s="655"/>
      <c r="B20" s="705"/>
      <c r="C20" s="469"/>
      <c r="D20" s="425"/>
      <c r="E20" s="706"/>
      <c r="F20" s="703" t="s">
        <v>433</v>
      </c>
      <c r="G20" s="704" t="e">
        <f>#REF!</f>
        <v>#REF!</v>
      </c>
      <c r="H20" s="684"/>
      <c r="I20" s="684"/>
      <c r="J20" s="684"/>
      <c r="K20" s="684"/>
      <c r="L20" s="684"/>
      <c r="M20" s="684"/>
      <c r="O20" s="2265" t="s">
        <v>348</v>
      </c>
      <c r="P20" s="2266" t="s">
        <v>205</v>
      </c>
      <c r="Q20" s="2267">
        <f>W17</f>
        <v>1.8120393120392975E-2</v>
      </c>
      <c r="R20" s="1487"/>
      <c r="S20" s="2268">
        <f>S19*(Q20+1)</f>
        <v>61952.878649525723</v>
      </c>
      <c r="T20" s="3112"/>
      <c r="U20" s="1590"/>
      <c r="V20" s="1546"/>
      <c r="W20" s="1547"/>
      <c r="X20" s="1548"/>
    </row>
    <row r="21" spans="1:24">
      <c r="A21" s="655"/>
      <c r="B21" s="705"/>
      <c r="C21" s="469"/>
      <c r="D21" s="425"/>
      <c r="E21" s="706"/>
      <c r="F21" s="703"/>
      <c r="G21" s="704"/>
      <c r="H21" s="684"/>
      <c r="I21" s="684"/>
      <c r="J21" s="684"/>
      <c r="K21" s="684"/>
      <c r="L21" s="684"/>
      <c r="M21" s="684"/>
      <c r="O21" s="2240" t="s">
        <v>522</v>
      </c>
      <c r="P21" s="2233"/>
      <c r="Q21" s="2233"/>
      <c r="R21" s="2234"/>
      <c r="S21" s="2241">
        <f>S20/Q6+0.02</f>
        <v>34.923030225084915</v>
      </c>
      <c r="T21" s="3113"/>
      <c r="U21" s="1602"/>
      <c r="V21" s="1546"/>
      <c r="W21" s="1547"/>
      <c r="X21" s="1548"/>
    </row>
    <row r="22" spans="1:24">
      <c r="O22" s="2242" t="s">
        <v>516</v>
      </c>
      <c r="P22" s="1607"/>
      <c r="Q22" s="1607"/>
      <c r="R22" s="1607"/>
      <c r="S22" s="2243">
        <f>S21/2</f>
        <v>17.461515112542457</v>
      </c>
      <c r="T22" s="3113"/>
      <c r="U22" s="1602"/>
      <c r="V22" s="1546"/>
      <c r="W22" s="1547"/>
      <c r="X22" s="1548"/>
    </row>
    <row r="23" spans="1:24" ht="16.5" thickBot="1">
      <c r="O23" s="2244" t="s">
        <v>517</v>
      </c>
      <c r="P23" s="2245"/>
      <c r="Q23" s="2245"/>
      <c r="R23" s="2245"/>
      <c r="S23" s="2246">
        <f>S21/5+0.03</f>
        <v>7.0146060450169836</v>
      </c>
      <c r="T23" s="3113"/>
      <c r="U23" s="1602"/>
      <c r="V23" s="1546"/>
      <c r="W23" s="1547"/>
      <c r="X23" s="1548"/>
    </row>
    <row r="24" spans="1:24">
      <c r="O24" s="1549"/>
      <c r="P24" s="1549"/>
      <c r="Q24" s="1549"/>
      <c r="R24" s="1549"/>
      <c r="S24" s="1549"/>
      <c r="T24" s="1546"/>
      <c r="U24" s="1590"/>
      <c r="V24" s="1546"/>
      <c r="W24" s="1547"/>
      <c r="X24" s="1594"/>
    </row>
    <row r="25" spans="1:24">
      <c r="O25" s="1546"/>
      <c r="P25" s="1546"/>
      <c r="Q25" s="1546"/>
      <c r="R25" s="1546"/>
      <c r="S25" s="1546"/>
      <c r="T25" s="1546"/>
      <c r="U25" s="1546"/>
      <c r="V25" s="1546"/>
      <c r="W25" s="1547"/>
      <c r="X25" s="1548"/>
    </row>
    <row r="26" spans="1:24">
      <c r="O26" s="1546"/>
      <c r="P26" s="1546"/>
      <c r="Q26" s="1546"/>
      <c r="R26" s="1546"/>
      <c r="S26" s="1546"/>
      <c r="V26" s="1546"/>
      <c r="W26" s="1547"/>
      <c r="X26" s="1548"/>
    </row>
  </sheetData>
  <mergeCells count="4">
    <mergeCell ref="O5:S5"/>
    <mergeCell ref="V5:X5"/>
    <mergeCell ref="V6:W6"/>
    <mergeCell ref="V9:W9"/>
  </mergeCells>
  <pageMargins left="0.75" right="0.75" top="1" bottom="1" header="0.5" footer="0.5"/>
  <pageSetup scale="5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90" zoomScaleNormal="90" workbookViewId="0">
      <selection activeCell="A24" sqref="A24"/>
    </sheetView>
  </sheetViews>
  <sheetFormatPr defaultRowHeight="15.75"/>
  <cols>
    <col min="1" max="1" width="43.7109375" style="469" bestFit="1" customWidth="1"/>
    <col min="2" max="2" width="14.7109375" style="698" customWidth="1"/>
    <col min="3" max="3" width="10.42578125" style="469" bestFit="1" customWidth="1"/>
    <col min="4" max="4" width="6.7109375" style="425" bestFit="1" customWidth="1"/>
    <col min="5" max="5" width="9.140625" style="684" bestFit="1" customWidth="1"/>
    <col min="6" max="6" width="23.42578125" style="947" bestFit="1" customWidth="1"/>
    <col min="7" max="7" width="6.42578125" style="947" bestFit="1" customWidth="1"/>
    <col min="8" max="8" width="8.28515625" style="947" bestFit="1" customWidth="1"/>
    <col min="9" max="9" width="11.140625" style="947" customWidth="1"/>
    <col min="10" max="11" width="8.28515625" style="947" bestFit="1" customWidth="1"/>
    <col min="12" max="12" width="7.5703125" style="947" bestFit="1" customWidth="1"/>
    <col min="13" max="13" width="24.5703125" style="947" customWidth="1"/>
    <col min="14" max="14" width="8.28515625" style="1269" bestFit="1" customWidth="1"/>
    <col min="15" max="15" width="57.28515625" style="948" customWidth="1"/>
    <col min="16" max="252" width="9.140625" style="449"/>
    <col min="253" max="253" width="27.7109375" style="449" customWidth="1"/>
    <col min="254" max="254" width="32.85546875" style="449" bestFit="1" customWidth="1"/>
    <col min="255" max="255" width="11.5703125" style="449" bestFit="1" customWidth="1"/>
    <col min="256" max="256" width="9.7109375" style="449" customWidth="1"/>
    <col min="257" max="257" width="12" style="449" customWidth="1"/>
    <col min="258" max="258" width="30.140625" style="449" customWidth="1"/>
    <col min="259" max="259" width="12" style="449" customWidth="1"/>
    <col min="260" max="260" width="12.140625" style="449" customWidth="1"/>
    <col min="261" max="508" width="9.140625" style="449"/>
    <col min="509" max="509" width="27.7109375" style="449" customWidth="1"/>
    <col min="510" max="510" width="32.85546875" style="449" bestFit="1" customWidth="1"/>
    <col min="511" max="511" width="11.5703125" style="449" bestFit="1" customWidth="1"/>
    <col min="512" max="512" width="9.7109375" style="449" customWidth="1"/>
    <col min="513" max="513" width="12" style="449" customWidth="1"/>
    <col min="514" max="514" width="30.140625" style="449" customWidth="1"/>
    <col min="515" max="515" width="12" style="449" customWidth="1"/>
    <col min="516" max="516" width="12.140625" style="449" customWidth="1"/>
    <col min="517" max="764" width="9.140625" style="449"/>
    <col min="765" max="765" width="27.7109375" style="449" customWidth="1"/>
    <col min="766" max="766" width="32.85546875" style="449" bestFit="1" customWidth="1"/>
    <col min="767" max="767" width="11.5703125" style="449" bestFit="1" customWidth="1"/>
    <col min="768" max="768" width="9.7109375" style="449" customWidth="1"/>
    <col min="769" max="769" width="12" style="449" customWidth="1"/>
    <col min="770" max="770" width="30.140625" style="449" customWidth="1"/>
    <col min="771" max="771" width="12" style="449" customWidth="1"/>
    <col min="772" max="772" width="12.140625" style="449" customWidth="1"/>
    <col min="773" max="1020" width="9.140625" style="449"/>
    <col min="1021" max="1021" width="27.7109375" style="449" customWidth="1"/>
    <col min="1022" max="1022" width="32.85546875" style="449" bestFit="1" customWidth="1"/>
    <col min="1023" max="1023" width="11.5703125" style="449" bestFit="1" customWidth="1"/>
    <col min="1024" max="1024" width="9.7109375" style="449" customWidth="1"/>
    <col min="1025" max="1025" width="12" style="449" customWidth="1"/>
    <col min="1026" max="1026" width="30.140625" style="449" customWidth="1"/>
    <col min="1027" max="1027" width="12" style="449" customWidth="1"/>
    <col min="1028" max="1028" width="12.140625" style="449" customWidth="1"/>
    <col min="1029" max="1276" width="9.140625" style="449"/>
    <col min="1277" max="1277" width="27.7109375" style="449" customWidth="1"/>
    <col min="1278" max="1278" width="32.85546875" style="449" bestFit="1" customWidth="1"/>
    <col min="1279" max="1279" width="11.5703125" style="449" bestFit="1" customWidth="1"/>
    <col min="1280" max="1280" width="9.7109375" style="449" customWidth="1"/>
    <col min="1281" max="1281" width="12" style="449" customWidth="1"/>
    <col min="1282" max="1282" width="30.140625" style="449" customWidth="1"/>
    <col min="1283" max="1283" width="12" style="449" customWidth="1"/>
    <col min="1284" max="1284" width="12.140625" style="449" customWidth="1"/>
    <col min="1285" max="1532" width="9.140625" style="449"/>
    <col min="1533" max="1533" width="27.7109375" style="449" customWidth="1"/>
    <col min="1534" max="1534" width="32.85546875" style="449" bestFit="1" customWidth="1"/>
    <col min="1535" max="1535" width="11.5703125" style="449" bestFit="1" customWidth="1"/>
    <col min="1536" max="1536" width="9.7109375" style="449" customWidth="1"/>
    <col min="1537" max="1537" width="12" style="449" customWidth="1"/>
    <col min="1538" max="1538" width="30.140625" style="449" customWidth="1"/>
    <col min="1539" max="1539" width="12" style="449" customWidth="1"/>
    <col min="1540" max="1540" width="12.140625" style="449" customWidth="1"/>
    <col min="1541" max="1788" width="9.140625" style="449"/>
    <col min="1789" max="1789" width="27.7109375" style="449" customWidth="1"/>
    <col min="1790" max="1790" width="32.85546875" style="449" bestFit="1" customWidth="1"/>
    <col min="1791" max="1791" width="11.5703125" style="449" bestFit="1" customWidth="1"/>
    <col min="1792" max="1792" width="9.7109375" style="449" customWidth="1"/>
    <col min="1793" max="1793" width="12" style="449" customWidth="1"/>
    <col min="1794" max="1794" width="30.140625" style="449" customWidth="1"/>
    <col min="1795" max="1795" width="12" style="449" customWidth="1"/>
    <col min="1796" max="1796" width="12.140625" style="449" customWidth="1"/>
    <col min="1797" max="2044" width="9.140625" style="449"/>
    <col min="2045" max="2045" width="27.7109375" style="449" customWidth="1"/>
    <col min="2046" max="2046" width="32.85546875" style="449" bestFit="1" customWidth="1"/>
    <col min="2047" max="2047" width="11.5703125" style="449" bestFit="1" customWidth="1"/>
    <col min="2048" max="2048" width="9.7109375" style="449" customWidth="1"/>
    <col min="2049" max="2049" width="12" style="449" customWidth="1"/>
    <col min="2050" max="2050" width="30.140625" style="449" customWidth="1"/>
    <col min="2051" max="2051" width="12" style="449" customWidth="1"/>
    <col min="2052" max="2052" width="12.140625" style="449" customWidth="1"/>
    <col min="2053" max="2300" width="9.140625" style="449"/>
    <col min="2301" max="2301" width="27.7109375" style="449" customWidth="1"/>
    <col min="2302" max="2302" width="32.85546875" style="449" bestFit="1" customWidth="1"/>
    <col min="2303" max="2303" width="11.5703125" style="449" bestFit="1" customWidth="1"/>
    <col min="2304" max="2304" width="9.7109375" style="449" customWidth="1"/>
    <col min="2305" max="2305" width="12" style="449" customWidth="1"/>
    <col min="2306" max="2306" width="30.140625" style="449" customWidth="1"/>
    <col min="2307" max="2307" width="12" style="449" customWidth="1"/>
    <col min="2308" max="2308" width="12.140625" style="449" customWidth="1"/>
    <col min="2309" max="2556" width="9.140625" style="449"/>
    <col min="2557" max="2557" width="27.7109375" style="449" customWidth="1"/>
    <col min="2558" max="2558" width="32.85546875" style="449" bestFit="1" customWidth="1"/>
    <col min="2559" max="2559" width="11.5703125" style="449" bestFit="1" customWidth="1"/>
    <col min="2560" max="2560" width="9.7109375" style="449" customWidth="1"/>
    <col min="2561" max="2561" width="12" style="449" customWidth="1"/>
    <col min="2562" max="2562" width="30.140625" style="449" customWidth="1"/>
    <col min="2563" max="2563" width="12" style="449" customWidth="1"/>
    <col min="2564" max="2564" width="12.140625" style="449" customWidth="1"/>
    <col min="2565" max="2812" width="9.140625" style="449"/>
    <col min="2813" max="2813" width="27.7109375" style="449" customWidth="1"/>
    <col min="2814" max="2814" width="32.85546875" style="449" bestFit="1" customWidth="1"/>
    <col min="2815" max="2815" width="11.5703125" style="449" bestFit="1" customWidth="1"/>
    <col min="2816" max="2816" width="9.7109375" style="449" customWidth="1"/>
    <col min="2817" max="2817" width="12" style="449" customWidth="1"/>
    <col min="2818" max="2818" width="30.140625" style="449" customWidth="1"/>
    <col min="2819" max="2819" width="12" style="449" customWidth="1"/>
    <col min="2820" max="2820" width="12.140625" style="449" customWidth="1"/>
    <col min="2821" max="3068" width="9.140625" style="449"/>
    <col min="3069" max="3069" width="27.7109375" style="449" customWidth="1"/>
    <col min="3070" max="3070" width="32.85546875" style="449" bestFit="1" customWidth="1"/>
    <col min="3071" max="3071" width="11.5703125" style="449" bestFit="1" customWidth="1"/>
    <col min="3072" max="3072" width="9.7109375" style="449" customWidth="1"/>
    <col min="3073" max="3073" width="12" style="449" customWidth="1"/>
    <col min="3074" max="3074" width="30.140625" style="449" customWidth="1"/>
    <col min="3075" max="3075" width="12" style="449" customWidth="1"/>
    <col min="3076" max="3076" width="12.140625" style="449" customWidth="1"/>
    <col min="3077" max="3324" width="9.140625" style="449"/>
    <col min="3325" max="3325" width="27.7109375" style="449" customWidth="1"/>
    <col min="3326" max="3326" width="32.85546875" style="449" bestFit="1" customWidth="1"/>
    <col min="3327" max="3327" width="11.5703125" style="449" bestFit="1" customWidth="1"/>
    <col min="3328" max="3328" width="9.7109375" style="449" customWidth="1"/>
    <col min="3329" max="3329" width="12" style="449" customWidth="1"/>
    <col min="3330" max="3330" width="30.140625" style="449" customWidth="1"/>
    <col min="3331" max="3331" width="12" style="449" customWidth="1"/>
    <col min="3332" max="3332" width="12.140625" style="449" customWidth="1"/>
    <col min="3333" max="3580" width="9.140625" style="449"/>
    <col min="3581" max="3581" width="27.7109375" style="449" customWidth="1"/>
    <col min="3582" max="3582" width="32.85546875" style="449" bestFit="1" customWidth="1"/>
    <col min="3583" max="3583" width="11.5703125" style="449" bestFit="1" customWidth="1"/>
    <col min="3584" max="3584" width="9.7109375" style="449" customWidth="1"/>
    <col min="3585" max="3585" width="12" style="449" customWidth="1"/>
    <col min="3586" max="3586" width="30.140625" style="449" customWidth="1"/>
    <col min="3587" max="3587" width="12" style="449" customWidth="1"/>
    <col min="3588" max="3588" width="12.140625" style="449" customWidth="1"/>
    <col min="3589" max="3836" width="9.140625" style="449"/>
    <col min="3837" max="3837" width="27.7109375" style="449" customWidth="1"/>
    <col min="3838" max="3838" width="32.85546875" style="449" bestFit="1" customWidth="1"/>
    <col min="3839" max="3839" width="11.5703125" style="449" bestFit="1" customWidth="1"/>
    <col min="3840" max="3840" width="9.7109375" style="449" customWidth="1"/>
    <col min="3841" max="3841" width="12" style="449" customWidth="1"/>
    <col min="3842" max="3842" width="30.140625" style="449" customWidth="1"/>
    <col min="3843" max="3843" width="12" style="449" customWidth="1"/>
    <col min="3844" max="3844" width="12.140625" style="449" customWidth="1"/>
    <col min="3845" max="4092" width="9.140625" style="449"/>
    <col min="4093" max="4093" width="27.7109375" style="449" customWidth="1"/>
    <col min="4094" max="4094" width="32.85546875" style="449" bestFit="1" customWidth="1"/>
    <col min="4095" max="4095" width="11.5703125" style="449" bestFit="1" customWidth="1"/>
    <col min="4096" max="4096" width="9.7109375" style="449" customWidth="1"/>
    <col min="4097" max="4097" width="12" style="449" customWidth="1"/>
    <col min="4098" max="4098" width="30.140625" style="449" customWidth="1"/>
    <col min="4099" max="4099" width="12" style="449" customWidth="1"/>
    <col min="4100" max="4100" width="12.140625" style="449" customWidth="1"/>
    <col min="4101" max="4348" width="9.140625" style="449"/>
    <col min="4349" max="4349" width="27.7109375" style="449" customWidth="1"/>
    <col min="4350" max="4350" width="32.85546875" style="449" bestFit="1" customWidth="1"/>
    <col min="4351" max="4351" width="11.5703125" style="449" bestFit="1" customWidth="1"/>
    <col min="4352" max="4352" width="9.7109375" style="449" customWidth="1"/>
    <col min="4353" max="4353" width="12" style="449" customWidth="1"/>
    <col min="4354" max="4354" width="30.140625" style="449" customWidth="1"/>
    <col min="4355" max="4355" width="12" style="449" customWidth="1"/>
    <col min="4356" max="4356" width="12.140625" style="449" customWidth="1"/>
    <col min="4357" max="4604" width="9.140625" style="449"/>
    <col min="4605" max="4605" width="27.7109375" style="449" customWidth="1"/>
    <col min="4606" max="4606" width="32.85546875" style="449" bestFit="1" customWidth="1"/>
    <col min="4607" max="4607" width="11.5703125" style="449" bestFit="1" customWidth="1"/>
    <col min="4608" max="4608" width="9.7109375" style="449" customWidth="1"/>
    <col min="4609" max="4609" width="12" style="449" customWidth="1"/>
    <col min="4610" max="4610" width="30.140625" style="449" customWidth="1"/>
    <col min="4611" max="4611" width="12" style="449" customWidth="1"/>
    <col min="4612" max="4612" width="12.140625" style="449" customWidth="1"/>
    <col min="4613" max="4860" width="9.140625" style="449"/>
    <col min="4861" max="4861" width="27.7109375" style="449" customWidth="1"/>
    <col min="4862" max="4862" width="32.85546875" style="449" bestFit="1" customWidth="1"/>
    <col min="4863" max="4863" width="11.5703125" style="449" bestFit="1" customWidth="1"/>
    <col min="4864" max="4864" width="9.7109375" style="449" customWidth="1"/>
    <col min="4865" max="4865" width="12" style="449" customWidth="1"/>
    <col min="4866" max="4866" width="30.140625" style="449" customWidth="1"/>
    <col min="4867" max="4867" width="12" style="449" customWidth="1"/>
    <col min="4868" max="4868" width="12.140625" style="449" customWidth="1"/>
    <col min="4869" max="5116" width="9.140625" style="449"/>
    <col min="5117" max="5117" width="27.7109375" style="449" customWidth="1"/>
    <col min="5118" max="5118" width="32.85546875" style="449" bestFit="1" customWidth="1"/>
    <col min="5119" max="5119" width="11.5703125" style="449" bestFit="1" customWidth="1"/>
    <col min="5120" max="5120" width="9.7109375" style="449" customWidth="1"/>
    <col min="5121" max="5121" width="12" style="449" customWidth="1"/>
    <col min="5122" max="5122" width="30.140625" style="449" customWidth="1"/>
    <col min="5123" max="5123" width="12" style="449" customWidth="1"/>
    <col min="5124" max="5124" width="12.140625" style="449" customWidth="1"/>
    <col min="5125" max="5372" width="9.140625" style="449"/>
    <col min="5373" max="5373" width="27.7109375" style="449" customWidth="1"/>
    <col min="5374" max="5374" width="32.85546875" style="449" bestFit="1" customWidth="1"/>
    <col min="5375" max="5375" width="11.5703125" style="449" bestFit="1" customWidth="1"/>
    <col min="5376" max="5376" width="9.7109375" style="449" customWidth="1"/>
    <col min="5377" max="5377" width="12" style="449" customWidth="1"/>
    <col min="5378" max="5378" width="30.140625" style="449" customWidth="1"/>
    <col min="5379" max="5379" width="12" style="449" customWidth="1"/>
    <col min="5380" max="5380" width="12.140625" style="449" customWidth="1"/>
    <col min="5381" max="5628" width="9.140625" style="449"/>
    <col min="5629" max="5629" width="27.7109375" style="449" customWidth="1"/>
    <col min="5630" max="5630" width="32.85546875" style="449" bestFit="1" customWidth="1"/>
    <col min="5631" max="5631" width="11.5703125" style="449" bestFit="1" customWidth="1"/>
    <col min="5632" max="5632" width="9.7109375" style="449" customWidth="1"/>
    <col min="5633" max="5633" width="12" style="449" customWidth="1"/>
    <col min="5634" max="5634" width="30.140625" style="449" customWidth="1"/>
    <col min="5635" max="5635" width="12" style="449" customWidth="1"/>
    <col min="5636" max="5636" width="12.140625" style="449" customWidth="1"/>
    <col min="5637" max="5884" width="9.140625" style="449"/>
    <col min="5885" max="5885" width="27.7109375" style="449" customWidth="1"/>
    <col min="5886" max="5886" width="32.85546875" style="449" bestFit="1" customWidth="1"/>
    <col min="5887" max="5887" width="11.5703125" style="449" bestFit="1" customWidth="1"/>
    <col min="5888" max="5888" width="9.7109375" style="449" customWidth="1"/>
    <col min="5889" max="5889" width="12" style="449" customWidth="1"/>
    <col min="5890" max="5890" width="30.140625" style="449" customWidth="1"/>
    <col min="5891" max="5891" width="12" style="449" customWidth="1"/>
    <col min="5892" max="5892" width="12.140625" style="449" customWidth="1"/>
    <col min="5893" max="6140" width="9.140625" style="449"/>
    <col min="6141" max="6141" width="27.7109375" style="449" customWidth="1"/>
    <col min="6142" max="6142" width="32.85546875" style="449" bestFit="1" customWidth="1"/>
    <col min="6143" max="6143" width="11.5703125" style="449" bestFit="1" customWidth="1"/>
    <col min="6144" max="6144" width="9.7109375" style="449" customWidth="1"/>
    <col min="6145" max="6145" width="12" style="449" customWidth="1"/>
    <col min="6146" max="6146" width="30.140625" style="449" customWidth="1"/>
    <col min="6147" max="6147" width="12" style="449" customWidth="1"/>
    <col min="6148" max="6148" width="12.140625" style="449" customWidth="1"/>
    <col min="6149" max="6396" width="9.140625" style="449"/>
    <col min="6397" max="6397" width="27.7109375" style="449" customWidth="1"/>
    <col min="6398" max="6398" width="32.85546875" style="449" bestFit="1" customWidth="1"/>
    <col min="6399" max="6399" width="11.5703125" style="449" bestFit="1" customWidth="1"/>
    <col min="6400" max="6400" width="9.7109375" style="449" customWidth="1"/>
    <col min="6401" max="6401" width="12" style="449" customWidth="1"/>
    <col min="6402" max="6402" width="30.140625" style="449" customWidth="1"/>
    <col min="6403" max="6403" width="12" style="449" customWidth="1"/>
    <col min="6404" max="6404" width="12.140625" style="449" customWidth="1"/>
    <col min="6405" max="6652" width="9.140625" style="449"/>
    <col min="6653" max="6653" width="27.7109375" style="449" customWidth="1"/>
    <col min="6654" max="6654" width="32.85546875" style="449" bestFit="1" customWidth="1"/>
    <col min="6655" max="6655" width="11.5703125" style="449" bestFit="1" customWidth="1"/>
    <col min="6656" max="6656" width="9.7109375" style="449" customWidth="1"/>
    <col min="6657" max="6657" width="12" style="449" customWidth="1"/>
    <col min="6658" max="6658" width="30.140625" style="449" customWidth="1"/>
    <col min="6659" max="6659" width="12" style="449" customWidth="1"/>
    <col min="6660" max="6660" width="12.140625" style="449" customWidth="1"/>
    <col min="6661" max="6908" width="9.140625" style="449"/>
    <col min="6909" max="6909" width="27.7109375" style="449" customWidth="1"/>
    <col min="6910" max="6910" width="32.85546875" style="449" bestFit="1" customWidth="1"/>
    <col min="6911" max="6911" width="11.5703125" style="449" bestFit="1" customWidth="1"/>
    <col min="6912" max="6912" width="9.7109375" style="449" customWidth="1"/>
    <col min="6913" max="6913" width="12" style="449" customWidth="1"/>
    <col min="6914" max="6914" width="30.140625" style="449" customWidth="1"/>
    <col min="6915" max="6915" width="12" style="449" customWidth="1"/>
    <col min="6916" max="6916" width="12.140625" style="449" customWidth="1"/>
    <col min="6917" max="7164" width="9.140625" style="449"/>
    <col min="7165" max="7165" width="27.7109375" style="449" customWidth="1"/>
    <col min="7166" max="7166" width="32.85546875" style="449" bestFit="1" customWidth="1"/>
    <col min="7167" max="7167" width="11.5703125" style="449" bestFit="1" customWidth="1"/>
    <col min="7168" max="7168" width="9.7109375" style="449" customWidth="1"/>
    <col min="7169" max="7169" width="12" style="449" customWidth="1"/>
    <col min="7170" max="7170" width="30.140625" style="449" customWidth="1"/>
    <col min="7171" max="7171" width="12" style="449" customWidth="1"/>
    <col min="7172" max="7172" width="12.140625" style="449" customWidth="1"/>
    <col min="7173" max="7420" width="9.140625" style="449"/>
    <col min="7421" max="7421" width="27.7109375" style="449" customWidth="1"/>
    <col min="7422" max="7422" width="32.85546875" style="449" bestFit="1" customWidth="1"/>
    <col min="7423" max="7423" width="11.5703125" style="449" bestFit="1" customWidth="1"/>
    <col min="7424" max="7424" width="9.7109375" style="449" customWidth="1"/>
    <col min="7425" max="7425" width="12" style="449" customWidth="1"/>
    <col min="7426" max="7426" width="30.140625" style="449" customWidth="1"/>
    <col min="7427" max="7427" width="12" style="449" customWidth="1"/>
    <col min="7428" max="7428" width="12.140625" style="449" customWidth="1"/>
    <col min="7429" max="7676" width="9.140625" style="449"/>
    <col min="7677" max="7677" width="27.7109375" style="449" customWidth="1"/>
    <col min="7678" max="7678" width="32.85546875" style="449" bestFit="1" customWidth="1"/>
    <col min="7679" max="7679" width="11.5703125" style="449" bestFit="1" customWidth="1"/>
    <col min="7680" max="7680" width="9.7109375" style="449" customWidth="1"/>
    <col min="7681" max="7681" width="12" style="449" customWidth="1"/>
    <col min="7682" max="7682" width="30.140625" style="449" customWidth="1"/>
    <col min="7683" max="7683" width="12" style="449" customWidth="1"/>
    <col min="7684" max="7684" width="12.140625" style="449" customWidth="1"/>
    <col min="7685" max="7932" width="9.140625" style="449"/>
    <col min="7933" max="7933" width="27.7109375" style="449" customWidth="1"/>
    <col min="7934" max="7934" width="32.85546875" style="449" bestFit="1" customWidth="1"/>
    <col min="7935" max="7935" width="11.5703125" style="449" bestFit="1" customWidth="1"/>
    <col min="7936" max="7936" width="9.7109375" style="449" customWidth="1"/>
    <col min="7937" max="7937" width="12" style="449" customWidth="1"/>
    <col min="7938" max="7938" width="30.140625" style="449" customWidth="1"/>
    <col min="7939" max="7939" width="12" style="449" customWidth="1"/>
    <col min="7940" max="7940" width="12.140625" style="449" customWidth="1"/>
    <col min="7941" max="8188" width="9.140625" style="449"/>
    <col min="8189" max="8189" width="27.7109375" style="449" customWidth="1"/>
    <col min="8190" max="8190" width="32.85546875" style="449" bestFit="1" customWidth="1"/>
    <col min="8191" max="8191" width="11.5703125" style="449" bestFit="1" customWidth="1"/>
    <col min="8192" max="8192" width="9.7109375" style="449" customWidth="1"/>
    <col min="8193" max="8193" width="12" style="449" customWidth="1"/>
    <col min="8194" max="8194" width="30.140625" style="449" customWidth="1"/>
    <col min="8195" max="8195" width="12" style="449" customWidth="1"/>
    <col min="8196" max="8196" width="12.140625" style="449" customWidth="1"/>
    <col min="8197" max="8444" width="9.140625" style="449"/>
    <col min="8445" max="8445" width="27.7109375" style="449" customWidth="1"/>
    <col min="8446" max="8446" width="32.85546875" style="449" bestFit="1" customWidth="1"/>
    <col min="8447" max="8447" width="11.5703125" style="449" bestFit="1" customWidth="1"/>
    <col min="8448" max="8448" width="9.7109375" style="449" customWidth="1"/>
    <col min="8449" max="8449" width="12" style="449" customWidth="1"/>
    <col min="8450" max="8450" width="30.140625" style="449" customWidth="1"/>
    <col min="8451" max="8451" width="12" style="449" customWidth="1"/>
    <col min="8452" max="8452" width="12.140625" style="449" customWidth="1"/>
    <col min="8453" max="8700" width="9.140625" style="449"/>
    <col min="8701" max="8701" width="27.7109375" style="449" customWidth="1"/>
    <col min="8702" max="8702" width="32.85546875" style="449" bestFit="1" customWidth="1"/>
    <col min="8703" max="8703" width="11.5703125" style="449" bestFit="1" customWidth="1"/>
    <col min="8704" max="8704" width="9.7109375" style="449" customWidth="1"/>
    <col min="8705" max="8705" width="12" style="449" customWidth="1"/>
    <col min="8706" max="8706" width="30.140625" style="449" customWidth="1"/>
    <col min="8707" max="8707" width="12" style="449" customWidth="1"/>
    <col min="8708" max="8708" width="12.140625" style="449" customWidth="1"/>
    <col min="8709" max="8956" width="9.140625" style="449"/>
    <col min="8957" max="8957" width="27.7109375" style="449" customWidth="1"/>
    <col min="8958" max="8958" width="32.85546875" style="449" bestFit="1" customWidth="1"/>
    <col min="8959" max="8959" width="11.5703125" style="449" bestFit="1" customWidth="1"/>
    <col min="8960" max="8960" width="9.7109375" style="449" customWidth="1"/>
    <col min="8961" max="8961" width="12" style="449" customWidth="1"/>
    <col min="8962" max="8962" width="30.140625" style="449" customWidth="1"/>
    <col min="8963" max="8963" width="12" style="449" customWidth="1"/>
    <col min="8964" max="8964" width="12.140625" style="449" customWidth="1"/>
    <col min="8965" max="9212" width="9.140625" style="449"/>
    <col min="9213" max="9213" width="27.7109375" style="449" customWidth="1"/>
    <col min="9214" max="9214" width="32.85546875" style="449" bestFit="1" customWidth="1"/>
    <col min="9215" max="9215" width="11.5703125" style="449" bestFit="1" customWidth="1"/>
    <col min="9216" max="9216" width="9.7109375" style="449" customWidth="1"/>
    <col min="9217" max="9217" width="12" style="449" customWidth="1"/>
    <col min="9218" max="9218" width="30.140625" style="449" customWidth="1"/>
    <col min="9219" max="9219" width="12" style="449" customWidth="1"/>
    <col min="9220" max="9220" width="12.140625" style="449" customWidth="1"/>
    <col min="9221" max="9468" width="9.140625" style="449"/>
    <col min="9469" max="9469" width="27.7109375" style="449" customWidth="1"/>
    <col min="9470" max="9470" width="32.85546875" style="449" bestFit="1" customWidth="1"/>
    <col min="9471" max="9471" width="11.5703125" style="449" bestFit="1" customWidth="1"/>
    <col min="9472" max="9472" width="9.7109375" style="449" customWidth="1"/>
    <col min="9473" max="9473" width="12" style="449" customWidth="1"/>
    <col min="9474" max="9474" width="30.140625" style="449" customWidth="1"/>
    <col min="9475" max="9475" width="12" style="449" customWidth="1"/>
    <col min="9476" max="9476" width="12.140625" style="449" customWidth="1"/>
    <col min="9477" max="9724" width="9.140625" style="449"/>
    <col min="9725" max="9725" width="27.7109375" style="449" customWidth="1"/>
    <col min="9726" max="9726" width="32.85546875" style="449" bestFit="1" customWidth="1"/>
    <col min="9727" max="9727" width="11.5703125" style="449" bestFit="1" customWidth="1"/>
    <col min="9728" max="9728" width="9.7109375" style="449" customWidth="1"/>
    <col min="9729" max="9729" width="12" style="449" customWidth="1"/>
    <col min="9730" max="9730" width="30.140625" style="449" customWidth="1"/>
    <col min="9731" max="9731" width="12" style="449" customWidth="1"/>
    <col min="9732" max="9732" width="12.140625" style="449" customWidth="1"/>
    <col min="9733" max="9980" width="9.140625" style="449"/>
    <col min="9981" max="9981" width="27.7109375" style="449" customWidth="1"/>
    <col min="9982" max="9982" width="32.85546875" style="449" bestFit="1" customWidth="1"/>
    <col min="9983" max="9983" width="11.5703125" style="449" bestFit="1" customWidth="1"/>
    <col min="9984" max="9984" width="9.7109375" style="449" customWidth="1"/>
    <col min="9985" max="9985" width="12" style="449" customWidth="1"/>
    <col min="9986" max="9986" width="30.140625" style="449" customWidth="1"/>
    <col min="9987" max="9987" width="12" style="449" customWidth="1"/>
    <col min="9988" max="9988" width="12.140625" style="449" customWidth="1"/>
    <col min="9989" max="10236" width="9.140625" style="449"/>
    <col min="10237" max="10237" width="27.7109375" style="449" customWidth="1"/>
    <col min="10238" max="10238" width="32.85546875" style="449" bestFit="1" customWidth="1"/>
    <col min="10239" max="10239" width="11.5703125" style="449" bestFit="1" customWidth="1"/>
    <col min="10240" max="10240" width="9.7109375" style="449" customWidth="1"/>
    <col min="10241" max="10241" width="12" style="449" customWidth="1"/>
    <col min="10242" max="10242" width="30.140625" style="449" customWidth="1"/>
    <col min="10243" max="10243" width="12" style="449" customWidth="1"/>
    <col min="10244" max="10244" width="12.140625" style="449" customWidth="1"/>
    <col min="10245" max="10492" width="9.140625" style="449"/>
    <col min="10493" max="10493" width="27.7109375" style="449" customWidth="1"/>
    <col min="10494" max="10494" width="32.85546875" style="449" bestFit="1" customWidth="1"/>
    <col min="10495" max="10495" width="11.5703125" style="449" bestFit="1" customWidth="1"/>
    <col min="10496" max="10496" width="9.7109375" style="449" customWidth="1"/>
    <col min="10497" max="10497" width="12" style="449" customWidth="1"/>
    <col min="10498" max="10498" width="30.140625" style="449" customWidth="1"/>
    <col min="10499" max="10499" width="12" style="449" customWidth="1"/>
    <col min="10500" max="10500" width="12.140625" style="449" customWidth="1"/>
    <col min="10501" max="10748" width="9.140625" style="449"/>
    <col min="10749" max="10749" width="27.7109375" style="449" customWidth="1"/>
    <col min="10750" max="10750" width="32.85546875" style="449" bestFit="1" customWidth="1"/>
    <col min="10751" max="10751" width="11.5703125" style="449" bestFit="1" customWidth="1"/>
    <col min="10752" max="10752" width="9.7109375" style="449" customWidth="1"/>
    <col min="10753" max="10753" width="12" style="449" customWidth="1"/>
    <col min="10754" max="10754" width="30.140625" style="449" customWidth="1"/>
    <col min="10755" max="10755" width="12" style="449" customWidth="1"/>
    <col min="10756" max="10756" width="12.140625" style="449" customWidth="1"/>
    <col min="10757" max="11004" width="9.140625" style="449"/>
    <col min="11005" max="11005" width="27.7109375" style="449" customWidth="1"/>
    <col min="11006" max="11006" width="32.85546875" style="449" bestFit="1" customWidth="1"/>
    <col min="11007" max="11007" width="11.5703125" style="449" bestFit="1" customWidth="1"/>
    <col min="11008" max="11008" width="9.7109375" style="449" customWidth="1"/>
    <col min="11009" max="11009" width="12" style="449" customWidth="1"/>
    <col min="11010" max="11010" width="30.140625" style="449" customWidth="1"/>
    <col min="11011" max="11011" width="12" style="449" customWidth="1"/>
    <col min="11012" max="11012" width="12.140625" style="449" customWidth="1"/>
    <col min="11013" max="11260" width="9.140625" style="449"/>
    <col min="11261" max="11261" width="27.7109375" style="449" customWidth="1"/>
    <col min="11262" max="11262" width="32.85546875" style="449" bestFit="1" customWidth="1"/>
    <col min="11263" max="11263" width="11.5703125" style="449" bestFit="1" customWidth="1"/>
    <col min="11264" max="11264" width="9.7109375" style="449" customWidth="1"/>
    <col min="11265" max="11265" width="12" style="449" customWidth="1"/>
    <col min="11266" max="11266" width="30.140625" style="449" customWidth="1"/>
    <col min="11267" max="11267" width="12" style="449" customWidth="1"/>
    <col min="11268" max="11268" width="12.140625" style="449" customWidth="1"/>
    <col min="11269" max="11516" width="9.140625" style="449"/>
    <col min="11517" max="11517" width="27.7109375" style="449" customWidth="1"/>
    <col min="11518" max="11518" width="32.85546875" style="449" bestFit="1" customWidth="1"/>
    <col min="11519" max="11519" width="11.5703125" style="449" bestFit="1" customWidth="1"/>
    <col min="11520" max="11520" width="9.7109375" style="449" customWidth="1"/>
    <col min="11521" max="11521" width="12" style="449" customWidth="1"/>
    <col min="11522" max="11522" width="30.140625" style="449" customWidth="1"/>
    <col min="11523" max="11523" width="12" style="449" customWidth="1"/>
    <col min="11524" max="11524" width="12.140625" style="449" customWidth="1"/>
    <col min="11525" max="11772" width="9.140625" style="449"/>
    <col min="11773" max="11773" width="27.7109375" style="449" customWidth="1"/>
    <col min="11774" max="11774" width="32.85546875" style="449" bestFit="1" customWidth="1"/>
    <col min="11775" max="11775" width="11.5703125" style="449" bestFit="1" customWidth="1"/>
    <col min="11776" max="11776" width="9.7109375" style="449" customWidth="1"/>
    <col min="11777" max="11777" width="12" style="449" customWidth="1"/>
    <col min="11778" max="11778" width="30.140625" style="449" customWidth="1"/>
    <col min="11779" max="11779" width="12" style="449" customWidth="1"/>
    <col min="11780" max="11780" width="12.140625" style="449" customWidth="1"/>
    <col min="11781" max="12028" width="9.140625" style="449"/>
    <col min="12029" max="12029" width="27.7109375" style="449" customWidth="1"/>
    <col min="12030" max="12030" width="32.85546875" style="449" bestFit="1" customWidth="1"/>
    <col min="12031" max="12031" width="11.5703125" style="449" bestFit="1" customWidth="1"/>
    <col min="12032" max="12032" width="9.7109375" style="449" customWidth="1"/>
    <col min="12033" max="12033" width="12" style="449" customWidth="1"/>
    <col min="12034" max="12034" width="30.140625" style="449" customWidth="1"/>
    <col min="12035" max="12035" width="12" style="449" customWidth="1"/>
    <col min="12036" max="12036" width="12.140625" style="449" customWidth="1"/>
    <col min="12037" max="12284" width="9.140625" style="449"/>
    <col min="12285" max="12285" width="27.7109375" style="449" customWidth="1"/>
    <col min="12286" max="12286" width="32.85546875" style="449" bestFit="1" customWidth="1"/>
    <col min="12287" max="12287" width="11.5703125" style="449" bestFit="1" customWidth="1"/>
    <col min="12288" max="12288" width="9.7109375" style="449" customWidth="1"/>
    <col min="12289" max="12289" width="12" style="449" customWidth="1"/>
    <col min="12290" max="12290" width="30.140625" style="449" customWidth="1"/>
    <col min="12291" max="12291" width="12" style="449" customWidth="1"/>
    <col min="12292" max="12292" width="12.140625" style="449" customWidth="1"/>
    <col min="12293" max="12540" width="9.140625" style="449"/>
    <col min="12541" max="12541" width="27.7109375" style="449" customWidth="1"/>
    <col min="12542" max="12542" width="32.85546875" style="449" bestFit="1" customWidth="1"/>
    <col min="12543" max="12543" width="11.5703125" style="449" bestFit="1" customWidth="1"/>
    <col min="12544" max="12544" width="9.7109375" style="449" customWidth="1"/>
    <col min="12545" max="12545" width="12" style="449" customWidth="1"/>
    <col min="12546" max="12546" width="30.140625" style="449" customWidth="1"/>
    <col min="12547" max="12547" width="12" style="449" customWidth="1"/>
    <col min="12548" max="12548" width="12.140625" style="449" customWidth="1"/>
    <col min="12549" max="12796" width="9.140625" style="449"/>
    <col min="12797" max="12797" width="27.7109375" style="449" customWidth="1"/>
    <col min="12798" max="12798" width="32.85546875" style="449" bestFit="1" customWidth="1"/>
    <col min="12799" max="12799" width="11.5703125" style="449" bestFit="1" customWidth="1"/>
    <col min="12800" max="12800" width="9.7109375" style="449" customWidth="1"/>
    <col min="12801" max="12801" width="12" style="449" customWidth="1"/>
    <col min="12802" max="12802" width="30.140625" style="449" customWidth="1"/>
    <col min="12803" max="12803" width="12" style="449" customWidth="1"/>
    <col min="12804" max="12804" width="12.140625" style="449" customWidth="1"/>
    <col min="12805" max="13052" width="9.140625" style="449"/>
    <col min="13053" max="13053" width="27.7109375" style="449" customWidth="1"/>
    <col min="13054" max="13054" width="32.85546875" style="449" bestFit="1" customWidth="1"/>
    <col min="13055" max="13055" width="11.5703125" style="449" bestFit="1" customWidth="1"/>
    <col min="13056" max="13056" width="9.7109375" style="449" customWidth="1"/>
    <col min="13057" max="13057" width="12" style="449" customWidth="1"/>
    <col min="13058" max="13058" width="30.140625" style="449" customWidth="1"/>
    <col min="13059" max="13059" width="12" style="449" customWidth="1"/>
    <col min="13060" max="13060" width="12.140625" style="449" customWidth="1"/>
    <col min="13061" max="13308" width="9.140625" style="449"/>
    <col min="13309" max="13309" width="27.7109375" style="449" customWidth="1"/>
    <col min="13310" max="13310" width="32.85546875" style="449" bestFit="1" customWidth="1"/>
    <col min="13311" max="13311" width="11.5703125" style="449" bestFit="1" customWidth="1"/>
    <col min="13312" max="13312" width="9.7109375" style="449" customWidth="1"/>
    <col min="13313" max="13313" width="12" style="449" customWidth="1"/>
    <col min="13314" max="13314" width="30.140625" style="449" customWidth="1"/>
    <col min="13315" max="13315" width="12" style="449" customWidth="1"/>
    <col min="13316" max="13316" width="12.140625" style="449" customWidth="1"/>
    <col min="13317" max="13564" width="9.140625" style="449"/>
    <col min="13565" max="13565" width="27.7109375" style="449" customWidth="1"/>
    <col min="13566" max="13566" width="32.85546875" style="449" bestFit="1" customWidth="1"/>
    <col min="13567" max="13567" width="11.5703125" style="449" bestFit="1" customWidth="1"/>
    <col min="13568" max="13568" width="9.7109375" style="449" customWidth="1"/>
    <col min="13569" max="13569" width="12" style="449" customWidth="1"/>
    <col min="13570" max="13570" width="30.140625" style="449" customWidth="1"/>
    <col min="13571" max="13571" width="12" style="449" customWidth="1"/>
    <col min="13572" max="13572" width="12.140625" style="449" customWidth="1"/>
    <col min="13573" max="13820" width="9.140625" style="449"/>
    <col min="13821" max="13821" width="27.7109375" style="449" customWidth="1"/>
    <col min="13822" max="13822" width="32.85546875" style="449" bestFit="1" customWidth="1"/>
    <col min="13823" max="13823" width="11.5703125" style="449" bestFit="1" customWidth="1"/>
    <col min="13824" max="13824" width="9.7109375" style="449" customWidth="1"/>
    <col min="13825" max="13825" width="12" style="449" customWidth="1"/>
    <col min="13826" max="13826" width="30.140625" style="449" customWidth="1"/>
    <col min="13827" max="13827" width="12" style="449" customWidth="1"/>
    <col min="13828" max="13828" width="12.140625" style="449" customWidth="1"/>
    <col min="13829" max="14076" width="9.140625" style="449"/>
    <col min="14077" max="14077" width="27.7109375" style="449" customWidth="1"/>
    <col min="14078" max="14078" width="32.85546875" style="449" bestFit="1" customWidth="1"/>
    <col min="14079" max="14079" width="11.5703125" style="449" bestFit="1" customWidth="1"/>
    <col min="14080" max="14080" width="9.7109375" style="449" customWidth="1"/>
    <col min="14081" max="14081" width="12" style="449" customWidth="1"/>
    <col min="14082" max="14082" width="30.140625" style="449" customWidth="1"/>
    <col min="14083" max="14083" width="12" style="449" customWidth="1"/>
    <col min="14084" max="14084" width="12.140625" style="449" customWidth="1"/>
    <col min="14085" max="14332" width="9.140625" style="449"/>
    <col min="14333" max="14333" width="27.7109375" style="449" customWidth="1"/>
    <col min="14334" max="14334" width="32.85546875" style="449" bestFit="1" customWidth="1"/>
    <col min="14335" max="14335" width="11.5703125" style="449" bestFit="1" customWidth="1"/>
    <col min="14336" max="14336" width="9.7109375" style="449" customWidth="1"/>
    <col min="14337" max="14337" width="12" style="449" customWidth="1"/>
    <col min="14338" max="14338" width="30.140625" style="449" customWidth="1"/>
    <col min="14339" max="14339" width="12" style="449" customWidth="1"/>
    <col min="14340" max="14340" width="12.140625" style="449" customWidth="1"/>
    <col min="14341" max="14588" width="9.140625" style="449"/>
    <col min="14589" max="14589" width="27.7109375" style="449" customWidth="1"/>
    <col min="14590" max="14590" width="32.85546875" style="449" bestFit="1" customWidth="1"/>
    <col min="14591" max="14591" width="11.5703125" style="449" bestFit="1" customWidth="1"/>
    <col min="14592" max="14592" width="9.7109375" style="449" customWidth="1"/>
    <col min="14593" max="14593" width="12" style="449" customWidth="1"/>
    <col min="14594" max="14594" width="30.140625" style="449" customWidth="1"/>
    <col min="14595" max="14595" width="12" style="449" customWidth="1"/>
    <col min="14596" max="14596" width="12.140625" style="449" customWidth="1"/>
    <col min="14597" max="14844" width="9.140625" style="449"/>
    <col min="14845" max="14845" width="27.7109375" style="449" customWidth="1"/>
    <col min="14846" max="14846" width="32.85546875" style="449" bestFit="1" customWidth="1"/>
    <col min="14847" max="14847" width="11.5703125" style="449" bestFit="1" customWidth="1"/>
    <col min="14848" max="14848" width="9.7109375" style="449" customWidth="1"/>
    <col min="14849" max="14849" width="12" style="449" customWidth="1"/>
    <col min="14850" max="14850" width="30.140625" style="449" customWidth="1"/>
    <col min="14851" max="14851" width="12" style="449" customWidth="1"/>
    <col min="14852" max="14852" width="12.140625" style="449" customWidth="1"/>
    <col min="14853" max="15100" width="9.140625" style="449"/>
    <col min="15101" max="15101" width="27.7109375" style="449" customWidth="1"/>
    <col min="15102" max="15102" width="32.85546875" style="449" bestFit="1" customWidth="1"/>
    <col min="15103" max="15103" width="11.5703125" style="449" bestFit="1" customWidth="1"/>
    <col min="15104" max="15104" width="9.7109375" style="449" customWidth="1"/>
    <col min="15105" max="15105" width="12" style="449" customWidth="1"/>
    <col min="15106" max="15106" width="30.140625" style="449" customWidth="1"/>
    <col min="15107" max="15107" width="12" style="449" customWidth="1"/>
    <col min="15108" max="15108" width="12.140625" style="449" customWidth="1"/>
    <col min="15109" max="15356" width="9.140625" style="449"/>
    <col min="15357" max="15357" width="27.7109375" style="449" customWidth="1"/>
    <col min="15358" max="15358" width="32.85546875" style="449" bestFit="1" customWidth="1"/>
    <col min="15359" max="15359" width="11.5703125" style="449" bestFit="1" customWidth="1"/>
    <col min="15360" max="15360" width="9.7109375" style="449" customWidth="1"/>
    <col min="15361" max="15361" width="12" style="449" customWidth="1"/>
    <col min="15362" max="15362" width="30.140625" style="449" customWidth="1"/>
    <col min="15363" max="15363" width="12" style="449" customWidth="1"/>
    <col min="15364" max="15364" width="12.140625" style="449" customWidth="1"/>
    <col min="15365" max="15612" width="9.140625" style="449"/>
    <col min="15613" max="15613" width="27.7109375" style="449" customWidth="1"/>
    <col min="15614" max="15614" width="32.85546875" style="449" bestFit="1" customWidth="1"/>
    <col min="15615" max="15615" width="11.5703125" style="449" bestFit="1" customWidth="1"/>
    <col min="15616" max="15616" width="9.7109375" style="449" customWidth="1"/>
    <col min="15617" max="15617" width="12" style="449" customWidth="1"/>
    <col min="15618" max="15618" width="30.140625" style="449" customWidth="1"/>
    <col min="15619" max="15619" width="12" style="449" customWidth="1"/>
    <col min="15620" max="15620" width="12.140625" style="449" customWidth="1"/>
    <col min="15621" max="15868" width="9.140625" style="449"/>
    <col min="15869" max="15869" width="27.7109375" style="449" customWidth="1"/>
    <col min="15870" max="15870" width="32.85546875" style="449" bestFit="1" customWidth="1"/>
    <col min="15871" max="15871" width="11.5703125" style="449" bestFit="1" customWidth="1"/>
    <col min="15872" max="15872" width="9.7109375" style="449" customWidth="1"/>
    <col min="15873" max="15873" width="12" style="449" customWidth="1"/>
    <col min="15874" max="15874" width="30.140625" style="449" customWidth="1"/>
    <col min="15875" max="15875" width="12" style="449" customWidth="1"/>
    <col min="15876" max="15876" width="12.140625" style="449" customWidth="1"/>
    <col min="15877" max="16124" width="9.140625" style="449"/>
    <col min="16125" max="16125" width="27.7109375" style="449" customWidth="1"/>
    <col min="16126" max="16126" width="32.85546875" style="449" bestFit="1" customWidth="1"/>
    <col min="16127" max="16127" width="11.5703125" style="449" bestFit="1" customWidth="1"/>
    <col min="16128" max="16128" width="9.7109375" style="449" customWidth="1"/>
    <col min="16129" max="16129" width="12" style="449" customWidth="1"/>
    <col min="16130" max="16130" width="30.140625" style="449" customWidth="1"/>
    <col min="16131" max="16131" width="12" style="449" customWidth="1"/>
    <col min="16132" max="16132" width="12.140625" style="449" customWidth="1"/>
    <col min="16133" max="16380" width="9.140625" style="449"/>
    <col min="16381" max="16384" width="9.140625" style="449" customWidth="1"/>
  </cols>
  <sheetData>
    <row r="1" spans="1:15" s="642" customFormat="1" ht="20.25">
      <c r="A1" s="639"/>
      <c r="B1" s="638"/>
      <c r="C1" s="639"/>
      <c r="D1" s="640"/>
      <c r="E1" s="641"/>
      <c r="F1" s="943"/>
      <c r="G1" s="943"/>
      <c r="H1" s="943"/>
      <c r="I1" s="943"/>
      <c r="J1" s="943"/>
      <c r="K1" s="943"/>
      <c r="L1" s="943"/>
      <c r="M1" s="943"/>
      <c r="N1" s="1269"/>
      <c r="O1" s="944"/>
    </row>
    <row r="2" spans="1:15" s="415" customFormat="1">
      <c r="A2" s="638"/>
      <c r="B2" s="469"/>
      <c r="C2" s="469"/>
      <c r="D2" s="469"/>
      <c r="E2" s="469"/>
      <c r="F2" s="945"/>
      <c r="G2" s="945"/>
      <c r="H2" s="945"/>
      <c r="I2" s="945"/>
      <c r="J2" s="945"/>
      <c r="K2" s="945"/>
      <c r="L2" s="945"/>
      <c r="M2" s="945"/>
      <c r="N2" s="1270"/>
      <c r="O2" s="946"/>
    </row>
    <row r="3" spans="1:15" ht="15">
      <c r="A3" s="2551"/>
      <c r="B3" s="636"/>
      <c r="C3" s="442"/>
      <c r="D3" s="644"/>
      <c r="E3" s="645"/>
      <c r="F3" s="1546"/>
      <c r="G3" s="1546"/>
      <c r="H3" s="1546"/>
      <c r="I3" s="1546"/>
      <c r="J3" s="1546"/>
      <c r="K3" s="1546"/>
      <c r="L3" s="1546"/>
      <c r="M3" s="1546"/>
      <c r="N3" s="1547"/>
      <c r="O3" s="1548"/>
    </row>
    <row r="4" spans="1:15" thickBot="1">
      <c r="A4" s="2541"/>
      <c r="B4" s="2542"/>
      <c r="C4" s="2543"/>
      <c r="D4" s="2544"/>
      <c r="E4" s="2545"/>
      <c r="F4" s="1549"/>
      <c r="G4" s="1546"/>
      <c r="H4" s="1546"/>
      <c r="I4" s="1546"/>
      <c r="J4" s="1546"/>
      <c r="K4" s="1546"/>
      <c r="L4" s="1546"/>
      <c r="M4" s="1546"/>
      <c r="N4" s="1547"/>
      <c r="O4" s="1548"/>
    </row>
    <row r="5" spans="1:15" thickBot="1">
      <c r="A5" s="2546"/>
      <c r="B5" s="2547"/>
      <c r="C5" s="2548"/>
      <c r="D5" s="2549"/>
      <c r="E5" s="2550"/>
      <c r="F5" s="3264" t="s">
        <v>864</v>
      </c>
      <c r="G5" s="3265"/>
      <c r="H5" s="3265"/>
      <c r="I5" s="3265"/>
      <c r="J5" s="3266"/>
      <c r="K5" s="1546"/>
      <c r="L5" s="1546"/>
      <c r="M5" s="3267" t="s">
        <v>223</v>
      </c>
      <c r="N5" s="3268"/>
      <c r="O5" s="3269"/>
    </row>
    <row r="6" spans="1:15" ht="39.75" thickBot="1">
      <c r="A6" s="56" t="s">
        <v>225</v>
      </c>
      <c r="B6" s="2536"/>
      <c r="C6" s="2536"/>
      <c r="D6" s="58" t="s">
        <v>226</v>
      </c>
      <c r="E6" s="2550"/>
      <c r="F6" s="2247"/>
      <c r="G6" s="2248" t="s">
        <v>231</v>
      </c>
      <c r="H6" s="2249">
        <f>D12</f>
        <v>1775</v>
      </c>
      <c r="I6" s="2248"/>
      <c r="J6" s="2250"/>
      <c r="K6" s="1546"/>
      <c r="L6" s="1546"/>
      <c r="M6" s="3270" t="s">
        <v>227</v>
      </c>
      <c r="N6" s="3271"/>
      <c r="O6" s="1554" t="s">
        <v>228</v>
      </c>
    </row>
    <row r="7" spans="1:15" ht="18" customHeight="1" thickBot="1">
      <c r="A7" s="64" t="s">
        <v>230</v>
      </c>
      <c r="B7" s="65" t="s">
        <v>231</v>
      </c>
      <c r="C7" s="66" t="s">
        <v>232</v>
      </c>
      <c r="D7" s="67">
        <v>2080</v>
      </c>
      <c r="E7" s="2550"/>
      <c r="F7" s="2251"/>
      <c r="G7" s="2252"/>
      <c r="H7" s="2253" t="s">
        <v>209</v>
      </c>
      <c r="I7" s="2254" t="s">
        <v>190</v>
      </c>
      <c r="J7" s="2255" t="s">
        <v>210</v>
      </c>
      <c r="K7" s="1546"/>
      <c r="L7" s="1546"/>
      <c r="M7" s="1560" t="s">
        <v>191</v>
      </c>
      <c r="N7" s="1561">
        <f>'Master Look Up'!L26</f>
        <v>55383.32303680529</v>
      </c>
      <c r="O7" s="2269" t="s">
        <v>861</v>
      </c>
    </row>
    <row r="8" spans="1:15" ht="17.25" customHeight="1" thickBot="1">
      <c r="A8" s="76" t="s">
        <v>236</v>
      </c>
      <c r="B8" s="77">
        <v>120</v>
      </c>
      <c r="C8" s="2554">
        <v>2</v>
      </c>
      <c r="D8" s="79">
        <f>C8*B8</f>
        <v>240</v>
      </c>
      <c r="E8" s="2550"/>
      <c r="F8" s="2256" t="s">
        <v>191</v>
      </c>
      <c r="G8" s="2257"/>
      <c r="H8" s="2258">
        <f>N7</f>
        <v>55383.32303680529</v>
      </c>
      <c r="I8" s="2259">
        <v>0.06</v>
      </c>
      <c r="J8" s="2260">
        <f>H8*I8</f>
        <v>3322.9993822083175</v>
      </c>
      <c r="K8" s="1546"/>
      <c r="L8" s="1546"/>
      <c r="M8" s="1567" t="s">
        <v>865</v>
      </c>
      <c r="N8" s="1568">
        <v>34218</v>
      </c>
      <c r="O8" s="2213" t="s">
        <v>1185</v>
      </c>
    </row>
    <row r="9" spans="1:15" thickBot="1">
      <c r="A9" s="86" t="s">
        <v>237</v>
      </c>
      <c r="B9" s="77">
        <v>10</v>
      </c>
      <c r="C9" s="2553">
        <v>2.5</v>
      </c>
      <c r="D9" s="79">
        <f>C9*B9</f>
        <v>25</v>
      </c>
      <c r="E9" s="2550"/>
      <c r="F9" s="18" t="s">
        <v>865</v>
      </c>
      <c r="G9" s="1796"/>
      <c r="H9" s="2284">
        <v>34218</v>
      </c>
      <c r="I9" s="1802">
        <v>1</v>
      </c>
      <c r="J9" s="2285">
        <f t="shared" ref="J9" si="0">H9*I9</f>
        <v>34218</v>
      </c>
      <c r="K9" s="1546"/>
      <c r="L9" s="1546"/>
      <c r="M9" s="3272" t="s">
        <v>240</v>
      </c>
      <c r="N9" s="3273"/>
      <c r="O9" s="1572"/>
    </row>
    <row r="10" spans="1:15" thickBot="1">
      <c r="A10" s="92" t="s">
        <v>239</v>
      </c>
      <c r="B10" s="77">
        <v>40</v>
      </c>
      <c r="C10" s="2552">
        <v>1</v>
      </c>
      <c r="D10" s="79">
        <f>C10*B10</f>
        <v>40</v>
      </c>
      <c r="E10" s="2550"/>
      <c r="F10" s="2236" t="s">
        <v>334</v>
      </c>
      <c r="G10" s="2226"/>
      <c r="H10" s="840"/>
      <c r="I10" s="2227">
        <f>SUM(I8:I9)</f>
        <v>1.06</v>
      </c>
      <c r="J10" s="2283">
        <f>SUM(J8:J9)</f>
        <v>37540.99938220832</v>
      </c>
      <c r="K10" s="1546"/>
      <c r="L10" s="1546"/>
      <c r="M10" s="1127"/>
      <c r="N10" s="1034"/>
      <c r="O10" s="2221"/>
    </row>
    <row r="11" spans="1:15" ht="16.5" thickTop="1" thickBot="1">
      <c r="A11" s="111" t="s">
        <v>248</v>
      </c>
      <c r="B11" s="112"/>
      <c r="C11" s="113"/>
      <c r="D11" s="67">
        <f>SUM(D8:D10)</f>
        <v>305</v>
      </c>
      <c r="E11" s="2550"/>
      <c r="F11" s="2279" t="s">
        <v>196</v>
      </c>
      <c r="G11" s="2280">
        <f>N14</f>
        <v>0.22</v>
      </c>
      <c r="H11" s="2281"/>
      <c r="I11" s="2282"/>
      <c r="J11" s="2283">
        <f>G11*J10</f>
        <v>8259.0198640858307</v>
      </c>
      <c r="K11" s="1546"/>
      <c r="L11" s="1546"/>
      <c r="M11" s="2210" t="s">
        <v>673</v>
      </c>
      <c r="N11" s="2212">
        <f>'Master Look Up'!F6</f>
        <v>178.16741415351552</v>
      </c>
      <c r="O11" s="2213" t="s">
        <v>832</v>
      </c>
    </row>
    <row r="12" spans="1:15" ht="16.5" customHeight="1" thickBot="1">
      <c r="A12" s="2614" t="s">
        <v>250</v>
      </c>
      <c r="B12" s="2615"/>
      <c r="C12" s="2616"/>
      <c r="D12" s="2617">
        <f>D7-D11</f>
        <v>1775</v>
      </c>
      <c r="E12" s="2550"/>
      <c r="F12" s="2274" t="s">
        <v>198</v>
      </c>
      <c r="G12" s="2275"/>
      <c r="H12" s="2276"/>
      <c r="I12" s="2277"/>
      <c r="J12" s="2278">
        <f>J10+J11</f>
        <v>45800.019246294149</v>
      </c>
      <c r="K12" s="1546"/>
      <c r="L12" s="1546"/>
      <c r="M12" s="2210" t="s">
        <v>674</v>
      </c>
      <c r="N12" s="2212">
        <f>'Master Look Up'!F7</f>
        <v>1410.7821990248415</v>
      </c>
      <c r="O12" s="2213" t="s">
        <v>832</v>
      </c>
    </row>
    <row r="13" spans="1:15" ht="18" customHeight="1" thickBot="1">
      <c r="A13" s="2551"/>
      <c r="D13" s="469"/>
      <c r="E13" s="735"/>
      <c r="F13" s="2286" t="str">
        <f>M11</f>
        <v>Staff Training 204</v>
      </c>
      <c r="G13" s="2287"/>
      <c r="H13" s="746"/>
      <c r="I13" s="51"/>
      <c r="J13" s="1809">
        <f>I9*N11</f>
        <v>178.16741415351552</v>
      </c>
      <c r="K13" s="1546"/>
      <c r="L13" s="1546"/>
      <c r="M13" s="2210"/>
      <c r="N13" s="125"/>
      <c r="O13" s="2213"/>
    </row>
    <row r="14" spans="1:15" ht="15">
      <c r="F14" s="2286" t="str">
        <f>M12</f>
        <v>Staff Mileage / Travel 205</v>
      </c>
      <c r="G14" s="2287"/>
      <c r="H14" s="746"/>
      <c r="I14" s="51"/>
      <c r="J14" s="1809">
        <f>I9*N12</f>
        <v>1410.7821990248415</v>
      </c>
      <c r="K14" s="1546"/>
      <c r="L14" s="1546"/>
      <c r="M14" s="2293" t="s">
        <v>196</v>
      </c>
      <c r="N14" s="2294">
        <v>0.22</v>
      </c>
      <c r="O14" s="2295" t="s">
        <v>524</v>
      </c>
    </row>
    <row r="15" spans="1:15" thickBot="1">
      <c r="F15" s="2237"/>
      <c r="G15" s="1810"/>
      <c r="H15" s="1211"/>
      <c r="I15" s="2228"/>
      <c r="J15" s="1809"/>
      <c r="K15" s="1546"/>
      <c r="L15" s="1546"/>
      <c r="M15" s="2222" t="s">
        <v>653</v>
      </c>
      <c r="N15" s="2223">
        <v>6.3E-3</v>
      </c>
      <c r="O15" s="2556" t="s">
        <v>860</v>
      </c>
    </row>
    <row r="16" spans="1:15" ht="15">
      <c r="F16" s="2291" t="s">
        <v>200</v>
      </c>
      <c r="G16" s="2288"/>
      <c r="H16" s="2289"/>
      <c r="I16" s="2290"/>
      <c r="J16" s="2292">
        <f>SUM(J12:J15)</f>
        <v>47388.968859472508</v>
      </c>
      <c r="K16" s="1584"/>
      <c r="L16" s="1584"/>
      <c r="M16" s="99" t="s">
        <v>201</v>
      </c>
      <c r="N16" s="2224">
        <v>0.11</v>
      </c>
      <c r="O16" s="2216" t="s">
        <v>524</v>
      </c>
    </row>
    <row r="17" spans="5:15" thickBot="1">
      <c r="F17" s="2238" t="str">
        <f>M15</f>
        <v>PFMLA</v>
      </c>
      <c r="G17" s="1823">
        <f>N15</f>
        <v>6.3E-3</v>
      </c>
      <c r="H17" s="2229"/>
      <c r="I17" s="2230"/>
      <c r="J17" s="2239">
        <f>J10*G17</f>
        <v>236.50829610791243</v>
      </c>
      <c r="K17" s="1546"/>
      <c r="L17" s="1546"/>
      <c r="M17" s="2296" t="s">
        <v>256</v>
      </c>
      <c r="N17" s="2297">
        <f>'Spring 2019 CAF'!BU25</f>
        <v>1.8120393120392975E-2</v>
      </c>
      <c r="O17" s="2225" t="s">
        <v>652</v>
      </c>
    </row>
    <row r="18" spans="5:15" thickBot="1">
      <c r="E18" s="425"/>
      <c r="F18" s="1581" t="s">
        <v>201</v>
      </c>
      <c r="G18" s="2262">
        <f>N16</f>
        <v>0.11</v>
      </c>
      <c r="H18" s="2261"/>
      <c r="I18" s="2263"/>
      <c r="J18" s="2264">
        <f>G18*J16</f>
        <v>5212.7865745419758</v>
      </c>
      <c r="K18" s="1546"/>
      <c r="L18" s="1546"/>
      <c r="M18" s="2218" t="s">
        <v>711</v>
      </c>
      <c r="N18" s="2219">
        <f>'CAF Spring17'!BK27</f>
        <v>2.7235921972764018E-2</v>
      </c>
      <c r="O18" s="2220" t="s">
        <v>523</v>
      </c>
    </row>
    <row r="19" spans="5:15" thickBot="1">
      <c r="E19" s="425"/>
      <c r="F19" s="832" t="s">
        <v>203</v>
      </c>
      <c r="G19" s="2231"/>
      <c r="H19" s="859"/>
      <c r="I19" s="2232"/>
      <c r="J19" s="828">
        <f>J18+J17+J16</f>
        <v>52838.263730122395</v>
      </c>
      <c r="K19" s="1546"/>
      <c r="L19" s="1546"/>
      <c r="M19" s="1546"/>
      <c r="N19" s="1547"/>
      <c r="O19" s="1548"/>
    </row>
    <row r="20" spans="5:15" thickBot="1">
      <c r="E20" s="425"/>
      <c r="F20" s="2265" t="s">
        <v>348</v>
      </c>
      <c r="G20" s="2266" t="s">
        <v>205</v>
      </c>
      <c r="H20" s="2267">
        <f>N17</f>
        <v>1.8120393120392975E-2</v>
      </c>
      <c r="I20" s="1487"/>
      <c r="J20" s="2268">
        <f>J19*(H20+1)</f>
        <v>53795.713840711214</v>
      </c>
      <c r="K20" s="3112"/>
      <c r="L20" s="1590"/>
      <c r="M20" s="1546"/>
      <c r="N20" s="1547"/>
      <c r="O20" s="1548"/>
    </row>
    <row r="21" spans="5:15" ht="15">
      <c r="E21" s="425"/>
      <c r="F21" s="2240" t="s">
        <v>522</v>
      </c>
      <c r="G21" s="2233"/>
      <c r="H21" s="2233"/>
      <c r="I21" s="2234"/>
      <c r="J21" s="2241">
        <f>J20/H6+0.02</f>
        <v>30.327444417302093</v>
      </c>
      <c r="K21" s="3113"/>
      <c r="L21" s="1602"/>
      <c r="M21" s="2530"/>
      <c r="N21" s="2531"/>
      <c r="O21" s="1548"/>
    </row>
    <row r="22" spans="5:15" ht="15">
      <c r="F22" s="2242" t="s">
        <v>516</v>
      </c>
      <c r="G22" s="1607"/>
      <c r="H22" s="1607"/>
      <c r="I22" s="1607"/>
      <c r="J22" s="2243">
        <f>J21/2</f>
        <v>15.163722208651047</v>
      </c>
      <c r="K22" s="3113"/>
      <c r="L22" s="1602"/>
      <c r="M22" s="1546"/>
      <c r="N22" s="1547"/>
      <c r="O22" s="1548"/>
    </row>
    <row r="23" spans="5:15" thickBot="1">
      <c r="F23" s="2244" t="s">
        <v>517</v>
      </c>
      <c r="G23" s="2245"/>
      <c r="H23" s="2245"/>
      <c r="I23" s="2245"/>
      <c r="J23" s="2246">
        <f>J21/5+0.03</f>
        <v>6.0954888834604191</v>
      </c>
      <c r="K23" s="3113"/>
      <c r="L23" s="1602"/>
      <c r="M23" s="1546"/>
      <c r="N23" s="1547"/>
      <c r="O23" s="1548"/>
    </row>
    <row r="24" spans="5:15" ht="15">
      <c r="F24" s="1549"/>
      <c r="G24" s="1549"/>
      <c r="H24" s="1549"/>
      <c r="I24" s="1549"/>
      <c r="J24" s="1549"/>
      <c r="K24" s="1546"/>
      <c r="L24" s="1590"/>
      <c r="M24" s="1546"/>
      <c r="N24" s="1547"/>
      <c r="O24" s="1594"/>
    </row>
    <row r="25" spans="5:15" ht="15">
      <c r="F25" s="1546"/>
      <c r="G25" s="1546"/>
      <c r="H25" s="1546"/>
      <c r="I25" s="1546"/>
      <c r="J25" s="1546"/>
      <c r="K25" s="1546"/>
      <c r="L25" s="1546"/>
      <c r="M25" s="1546"/>
      <c r="N25" s="1547"/>
      <c r="O25" s="1548"/>
    </row>
    <row r="26" spans="5:15">
      <c r="F26" s="1546"/>
      <c r="G26" s="1546"/>
      <c r="H26" s="1546"/>
      <c r="I26" s="1546"/>
      <c r="J26" s="1546"/>
      <c r="M26" s="1546"/>
      <c r="N26" s="1547"/>
      <c r="O26" s="1548"/>
    </row>
  </sheetData>
  <customSheetViews>
    <customSheetView guid="{4C1AD9FE-DB97-4D30-8CF1-D476DD376A5A}" scale="90" fitToPage="1" hiddenColumns="1" topLeftCell="I1">
      <selection activeCell="S34" sqref="S34"/>
      <pageMargins left="0.75" right="0.75" top="1" bottom="1" header="0.5" footer="0.5"/>
      <printOptions gridLines="1"/>
      <pageSetup scale="86" orientation="landscape" verticalDpi="300" r:id="rId1"/>
      <headerFooter alignWithMargins="0">
        <oddHeader>&amp;F</oddHeader>
        <oddFooter>&amp;L&amp;"Arial,Bold"DRAFT&amp;RPage 12</oddFooter>
      </headerFooter>
    </customSheetView>
    <customSheetView guid="{6A16E15D-0E79-4250-8AEC-339F57F63027}" scale="90" fitToPage="1" hiddenColumns="1" topLeftCell="I1">
      <selection activeCell="J5" sqref="J5:S24"/>
      <pageMargins left="0.75" right="0.75" top="1" bottom="1" header="0.5" footer="0.5"/>
      <printOptions gridLines="1"/>
      <pageSetup scale="86" orientation="landscape" verticalDpi="300" r:id="rId2"/>
      <headerFooter alignWithMargins="0">
        <oddHeader>&amp;F</oddHeader>
        <oddFooter>&amp;L&amp;"Arial,Bold"DRAFT&amp;RPage 12</oddFooter>
      </headerFooter>
    </customSheetView>
  </customSheetViews>
  <mergeCells count="4">
    <mergeCell ref="F5:J5"/>
    <mergeCell ref="M6:N6"/>
    <mergeCell ref="M5:O5"/>
    <mergeCell ref="M9:N9"/>
  </mergeCells>
  <pageMargins left="0.75" right="0.75" top="1" bottom="1" header="0.5" footer="0.5"/>
  <pageSetup scale="70" orientation="landscape" r:id="rId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opLeftCell="L1" zoomScale="90" zoomScaleNormal="90" workbookViewId="0">
      <selection activeCell="X21" sqref="X21"/>
    </sheetView>
  </sheetViews>
  <sheetFormatPr defaultRowHeight="15.75"/>
  <cols>
    <col min="1" max="1" width="43.7109375" style="449" hidden="1" customWidth="1"/>
    <col min="2" max="2" width="32.5703125" style="696" hidden="1" customWidth="1"/>
    <col min="3" max="3" width="10.42578125" style="449" hidden="1" customWidth="1"/>
    <col min="4" max="4" width="6.7109375" style="691" hidden="1" customWidth="1"/>
    <col min="5" max="5" width="9.140625" style="692" hidden="1" customWidth="1"/>
    <col min="6" max="6" width="31.85546875" style="449" hidden="1" customWidth="1"/>
    <col min="7" max="8" width="12" style="449" hidden="1" customWidth="1"/>
    <col min="9" max="9" width="12" style="449" customWidth="1"/>
    <col min="10" max="10" width="27.85546875" style="449" customWidth="1"/>
    <col min="11" max="14" width="12" style="449" customWidth="1"/>
    <col min="15" max="15" width="9.140625" style="947"/>
    <col min="16" max="16" width="34.140625" style="947" bestFit="1" customWidth="1"/>
    <col min="17" max="17" width="10.7109375" style="947" customWidth="1"/>
    <col min="18" max="18" width="9.85546875" style="947" bestFit="1" customWidth="1"/>
    <col min="19" max="19" width="8.28515625" style="947" customWidth="1"/>
    <col min="20" max="20" width="13.140625" style="947" customWidth="1"/>
    <col min="21" max="22" width="10.85546875" style="947" customWidth="1"/>
    <col min="23" max="23" width="24.5703125" style="947" bestFit="1" customWidth="1"/>
    <col min="24" max="24" width="11.42578125" style="1269" customWidth="1"/>
    <col min="25" max="25" width="58.5703125" style="948" customWidth="1"/>
    <col min="26" max="262" width="9.140625" style="449"/>
    <col min="263" max="263" width="27.7109375" style="449" customWidth="1"/>
    <col min="264" max="264" width="32.85546875" style="449" bestFit="1" customWidth="1"/>
    <col min="265" max="265" width="11.5703125" style="449" bestFit="1" customWidth="1"/>
    <col min="266" max="266" width="9.7109375" style="449" customWidth="1"/>
    <col min="267" max="267" width="12" style="449" customWidth="1"/>
    <col min="268" max="268" width="30.140625" style="449" customWidth="1"/>
    <col min="269" max="269" width="12" style="449" customWidth="1"/>
    <col min="270" max="270" width="12.140625" style="449" customWidth="1"/>
    <col min="271" max="518" width="9.140625" style="449"/>
    <col min="519" max="519" width="27.7109375" style="449" customWidth="1"/>
    <col min="520" max="520" width="32.85546875" style="449" bestFit="1" customWidth="1"/>
    <col min="521" max="521" width="11.5703125" style="449" bestFit="1" customWidth="1"/>
    <col min="522" max="522" width="9.7109375" style="449" customWidth="1"/>
    <col min="523" max="523" width="12" style="449" customWidth="1"/>
    <col min="524" max="524" width="30.140625" style="449" customWidth="1"/>
    <col min="525" max="525" width="12" style="449" customWidth="1"/>
    <col min="526" max="526" width="12.140625" style="449" customWidth="1"/>
    <col min="527" max="774" width="9.140625" style="449"/>
    <col min="775" max="775" width="27.7109375" style="449" customWidth="1"/>
    <col min="776" max="776" width="32.85546875" style="449" bestFit="1" customWidth="1"/>
    <col min="777" max="777" width="11.5703125" style="449" bestFit="1" customWidth="1"/>
    <col min="778" max="778" width="9.7109375" style="449" customWidth="1"/>
    <col min="779" max="779" width="12" style="449" customWidth="1"/>
    <col min="780" max="780" width="30.140625" style="449" customWidth="1"/>
    <col min="781" max="781" width="12" style="449" customWidth="1"/>
    <col min="782" max="782" width="12.140625" style="449" customWidth="1"/>
    <col min="783" max="1030" width="9.140625" style="449"/>
    <col min="1031" max="1031" width="27.7109375" style="449" customWidth="1"/>
    <col min="1032" max="1032" width="32.85546875" style="449" bestFit="1" customWidth="1"/>
    <col min="1033" max="1033" width="11.5703125" style="449" bestFit="1" customWidth="1"/>
    <col min="1034" max="1034" width="9.7109375" style="449" customWidth="1"/>
    <col min="1035" max="1035" width="12" style="449" customWidth="1"/>
    <col min="1036" max="1036" width="30.140625" style="449" customWidth="1"/>
    <col min="1037" max="1037" width="12" style="449" customWidth="1"/>
    <col min="1038" max="1038" width="12.140625" style="449" customWidth="1"/>
    <col min="1039" max="1286" width="9.140625" style="449"/>
    <col min="1287" max="1287" width="27.7109375" style="449" customWidth="1"/>
    <col min="1288" max="1288" width="32.85546875" style="449" bestFit="1" customWidth="1"/>
    <col min="1289" max="1289" width="11.5703125" style="449" bestFit="1" customWidth="1"/>
    <col min="1290" max="1290" width="9.7109375" style="449" customWidth="1"/>
    <col min="1291" max="1291" width="12" style="449" customWidth="1"/>
    <col min="1292" max="1292" width="30.140625" style="449" customWidth="1"/>
    <col min="1293" max="1293" width="12" style="449" customWidth="1"/>
    <col min="1294" max="1294" width="12.140625" style="449" customWidth="1"/>
    <col min="1295" max="1542" width="9.140625" style="449"/>
    <col min="1543" max="1543" width="27.7109375" style="449" customWidth="1"/>
    <col min="1544" max="1544" width="32.85546875" style="449" bestFit="1" customWidth="1"/>
    <col min="1545" max="1545" width="11.5703125" style="449" bestFit="1" customWidth="1"/>
    <col min="1546" max="1546" width="9.7109375" style="449" customWidth="1"/>
    <col min="1547" max="1547" width="12" style="449" customWidth="1"/>
    <col min="1548" max="1548" width="30.140625" style="449" customWidth="1"/>
    <col min="1549" max="1549" width="12" style="449" customWidth="1"/>
    <col min="1550" max="1550" width="12.140625" style="449" customWidth="1"/>
    <col min="1551" max="1798" width="9.140625" style="449"/>
    <col min="1799" max="1799" width="27.7109375" style="449" customWidth="1"/>
    <col min="1800" max="1800" width="32.85546875" style="449" bestFit="1" customWidth="1"/>
    <col min="1801" max="1801" width="11.5703125" style="449" bestFit="1" customWidth="1"/>
    <col min="1802" max="1802" width="9.7109375" style="449" customWidth="1"/>
    <col min="1803" max="1803" width="12" style="449" customWidth="1"/>
    <col min="1804" max="1804" width="30.140625" style="449" customWidth="1"/>
    <col min="1805" max="1805" width="12" style="449" customWidth="1"/>
    <col min="1806" max="1806" width="12.140625" style="449" customWidth="1"/>
    <col min="1807" max="2054" width="9.140625" style="449"/>
    <col min="2055" max="2055" width="27.7109375" style="449" customWidth="1"/>
    <col min="2056" max="2056" width="32.85546875" style="449" bestFit="1" customWidth="1"/>
    <col min="2057" max="2057" width="11.5703125" style="449" bestFit="1" customWidth="1"/>
    <col min="2058" max="2058" width="9.7109375" style="449" customWidth="1"/>
    <col min="2059" max="2059" width="12" style="449" customWidth="1"/>
    <col min="2060" max="2060" width="30.140625" style="449" customWidth="1"/>
    <col min="2061" max="2061" width="12" style="449" customWidth="1"/>
    <col min="2062" max="2062" width="12.140625" style="449" customWidth="1"/>
    <col min="2063" max="2310" width="9.140625" style="449"/>
    <col min="2311" max="2311" width="27.7109375" style="449" customWidth="1"/>
    <col min="2312" max="2312" width="32.85546875" style="449" bestFit="1" customWidth="1"/>
    <col min="2313" max="2313" width="11.5703125" style="449" bestFit="1" customWidth="1"/>
    <col min="2314" max="2314" width="9.7109375" style="449" customWidth="1"/>
    <col min="2315" max="2315" width="12" style="449" customWidth="1"/>
    <col min="2316" max="2316" width="30.140625" style="449" customWidth="1"/>
    <col min="2317" max="2317" width="12" style="449" customWidth="1"/>
    <col min="2318" max="2318" width="12.140625" style="449" customWidth="1"/>
    <col min="2319" max="2566" width="9.140625" style="449"/>
    <col min="2567" max="2567" width="27.7109375" style="449" customWidth="1"/>
    <col min="2568" max="2568" width="32.85546875" style="449" bestFit="1" customWidth="1"/>
    <col min="2569" max="2569" width="11.5703125" style="449" bestFit="1" customWidth="1"/>
    <col min="2570" max="2570" width="9.7109375" style="449" customWidth="1"/>
    <col min="2571" max="2571" width="12" style="449" customWidth="1"/>
    <col min="2572" max="2572" width="30.140625" style="449" customWidth="1"/>
    <col min="2573" max="2573" width="12" style="449" customWidth="1"/>
    <col min="2574" max="2574" width="12.140625" style="449" customWidth="1"/>
    <col min="2575" max="2822" width="9.140625" style="449"/>
    <col min="2823" max="2823" width="27.7109375" style="449" customWidth="1"/>
    <col min="2824" max="2824" width="32.85546875" style="449" bestFit="1" customWidth="1"/>
    <col min="2825" max="2825" width="11.5703125" style="449" bestFit="1" customWidth="1"/>
    <col min="2826" max="2826" width="9.7109375" style="449" customWidth="1"/>
    <col min="2827" max="2827" width="12" style="449" customWidth="1"/>
    <col min="2828" max="2828" width="30.140625" style="449" customWidth="1"/>
    <col min="2829" max="2829" width="12" style="449" customWidth="1"/>
    <col min="2830" max="2830" width="12.140625" style="449" customWidth="1"/>
    <col min="2831" max="3078" width="9.140625" style="449"/>
    <col min="3079" max="3079" width="27.7109375" style="449" customWidth="1"/>
    <col min="3080" max="3080" width="32.85546875" style="449" bestFit="1" customWidth="1"/>
    <col min="3081" max="3081" width="11.5703125" style="449" bestFit="1" customWidth="1"/>
    <col min="3082" max="3082" width="9.7109375" style="449" customWidth="1"/>
    <col min="3083" max="3083" width="12" style="449" customWidth="1"/>
    <col min="3084" max="3084" width="30.140625" style="449" customWidth="1"/>
    <col min="3085" max="3085" width="12" style="449" customWidth="1"/>
    <col min="3086" max="3086" width="12.140625" style="449" customWidth="1"/>
    <col min="3087" max="3334" width="9.140625" style="449"/>
    <col min="3335" max="3335" width="27.7109375" style="449" customWidth="1"/>
    <col min="3336" max="3336" width="32.85546875" style="449" bestFit="1" customWidth="1"/>
    <col min="3337" max="3337" width="11.5703125" style="449" bestFit="1" customWidth="1"/>
    <col min="3338" max="3338" width="9.7109375" style="449" customWidth="1"/>
    <col min="3339" max="3339" width="12" style="449" customWidth="1"/>
    <col min="3340" max="3340" width="30.140625" style="449" customWidth="1"/>
    <col min="3341" max="3341" width="12" style="449" customWidth="1"/>
    <col min="3342" max="3342" width="12.140625" style="449" customWidth="1"/>
    <col min="3343" max="3590" width="9.140625" style="449"/>
    <col min="3591" max="3591" width="27.7109375" style="449" customWidth="1"/>
    <col min="3592" max="3592" width="32.85546875" style="449" bestFit="1" customWidth="1"/>
    <col min="3593" max="3593" width="11.5703125" style="449" bestFit="1" customWidth="1"/>
    <col min="3594" max="3594" width="9.7109375" style="449" customWidth="1"/>
    <col min="3595" max="3595" width="12" style="449" customWidth="1"/>
    <col min="3596" max="3596" width="30.140625" style="449" customWidth="1"/>
    <col min="3597" max="3597" width="12" style="449" customWidth="1"/>
    <col min="3598" max="3598" width="12.140625" style="449" customWidth="1"/>
    <col min="3599" max="3846" width="9.140625" style="449"/>
    <col min="3847" max="3847" width="27.7109375" style="449" customWidth="1"/>
    <col min="3848" max="3848" width="32.85546875" style="449" bestFit="1" customWidth="1"/>
    <col min="3849" max="3849" width="11.5703125" style="449" bestFit="1" customWidth="1"/>
    <col min="3850" max="3850" width="9.7109375" style="449" customWidth="1"/>
    <col min="3851" max="3851" width="12" style="449" customWidth="1"/>
    <col min="3852" max="3852" width="30.140625" style="449" customWidth="1"/>
    <col min="3853" max="3853" width="12" style="449" customWidth="1"/>
    <col min="3854" max="3854" width="12.140625" style="449" customWidth="1"/>
    <col min="3855" max="4102" width="9.140625" style="449"/>
    <col min="4103" max="4103" width="27.7109375" style="449" customWidth="1"/>
    <col min="4104" max="4104" width="32.85546875" style="449" bestFit="1" customWidth="1"/>
    <col min="4105" max="4105" width="11.5703125" style="449" bestFit="1" customWidth="1"/>
    <col min="4106" max="4106" width="9.7109375" style="449" customWidth="1"/>
    <col min="4107" max="4107" width="12" style="449" customWidth="1"/>
    <col min="4108" max="4108" width="30.140625" style="449" customWidth="1"/>
    <col min="4109" max="4109" width="12" style="449" customWidth="1"/>
    <col min="4110" max="4110" width="12.140625" style="449" customWidth="1"/>
    <col min="4111" max="4358" width="9.140625" style="449"/>
    <col min="4359" max="4359" width="27.7109375" style="449" customWidth="1"/>
    <col min="4360" max="4360" width="32.85546875" style="449" bestFit="1" customWidth="1"/>
    <col min="4361" max="4361" width="11.5703125" style="449" bestFit="1" customWidth="1"/>
    <col min="4362" max="4362" width="9.7109375" style="449" customWidth="1"/>
    <col min="4363" max="4363" width="12" style="449" customWidth="1"/>
    <col min="4364" max="4364" width="30.140625" style="449" customWidth="1"/>
    <col min="4365" max="4365" width="12" style="449" customWidth="1"/>
    <col min="4366" max="4366" width="12.140625" style="449" customWidth="1"/>
    <col min="4367" max="4614" width="9.140625" style="449"/>
    <col min="4615" max="4615" width="27.7109375" style="449" customWidth="1"/>
    <col min="4616" max="4616" width="32.85546875" style="449" bestFit="1" customWidth="1"/>
    <col min="4617" max="4617" width="11.5703125" style="449" bestFit="1" customWidth="1"/>
    <col min="4618" max="4618" width="9.7109375" style="449" customWidth="1"/>
    <col min="4619" max="4619" width="12" style="449" customWidth="1"/>
    <col min="4620" max="4620" width="30.140625" style="449" customWidth="1"/>
    <col min="4621" max="4621" width="12" style="449" customWidth="1"/>
    <col min="4622" max="4622" width="12.140625" style="449" customWidth="1"/>
    <col min="4623" max="4870" width="9.140625" style="449"/>
    <col min="4871" max="4871" width="27.7109375" style="449" customWidth="1"/>
    <col min="4872" max="4872" width="32.85546875" style="449" bestFit="1" customWidth="1"/>
    <col min="4873" max="4873" width="11.5703125" style="449" bestFit="1" customWidth="1"/>
    <col min="4874" max="4874" width="9.7109375" style="449" customWidth="1"/>
    <col min="4875" max="4875" width="12" style="449" customWidth="1"/>
    <col min="4876" max="4876" width="30.140625" style="449" customWidth="1"/>
    <col min="4877" max="4877" width="12" style="449" customWidth="1"/>
    <col min="4878" max="4878" width="12.140625" style="449" customWidth="1"/>
    <col min="4879" max="5126" width="9.140625" style="449"/>
    <col min="5127" max="5127" width="27.7109375" style="449" customWidth="1"/>
    <col min="5128" max="5128" width="32.85546875" style="449" bestFit="1" customWidth="1"/>
    <col min="5129" max="5129" width="11.5703125" style="449" bestFit="1" customWidth="1"/>
    <col min="5130" max="5130" width="9.7109375" style="449" customWidth="1"/>
    <col min="5131" max="5131" width="12" style="449" customWidth="1"/>
    <col min="5132" max="5132" width="30.140625" style="449" customWidth="1"/>
    <col min="5133" max="5133" width="12" style="449" customWidth="1"/>
    <col min="5134" max="5134" width="12.140625" style="449" customWidth="1"/>
    <col min="5135" max="5382" width="9.140625" style="449"/>
    <col min="5383" max="5383" width="27.7109375" style="449" customWidth="1"/>
    <col min="5384" max="5384" width="32.85546875" style="449" bestFit="1" customWidth="1"/>
    <col min="5385" max="5385" width="11.5703125" style="449" bestFit="1" customWidth="1"/>
    <col min="5386" max="5386" width="9.7109375" style="449" customWidth="1"/>
    <col min="5387" max="5387" width="12" style="449" customWidth="1"/>
    <col min="5388" max="5388" width="30.140625" style="449" customWidth="1"/>
    <col min="5389" max="5389" width="12" style="449" customWidth="1"/>
    <col min="5390" max="5390" width="12.140625" style="449" customWidth="1"/>
    <col min="5391" max="5638" width="9.140625" style="449"/>
    <col min="5639" max="5639" width="27.7109375" style="449" customWidth="1"/>
    <col min="5640" max="5640" width="32.85546875" style="449" bestFit="1" customWidth="1"/>
    <col min="5641" max="5641" width="11.5703125" style="449" bestFit="1" customWidth="1"/>
    <col min="5642" max="5642" width="9.7109375" style="449" customWidth="1"/>
    <col min="5643" max="5643" width="12" style="449" customWidth="1"/>
    <col min="5644" max="5644" width="30.140625" style="449" customWidth="1"/>
    <col min="5645" max="5645" width="12" style="449" customWidth="1"/>
    <col min="5646" max="5646" width="12.140625" style="449" customWidth="1"/>
    <col min="5647" max="5894" width="9.140625" style="449"/>
    <col min="5895" max="5895" width="27.7109375" style="449" customWidth="1"/>
    <col min="5896" max="5896" width="32.85546875" style="449" bestFit="1" customWidth="1"/>
    <col min="5897" max="5897" width="11.5703125" style="449" bestFit="1" customWidth="1"/>
    <col min="5898" max="5898" width="9.7109375" style="449" customWidth="1"/>
    <col min="5899" max="5899" width="12" style="449" customWidth="1"/>
    <col min="5900" max="5900" width="30.140625" style="449" customWidth="1"/>
    <col min="5901" max="5901" width="12" style="449" customWidth="1"/>
    <col min="5902" max="5902" width="12.140625" style="449" customWidth="1"/>
    <col min="5903" max="6150" width="9.140625" style="449"/>
    <col min="6151" max="6151" width="27.7109375" style="449" customWidth="1"/>
    <col min="6152" max="6152" width="32.85546875" style="449" bestFit="1" customWidth="1"/>
    <col min="6153" max="6153" width="11.5703125" style="449" bestFit="1" customWidth="1"/>
    <col min="6154" max="6154" width="9.7109375" style="449" customWidth="1"/>
    <col min="6155" max="6155" width="12" style="449" customWidth="1"/>
    <col min="6156" max="6156" width="30.140625" style="449" customWidth="1"/>
    <col min="6157" max="6157" width="12" style="449" customWidth="1"/>
    <col min="6158" max="6158" width="12.140625" style="449" customWidth="1"/>
    <col min="6159" max="6406" width="9.140625" style="449"/>
    <col min="6407" max="6407" width="27.7109375" style="449" customWidth="1"/>
    <col min="6408" max="6408" width="32.85546875" style="449" bestFit="1" customWidth="1"/>
    <col min="6409" max="6409" width="11.5703125" style="449" bestFit="1" customWidth="1"/>
    <col min="6410" max="6410" width="9.7109375" style="449" customWidth="1"/>
    <col min="6411" max="6411" width="12" style="449" customWidth="1"/>
    <col min="6412" max="6412" width="30.140625" style="449" customWidth="1"/>
    <col min="6413" max="6413" width="12" style="449" customWidth="1"/>
    <col min="6414" max="6414" width="12.140625" style="449" customWidth="1"/>
    <col min="6415" max="6662" width="9.140625" style="449"/>
    <col min="6663" max="6663" width="27.7109375" style="449" customWidth="1"/>
    <col min="6664" max="6664" width="32.85546875" style="449" bestFit="1" customWidth="1"/>
    <col min="6665" max="6665" width="11.5703125" style="449" bestFit="1" customWidth="1"/>
    <col min="6666" max="6666" width="9.7109375" style="449" customWidth="1"/>
    <col min="6667" max="6667" width="12" style="449" customWidth="1"/>
    <col min="6668" max="6668" width="30.140625" style="449" customWidth="1"/>
    <col min="6669" max="6669" width="12" style="449" customWidth="1"/>
    <col min="6670" max="6670" width="12.140625" style="449" customWidth="1"/>
    <col min="6671" max="6918" width="9.140625" style="449"/>
    <col min="6919" max="6919" width="27.7109375" style="449" customWidth="1"/>
    <col min="6920" max="6920" width="32.85546875" style="449" bestFit="1" customWidth="1"/>
    <col min="6921" max="6921" width="11.5703125" style="449" bestFit="1" customWidth="1"/>
    <col min="6922" max="6922" width="9.7109375" style="449" customWidth="1"/>
    <col min="6923" max="6923" width="12" style="449" customWidth="1"/>
    <col min="6924" max="6924" width="30.140625" style="449" customWidth="1"/>
    <col min="6925" max="6925" width="12" style="449" customWidth="1"/>
    <col min="6926" max="6926" width="12.140625" style="449" customWidth="1"/>
    <col min="6927" max="7174" width="9.140625" style="449"/>
    <col min="7175" max="7175" width="27.7109375" style="449" customWidth="1"/>
    <col min="7176" max="7176" width="32.85546875" style="449" bestFit="1" customWidth="1"/>
    <col min="7177" max="7177" width="11.5703125" style="449" bestFit="1" customWidth="1"/>
    <col min="7178" max="7178" width="9.7109375" style="449" customWidth="1"/>
    <col min="7179" max="7179" width="12" style="449" customWidth="1"/>
    <col min="7180" max="7180" width="30.140625" style="449" customWidth="1"/>
    <col min="7181" max="7181" width="12" style="449" customWidth="1"/>
    <col min="7182" max="7182" width="12.140625" style="449" customWidth="1"/>
    <col min="7183" max="7430" width="9.140625" style="449"/>
    <col min="7431" max="7431" width="27.7109375" style="449" customWidth="1"/>
    <col min="7432" max="7432" width="32.85546875" style="449" bestFit="1" customWidth="1"/>
    <col min="7433" max="7433" width="11.5703125" style="449" bestFit="1" customWidth="1"/>
    <col min="7434" max="7434" width="9.7109375" style="449" customWidth="1"/>
    <col min="7435" max="7435" width="12" style="449" customWidth="1"/>
    <col min="7436" max="7436" width="30.140625" style="449" customWidth="1"/>
    <col min="7437" max="7437" width="12" style="449" customWidth="1"/>
    <col min="7438" max="7438" width="12.140625" style="449" customWidth="1"/>
    <col min="7439" max="7686" width="9.140625" style="449"/>
    <col min="7687" max="7687" width="27.7109375" style="449" customWidth="1"/>
    <col min="7688" max="7688" width="32.85546875" style="449" bestFit="1" customWidth="1"/>
    <col min="7689" max="7689" width="11.5703125" style="449" bestFit="1" customWidth="1"/>
    <col min="7690" max="7690" width="9.7109375" style="449" customWidth="1"/>
    <col min="7691" max="7691" width="12" style="449" customWidth="1"/>
    <col min="7692" max="7692" width="30.140625" style="449" customWidth="1"/>
    <col min="7693" max="7693" width="12" style="449" customWidth="1"/>
    <col min="7694" max="7694" width="12.140625" style="449" customWidth="1"/>
    <col min="7695" max="7942" width="9.140625" style="449"/>
    <col min="7943" max="7943" width="27.7109375" style="449" customWidth="1"/>
    <col min="7944" max="7944" width="32.85546875" style="449" bestFit="1" customWidth="1"/>
    <col min="7945" max="7945" width="11.5703125" style="449" bestFit="1" customWidth="1"/>
    <col min="7946" max="7946" width="9.7109375" style="449" customWidth="1"/>
    <col min="7947" max="7947" width="12" style="449" customWidth="1"/>
    <col min="7948" max="7948" width="30.140625" style="449" customWidth="1"/>
    <col min="7949" max="7949" width="12" style="449" customWidth="1"/>
    <col min="7950" max="7950" width="12.140625" style="449" customWidth="1"/>
    <col min="7951" max="8198" width="9.140625" style="449"/>
    <col min="8199" max="8199" width="27.7109375" style="449" customWidth="1"/>
    <col min="8200" max="8200" width="32.85546875" style="449" bestFit="1" customWidth="1"/>
    <col min="8201" max="8201" width="11.5703125" style="449" bestFit="1" customWidth="1"/>
    <col min="8202" max="8202" width="9.7109375" style="449" customWidth="1"/>
    <col min="8203" max="8203" width="12" style="449" customWidth="1"/>
    <col min="8204" max="8204" width="30.140625" style="449" customWidth="1"/>
    <col min="8205" max="8205" width="12" style="449" customWidth="1"/>
    <col min="8206" max="8206" width="12.140625" style="449" customWidth="1"/>
    <col min="8207" max="8454" width="9.140625" style="449"/>
    <col min="8455" max="8455" width="27.7109375" style="449" customWidth="1"/>
    <col min="8456" max="8456" width="32.85546875" style="449" bestFit="1" customWidth="1"/>
    <col min="8457" max="8457" width="11.5703125" style="449" bestFit="1" customWidth="1"/>
    <col min="8458" max="8458" width="9.7109375" style="449" customWidth="1"/>
    <col min="8459" max="8459" width="12" style="449" customWidth="1"/>
    <col min="8460" max="8460" width="30.140625" style="449" customWidth="1"/>
    <col min="8461" max="8461" width="12" style="449" customWidth="1"/>
    <col min="8462" max="8462" width="12.140625" style="449" customWidth="1"/>
    <col min="8463" max="8710" width="9.140625" style="449"/>
    <col min="8711" max="8711" width="27.7109375" style="449" customWidth="1"/>
    <col min="8712" max="8712" width="32.85546875" style="449" bestFit="1" customWidth="1"/>
    <col min="8713" max="8713" width="11.5703125" style="449" bestFit="1" customWidth="1"/>
    <col min="8714" max="8714" width="9.7109375" style="449" customWidth="1"/>
    <col min="8715" max="8715" width="12" style="449" customWidth="1"/>
    <col min="8716" max="8716" width="30.140625" style="449" customWidth="1"/>
    <col min="8717" max="8717" width="12" style="449" customWidth="1"/>
    <col min="8718" max="8718" width="12.140625" style="449" customWidth="1"/>
    <col min="8719" max="8966" width="9.140625" style="449"/>
    <col min="8967" max="8967" width="27.7109375" style="449" customWidth="1"/>
    <col min="8968" max="8968" width="32.85546875" style="449" bestFit="1" customWidth="1"/>
    <col min="8969" max="8969" width="11.5703125" style="449" bestFit="1" customWidth="1"/>
    <col min="8970" max="8970" width="9.7109375" style="449" customWidth="1"/>
    <col min="8971" max="8971" width="12" style="449" customWidth="1"/>
    <col min="8972" max="8972" width="30.140625" style="449" customWidth="1"/>
    <col min="8973" max="8973" width="12" style="449" customWidth="1"/>
    <col min="8974" max="8974" width="12.140625" style="449" customWidth="1"/>
    <col min="8975" max="9222" width="9.140625" style="449"/>
    <col min="9223" max="9223" width="27.7109375" style="449" customWidth="1"/>
    <col min="9224" max="9224" width="32.85546875" style="449" bestFit="1" customWidth="1"/>
    <col min="9225" max="9225" width="11.5703125" style="449" bestFit="1" customWidth="1"/>
    <col min="9226" max="9226" width="9.7109375" style="449" customWidth="1"/>
    <col min="9227" max="9227" width="12" style="449" customWidth="1"/>
    <col min="9228" max="9228" width="30.140625" style="449" customWidth="1"/>
    <col min="9229" max="9229" width="12" style="449" customWidth="1"/>
    <col min="9230" max="9230" width="12.140625" style="449" customWidth="1"/>
    <col min="9231" max="9478" width="9.140625" style="449"/>
    <col min="9479" max="9479" width="27.7109375" style="449" customWidth="1"/>
    <col min="9480" max="9480" width="32.85546875" style="449" bestFit="1" customWidth="1"/>
    <col min="9481" max="9481" width="11.5703125" style="449" bestFit="1" customWidth="1"/>
    <col min="9482" max="9482" width="9.7109375" style="449" customWidth="1"/>
    <col min="9483" max="9483" width="12" style="449" customWidth="1"/>
    <col min="9484" max="9484" width="30.140625" style="449" customWidth="1"/>
    <col min="9485" max="9485" width="12" style="449" customWidth="1"/>
    <col min="9486" max="9486" width="12.140625" style="449" customWidth="1"/>
    <col min="9487" max="9734" width="9.140625" style="449"/>
    <col min="9735" max="9735" width="27.7109375" style="449" customWidth="1"/>
    <col min="9736" max="9736" width="32.85546875" style="449" bestFit="1" customWidth="1"/>
    <col min="9737" max="9737" width="11.5703125" style="449" bestFit="1" customWidth="1"/>
    <col min="9738" max="9738" width="9.7109375" style="449" customWidth="1"/>
    <col min="9739" max="9739" width="12" style="449" customWidth="1"/>
    <col min="9740" max="9740" width="30.140625" style="449" customWidth="1"/>
    <col min="9741" max="9741" width="12" style="449" customWidth="1"/>
    <col min="9742" max="9742" width="12.140625" style="449" customWidth="1"/>
    <col min="9743" max="9990" width="9.140625" style="449"/>
    <col min="9991" max="9991" width="27.7109375" style="449" customWidth="1"/>
    <col min="9992" max="9992" width="32.85546875" style="449" bestFit="1" customWidth="1"/>
    <col min="9993" max="9993" width="11.5703125" style="449" bestFit="1" customWidth="1"/>
    <col min="9994" max="9994" width="9.7109375" style="449" customWidth="1"/>
    <col min="9995" max="9995" width="12" style="449" customWidth="1"/>
    <col min="9996" max="9996" width="30.140625" style="449" customWidth="1"/>
    <col min="9997" max="9997" width="12" style="449" customWidth="1"/>
    <col min="9998" max="9998" width="12.140625" style="449" customWidth="1"/>
    <col min="9999" max="10246" width="9.140625" style="449"/>
    <col min="10247" max="10247" width="27.7109375" style="449" customWidth="1"/>
    <col min="10248" max="10248" width="32.85546875" style="449" bestFit="1" customWidth="1"/>
    <col min="10249" max="10249" width="11.5703125" style="449" bestFit="1" customWidth="1"/>
    <col min="10250" max="10250" width="9.7109375" style="449" customWidth="1"/>
    <col min="10251" max="10251" width="12" style="449" customWidth="1"/>
    <col min="10252" max="10252" width="30.140625" style="449" customWidth="1"/>
    <col min="10253" max="10253" width="12" style="449" customWidth="1"/>
    <col min="10254" max="10254" width="12.140625" style="449" customWidth="1"/>
    <col min="10255" max="10502" width="9.140625" style="449"/>
    <col min="10503" max="10503" width="27.7109375" style="449" customWidth="1"/>
    <col min="10504" max="10504" width="32.85546875" style="449" bestFit="1" customWidth="1"/>
    <col min="10505" max="10505" width="11.5703125" style="449" bestFit="1" customWidth="1"/>
    <col min="10506" max="10506" width="9.7109375" style="449" customWidth="1"/>
    <col min="10507" max="10507" width="12" style="449" customWidth="1"/>
    <col min="10508" max="10508" width="30.140625" style="449" customWidth="1"/>
    <col min="10509" max="10509" width="12" style="449" customWidth="1"/>
    <col min="10510" max="10510" width="12.140625" style="449" customWidth="1"/>
    <col min="10511" max="10758" width="9.140625" style="449"/>
    <col min="10759" max="10759" width="27.7109375" style="449" customWidth="1"/>
    <col min="10760" max="10760" width="32.85546875" style="449" bestFit="1" customWidth="1"/>
    <col min="10761" max="10761" width="11.5703125" style="449" bestFit="1" customWidth="1"/>
    <col min="10762" max="10762" width="9.7109375" style="449" customWidth="1"/>
    <col min="10763" max="10763" width="12" style="449" customWidth="1"/>
    <col min="10764" max="10764" width="30.140625" style="449" customWidth="1"/>
    <col min="10765" max="10765" width="12" style="449" customWidth="1"/>
    <col min="10766" max="10766" width="12.140625" style="449" customWidth="1"/>
    <col min="10767" max="11014" width="9.140625" style="449"/>
    <col min="11015" max="11015" width="27.7109375" style="449" customWidth="1"/>
    <col min="11016" max="11016" width="32.85546875" style="449" bestFit="1" customWidth="1"/>
    <col min="11017" max="11017" width="11.5703125" style="449" bestFit="1" customWidth="1"/>
    <col min="11018" max="11018" width="9.7109375" style="449" customWidth="1"/>
    <col min="11019" max="11019" width="12" style="449" customWidth="1"/>
    <col min="11020" max="11020" width="30.140625" style="449" customWidth="1"/>
    <col min="11021" max="11021" width="12" style="449" customWidth="1"/>
    <col min="11022" max="11022" width="12.140625" style="449" customWidth="1"/>
    <col min="11023" max="11270" width="9.140625" style="449"/>
    <col min="11271" max="11271" width="27.7109375" style="449" customWidth="1"/>
    <col min="11272" max="11272" width="32.85546875" style="449" bestFit="1" customWidth="1"/>
    <col min="11273" max="11273" width="11.5703125" style="449" bestFit="1" customWidth="1"/>
    <col min="11274" max="11274" width="9.7109375" style="449" customWidth="1"/>
    <col min="11275" max="11275" width="12" style="449" customWidth="1"/>
    <col min="11276" max="11276" width="30.140625" style="449" customWidth="1"/>
    <col min="11277" max="11277" width="12" style="449" customWidth="1"/>
    <col min="11278" max="11278" width="12.140625" style="449" customWidth="1"/>
    <col min="11279" max="11526" width="9.140625" style="449"/>
    <col min="11527" max="11527" width="27.7109375" style="449" customWidth="1"/>
    <col min="11528" max="11528" width="32.85546875" style="449" bestFit="1" customWidth="1"/>
    <col min="11529" max="11529" width="11.5703125" style="449" bestFit="1" customWidth="1"/>
    <col min="11530" max="11530" width="9.7109375" style="449" customWidth="1"/>
    <col min="11531" max="11531" width="12" style="449" customWidth="1"/>
    <col min="11532" max="11532" width="30.140625" style="449" customWidth="1"/>
    <col min="11533" max="11533" width="12" style="449" customWidth="1"/>
    <col min="11534" max="11534" width="12.140625" style="449" customWidth="1"/>
    <col min="11535" max="11782" width="9.140625" style="449"/>
    <col min="11783" max="11783" width="27.7109375" style="449" customWidth="1"/>
    <col min="11784" max="11784" width="32.85546875" style="449" bestFit="1" customWidth="1"/>
    <col min="11785" max="11785" width="11.5703125" style="449" bestFit="1" customWidth="1"/>
    <col min="11786" max="11786" width="9.7109375" style="449" customWidth="1"/>
    <col min="11787" max="11787" width="12" style="449" customWidth="1"/>
    <col min="11788" max="11788" width="30.140625" style="449" customWidth="1"/>
    <col min="11789" max="11789" width="12" style="449" customWidth="1"/>
    <col min="11790" max="11790" width="12.140625" style="449" customWidth="1"/>
    <col min="11791" max="12038" width="9.140625" style="449"/>
    <col min="12039" max="12039" width="27.7109375" style="449" customWidth="1"/>
    <col min="12040" max="12040" width="32.85546875" style="449" bestFit="1" customWidth="1"/>
    <col min="12041" max="12041" width="11.5703125" style="449" bestFit="1" customWidth="1"/>
    <col min="12042" max="12042" width="9.7109375" style="449" customWidth="1"/>
    <col min="12043" max="12043" width="12" style="449" customWidth="1"/>
    <col min="12044" max="12044" width="30.140625" style="449" customWidth="1"/>
    <col min="12045" max="12045" width="12" style="449" customWidth="1"/>
    <col min="12046" max="12046" width="12.140625" style="449" customWidth="1"/>
    <col min="12047" max="12294" width="9.140625" style="449"/>
    <col min="12295" max="12295" width="27.7109375" style="449" customWidth="1"/>
    <col min="12296" max="12296" width="32.85546875" style="449" bestFit="1" customWidth="1"/>
    <col min="12297" max="12297" width="11.5703125" style="449" bestFit="1" customWidth="1"/>
    <col min="12298" max="12298" width="9.7109375" style="449" customWidth="1"/>
    <col min="12299" max="12299" width="12" style="449" customWidth="1"/>
    <col min="12300" max="12300" width="30.140625" style="449" customWidth="1"/>
    <col min="12301" max="12301" width="12" style="449" customWidth="1"/>
    <col min="12302" max="12302" width="12.140625" style="449" customWidth="1"/>
    <col min="12303" max="12550" width="9.140625" style="449"/>
    <col min="12551" max="12551" width="27.7109375" style="449" customWidth="1"/>
    <col min="12552" max="12552" width="32.85546875" style="449" bestFit="1" customWidth="1"/>
    <col min="12553" max="12553" width="11.5703125" style="449" bestFit="1" customWidth="1"/>
    <col min="12554" max="12554" width="9.7109375" style="449" customWidth="1"/>
    <col min="12555" max="12555" width="12" style="449" customWidth="1"/>
    <col min="12556" max="12556" width="30.140625" style="449" customWidth="1"/>
    <col min="12557" max="12557" width="12" style="449" customWidth="1"/>
    <col min="12558" max="12558" width="12.140625" style="449" customWidth="1"/>
    <col min="12559" max="12806" width="9.140625" style="449"/>
    <col min="12807" max="12807" width="27.7109375" style="449" customWidth="1"/>
    <col min="12808" max="12808" width="32.85546875" style="449" bestFit="1" customWidth="1"/>
    <col min="12809" max="12809" width="11.5703125" style="449" bestFit="1" customWidth="1"/>
    <col min="12810" max="12810" width="9.7109375" style="449" customWidth="1"/>
    <col min="12811" max="12811" width="12" style="449" customWidth="1"/>
    <col min="12812" max="12812" width="30.140625" style="449" customWidth="1"/>
    <col min="12813" max="12813" width="12" style="449" customWidth="1"/>
    <col min="12814" max="12814" width="12.140625" style="449" customWidth="1"/>
    <col min="12815" max="13062" width="9.140625" style="449"/>
    <col min="13063" max="13063" width="27.7109375" style="449" customWidth="1"/>
    <col min="13064" max="13064" width="32.85546875" style="449" bestFit="1" customWidth="1"/>
    <col min="13065" max="13065" width="11.5703125" style="449" bestFit="1" customWidth="1"/>
    <col min="13066" max="13066" width="9.7109375" style="449" customWidth="1"/>
    <col min="13067" max="13067" width="12" style="449" customWidth="1"/>
    <col min="13068" max="13068" width="30.140625" style="449" customWidth="1"/>
    <col min="13069" max="13069" width="12" style="449" customWidth="1"/>
    <col min="13070" max="13070" width="12.140625" style="449" customWidth="1"/>
    <col min="13071" max="13318" width="9.140625" style="449"/>
    <col min="13319" max="13319" width="27.7109375" style="449" customWidth="1"/>
    <col min="13320" max="13320" width="32.85546875" style="449" bestFit="1" customWidth="1"/>
    <col min="13321" max="13321" width="11.5703125" style="449" bestFit="1" customWidth="1"/>
    <col min="13322" max="13322" width="9.7109375" style="449" customWidth="1"/>
    <col min="13323" max="13323" width="12" style="449" customWidth="1"/>
    <col min="13324" max="13324" width="30.140625" style="449" customWidth="1"/>
    <col min="13325" max="13325" width="12" style="449" customWidth="1"/>
    <col min="13326" max="13326" width="12.140625" style="449" customWidth="1"/>
    <col min="13327" max="13574" width="9.140625" style="449"/>
    <col min="13575" max="13575" width="27.7109375" style="449" customWidth="1"/>
    <col min="13576" max="13576" width="32.85546875" style="449" bestFit="1" customWidth="1"/>
    <col min="13577" max="13577" width="11.5703125" style="449" bestFit="1" customWidth="1"/>
    <col min="13578" max="13578" width="9.7109375" style="449" customWidth="1"/>
    <col min="13579" max="13579" width="12" style="449" customWidth="1"/>
    <col min="13580" max="13580" width="30.140625" style="449" customWidth="1"/>
    <col min="13581" max="13581" width="12" style="449" customWidth="1"/>
    <col min="13582" max="13582" width="12.140625" style="449" customWidth="1"/>
    <col min="13583" max="13830" width="9.140625" style="449"/>
    <col min="13831" max="13831" width="27.7109375" style="449" customWidth="1"/>
    <col min="13832" max="13832" width="32.85546875" style="449" bestFit="1" customWidth="1"/>
    <col min="13833" max="13833" width="11.5703125" style="449" bestFit="1" customWidth="1"/>
    <col min="13834" max="13834" width="9.7109375" style="449" customWidth="1"/>
    <col min="13835" max="13835" width="12" style="449" customWidth="1"/>
    <col min="13836" max="13836" width="30.140625" style="449" customWidth="1"/>
    <col min="13837" max="13837" width="12" style="449" customWidth="1"/>
    <col min="13838" max="13838" width="12.140625" style="449" customWidth="1"/>
    <col min="13839" max="14086" width="9.140625" style="449"/>
    <col min="14087" max="14087" width="27.7109375" style="449" customWidth="1"/>
    <col min="14088" max="14088" width="32.85546875" style="449" bestFit="1" customWidth="1"/>
    <col min="14089" max="14089" width="11.5703125" style="449" bestFit="1" customWidth="1"/>
    <col min="14090" max="14090" width="9.7109375" style="449" customWidth="1"/>
    <col min="14091" max="14091" width="12" style="449" customWidth="1"/>
    <col min="14092" max="14092" width="30.140625" style="449" customWidth="1"/>
    <col min="14093" max="14093" width="12" style="449" customWidth="1"/>
    <col min="14094" max="14094" width="12.140625" style="449" customWidth="1"/>
    <col min="14095" max="14342" width="9.140625" style="449"/>
    <col min="14343" max="14343" width="27.7109375" style="449" customWidth="1"/>
    <col min="14344" max="14344" width="32.85546875" style="449" bestFit="1" customWidth="1"/>
    <col min="14345" max="14345" width="11.5703125" style="449" bestFit="1" customWidth="1"/>
    <col min="14346" max="14346" width="9.7109375" style="449" customWidth="1"/>
    <col min="14347" max="14347" width="12" style="449" customWidth="1"/>
    <col min="14348" max="14348" width="30.140625" style="449" customWidth="1"/>
    <col min="14349" max="14349" width="12" style="449" customWidth="1"/>
    <col min="14350" max="14350" width="12.140625" style="449" customWidth="1"/>
    <col min="14351" max="14598" width="9.140625" style="449"/>
    <col min="14599" max="14599" width="27.7109375" style="449" customWidth="1"/>
    <col min="14600" max="14600" width="32.85546875" style="449" bestFit="1" customWidth="1"/>
    <col min="14601" max="14601" width="11.5703125" style="449" bestFit="1" customWidth="1"/>
    <col min="14602" max="14602" width="9.7109375" style="449" customWidth="1"/>
    <col min="14603" max="14603" width="12" style="449" customWidth="1"/>
    <col min="14604" max="14604" width="30.140625" style="449" customWidth="1"/>
    <col min="14605" max="14605" width="12" style="449" customWidth="1"/>
    <col min="14606" max="14606" width="12.140625" style="449" customWidth="1"/>
    <col min="14607" max="14854" width="9.140625" style="449"/>
    <col min="14855" max="14855" width="27.7109375" style="449" customWidth="1"/>
    <col min="14856" max="14856" width="32.85546875" style="449" bestFit="1" customWidth="1"/>
    <col min="14857" max="14857" width="11.5703125" style="449" bestFit="1" customWidth="1"/>
    <col min="14858" max="14858" width="9.7109375" style="449" customWidth="1"/>
    <col min="14859" max="14859" width="12" style="449" customWidth="1"/>
    <col min="14860" max="14860" width="30.140625" style="449" customWidth="1"/>
    <col min="14861" max="14861" width="12" style="449" customWidth="1"/>
    <col min="14862" max="14862" width="12.140625" style="449" customWidth="1"/>
    <col min="14863" max="15110" width="9.140625" style="449"/>
    <col min="15111" max="15111" width="27.7109375" style="449" customWidth="1"/>
    <col min="15112" max="15112" width="32.85546875" style="449" bestFit="1" customWidth="1"/>
    <col min="15113" max="15113" width="11.5703125" style="449" bestFit="1" customWidth="1"/>
    <col min="15114" max="15114" width="9.7109375" style="449" customWidth="1"/>
    <col min="15115" max="15115" width="12" style="449" customWidth="1"/>
    <col min="15116" max="15116" width="30.140625" style="449" customWidth="1"/>
    <col min="15117" max="15117" width="12" style="449" customWidth="1"/>
    <col min="15118" max="15118" width="12.140625" style="449" customWidth="1"/>
    <col min="15119" max="15366" width="9.140625" style="449"/>
    <col min="15367" max="15367" width="27.7109375" style="449" customWidth="1"/>
    <col min="15368" max="15368" width="32.85546875" style="449" bestFit="1" customWidth="1"/>
    <col min="15369" max="15369" width="11.5703125" style="449" bestFit="1" customWidth="1"/>
    <col min="15370" max="15370" width="9.7109375" style="449" customWidth="1"/>
    <col min="15371" max="15371" width="12" style="449" customWidth="1"/>
    <col min="15372" max="15372" width="30.140625" style="449" customWidth="1"/>
    <col min="15373" max="15373" width="12" style="449" customWidth="1"/>
    <col min="15374" max="15374" width="12.140625" style="449" customWidth="1"/>
    <col min="15375" max="15622" width="9.140625" style="449"/>
    <col min="15623" max="15623" width="27.7109375" style="449" customWidth="1"/>
    <col min="15624" max="15624" width="32.85546875" style="449" bestFit="1" customWidth="1"/>
    <col min="15625" max="15625" width="11.5703125" style="449" bestFit="1" customWidth="1"/>
    <col min="15626" max="15626" width="9.7109375" style="449" customWidth="1"/>
    <col min="15627" max="15627" width="12" style="449" customWidth="1"/>
    <col min="15628" max="15628" width="30.140625" style="449" customWidth="1"/>
    <col min="15629" max="15629" width="12" style="449" customWidth="1"/>
    <col min="15630" max="15630" width="12.140625" style="449" customWidth="1"/>
    <col min="15631" max="15878" width="9.140625" style="449"/>
    <col min="15879" max="15879" width="27.7109375" style="449" customWidth="1"/>
    <col min="15880" max="15880" width="32.85546875" style="449" bestFit="1" customWidth="1"/>
    <col min="15881" max="15881" width="11.5703125" style="449" bestFit="1" customWidth="1"/>
    <col min="15882" max="15882" width="9.7109375" style="449" customWidth="1"/>
    <col min="15883" max="15883" width="12" style="449" customWidth="1"/>
    <col min="15884" max="15884" width="30.140625" style="449" customWidth="1"/>
    <col min="15885" max="15885" width="12" style="449" customWidth="1"/>
    <col min="15886" max="15886" width="12.140625" style="449" customWidth="1"/>
    <col min="15887" max="16134" width="9.140625" style="449"/>
    <col min="16135" max="16135" width="27.7109375" style="449" customWidth="1"/>
    <col min="16136" max="16136" width="32.85546875" style="449" bestFit="1" customWidth="1"/>
    <col min="16137" max="16137" width="11.5703125" style="449" bestFit="1" customWidth="1"/>
    <col min="16138" max="16138" width="9.7109375" style="449" customWidth="1"/>
    <col min="16139" max="16139" width="12" style="449" customWidth="1"/>
    <col min="16140" max="16140" width="30.140625" style="449" customWidth="1"/>
    <col min="16141" max="16141" width="12" style="449" customWidth="1"/>
    <col min="16142" max="16142" width="12.140625" style="449" customWidth="1"/>
    <col min="16143" max="16384" width="9.140625" style="449"/>
  </cols>
  <sheetData>
    <row r="1" spans="1:25" s="642" customFormat="1" ht="20.25">
      <c r="A1" s="639" t="s">
        <v>442</v>
      </c>
      <c r="B1" s="638"/>
      <c r="C1" s="639"/>
      <c r="D1" s="640"/>
      <c r="E1" s="641"/>
      <c r="O1" s="943"/>
      <c r="P1" s="943"/>
      <c r="Q1" s="943"/>
      <c r="R1" s="943"/>
      <c r="S1" s="943"/>
      <c r="T1" s="943"/>
      <c r="U1" s="943"/>
      <c r="V1" s="943"/>
      <c r="W1" s="943"/>
      <c r="X1" s="1269"/>
      <c r="Y1" s="944"/>
    </row>
    <row r="2" spans="1:25" s="415" customFormat="1">
      <c r="A2" s="414" t="s">
        <v>336</v>
      </c>
      <c r="O2" s="945"/>
      <c r="P2" s="945"/>
      <c r="Q2" s="945"/>
      <c r="R2" s="945"/>
      <c r="S2" s="945"/>
      <c r="T2" s="945"/>
      <c r="U2" s="945"/>
      <c r="V2" s="945"/>
      <c r="W2" s="945"/>
      <c r="X2" s="1270"/>
      <c r="Y2" s="946"/>
    </row>
    <row r="3" spans="1:25">
      <c r="A3" s="643" t="s">
        <v>419</v>
      </c>
      <c r="B3" s="636"/>
      <c r="C3" s="442"/>
      <c r="D3" s="644"/>
      <c r="E3" s="645"/>
      <c r="P3" s="1546"/>
      <c r="Q3" s="1546"/>
      <c r="R3" s="1546"/>
      <c r="S3" s="1546"/>
      <c r="T3" s="1546"/>
      <c r="U3" s="1546"/>
      <c r="V3" s="1546"/>
      <c r="W3" s="1546"/>
      <c r="X3" s="1547"/>
      <c r="Y3" s="1548"/>
    </row>
    <row r="4" spans="1:25" ht="16.5" thickBot="1">
      <c r="A4" s="646" t="s">
        <v>279</v>
      </c>
      <c r="B4" s="647"/>
      <c r="C4" s="648" t="s">
        <v>420</v>
      </c>
      <c r="D4" s="649" t="s">
        <v>421</v>
      </c>
      <c r="E4" s="712" t="s">
        <v>422</v>
      </c>
      <c r="F4" s="648" t="s">
        <v>443</v>
      </c>
      <c r="P4" s="1549"/>
      <c r="Q4" s="1546"/>
      <c r="R4" s="1546"/>
      <c r="S4" s="1546"/>
      <c r="T4" s="1546"/>
      <c r="U4" s="1546"/>
      <c r="V4" s="1546"/>
      <c r="W4" s="1546"/>
      <c r="X4" s="1547"/>
      <c r="Y4" s="1548"/>
    </row>
    <row r="5" spans="1:25" ht="27" thickBot="1">
      <c r="A5" s="651" t="s">
        <v>282</v>
      </c>
      <c r="B5" s="652"/>
      <c r="C5" s="653"/>
      <c r="D5" s="654"/>
      <c r="E5" s="713"/>
      <c r="F5" s="714"/>
      <c r="G5" s="449">
        <f>C6*(3.27%+1)</f>
        <v>51635</v>
      </c>
      <c r="H5" s="449">
        <f>G5*(4.19%+1)</f>
        <v>53798.506500000003</v>
      </c>
      <c r="J5" s="56" t="s">
        <v>225</v>
      </c>
      <c r="K5" s="2536"/>
      <c r="L5" s="2536"/>
      <c r="M5" s="58" t="s">
        <v>226</v>
      </c>
      <c r="P5" s="3264" t="s">
        <v>843</v>
      </c>
      <c r="Q5" s="3265"/>
      <c r="R5" s="3265"/>
      <c r="S5" s="3265"/>
      <c r="T5" s="3266"/>
      <c r="U5" s="1546"/>
      <c r="V5" s="1546"/>
      <c r="W5" s="3267" t="s">
        <v>223</v>
      </c>
      <c r="X5" s="3268"/>
      <c r="Y5" s="3269"/>
    </row>
    <row r="6" spans="1:25" ht="16.5" thickBot="1">
      <c r="A6" s="651"/>
      <c r="B6" s="656" t="s">
        <v>191</v>
      </c>
      <c r="C6" s="653">
        <v>50000</v>
      </c>
      <c r="D6" s="658">
        <v>0.06</v>
      </c>
      <c r="E6" s="715">
        <f>C6*D6</f>
        <v>3000</v>
      </c>
      <c r="F6" s="680"/>
      <c r="J6" s="64" t="s">
        <v>230</v>
      </c>
      <c r="K6" s="65" t="s">
        <v>231</v>
      </c>
      <c r="L6" s="66" t="s">
        <v>232</v>
      </c>
      <c r="M6" s="67">
        <v>2080</v>
      </c>
      <c r="P6" s="1550"/>
      <c r="Q6" s="1551" t="s">
        <v>231</v>
      </c>
      <c r="R6" s="1552">
        <f>M11</f>
        <v>1775</v>
      </c>
      <c r="S6" s="1551"/>
      <c r="T6" s="1553"/>
      <c r="U6" s="1546"/>
      <c r="V6" s="1546"/>
      <c r="W6" s="3270" t="s">
        <v>227</v>
      </c>
      <c r="X6" s="3271"/>
      <c r="Y6" s="1554" t="s">
        <v>228</v>
      </c>
    </row>
    <row r="7" spans="1:25" ht="15" customHeight="1">
      <c r="A7" s="659"/>
      <c r="B7" s="716" t="s">
        <v>215</v>
      </c>
      <c r="C7" s="717">
        <f>'[8]FY 09 UFR Salary Data'!$H$40</f>
        <v>25622.22</v>
      </c>
      <c r="D7" s="658">
        <v>1</v>
      </c>
      <c r="E7" s="715">
        <f>C7*D7</f>
        <v>25622.22</v>
      </c>
      <c r="F7" s="718" t="s">
        <v>444</v>
      </c>
      <c r="G7" s="449">
        <f>C7*(3.27%+1)</f>
        <v>26460.066594</v>
      </c>
      <c r="H7" s="449">
        <f>G7*(4.19%+1)</f>
        <v>27568.743384288602</v>
      </c>
      <c r="J7" s="76" t="s">
        <v>236</v>
      </c>
      <c r="K7" s="77">
        <v>120</v>
      </c>
      <c r="L7" s="2554">
        <v>2</v>
      </c>
      <c r="M7" s="79">
        <f>L7*K7</f>
        <v>240</v>
      </c>
      <c r="P7" s="1555"/>
      <c r="Q7" s="1556"/>
      <c r="R7" s="1557" t="s">
        <v>209</v>
      </c>
      <c r="S7" s="1558" t="s">
        <v>190</v>
      </c>
      <c r="T7" s="1559" t="s">
        <v>210</v>
      </c>
      <c r="U7" s="1546"/>
      <c r="V7" s="1546"/>
      <c r="W7" s="1560" t="s">
        <v>191</v>
      </c>
      <c r="X7" s="1561">
        <f>'Master Look Up'!L26</f>
        <v>55383.32303680529</v>
      </c>
      <c r="Y7" s="2573" t="s">
        <v>861</v>
      </c>
    </row>
    <row r="8" spans="1:25" ht="17.25" customHeight="1" thickBot="1">
      <c r="A8" s="660" t="s">
        <v>286</v>
      </c>
      <c r="B8" s="661"/>
      <c r="C8" s="657"/>
      <c r="D8" s="658">
        <f>SUM(D6:D7)</f>
        <v>1.06</v>
      </c>
      <c r="E8" s="715">
        <f>SUM(E6:E7)</f>
        <v>28622.22</v>
      </c>
      <c r="F8" s="680"/>
      <c r="J8" s="86" t="s">
        <v>237</v>
      </c>
      <c r="K8" s="77">
        <v>10</v>
      </c>
      <c r="L8" s="2553">
        <v>2.5</v>
      </c>
      <c r="M8" s="79">
        <f>L8*K8</f>
        <v>25</v>
      </c>
      <c r="P8" s="1562" t="s">
        <v>191</v>
      </c>
      <c r="Q8" s="1563"/>
      <c r="R8" s="1564">
        <f>X7</f>
        <v>55383.32303680529</v>
      </c>
      <c r="S8" s="1565">
        <v>0.1</v>
      </c>
      <c r="T8" s="1566">
        <f>R8*S8</f>
        <v>5538.3323036805295</v>
      </c>
      <c r="U8" s="1546"/>
      <c r="V8" s="1546"/>
      <c r="W8" s="1567" t="s">
        <v>833</v>
      </c>
      <c r="X8" s="1568">
        <v>31200</v>
      </c>
      <c r="Y8" s="2407" t="s">
        <v>854</v>
      </c>
    </row>
    <row r="9" spans="1:25" ht="16.5" thickBot="1">
      <c r="A9" s="659"/>
      <c r="B9" s="662"/>
      <c r="C9" s="653"/>
      <c r="D9" s="654"/>
      <c r="E9" s="713"/>
      <c r="F9" s="714"/>
      <c r="J9" s="92" t="s">
        <v>239</v>
      </c>
      <c r="K9" s="77">
        <v>40</v>
      </c>
      <c r="L9" s="2552">
        <v>1</v>
      </c>
      <c r="M9" s="79">
        <f>L9*K9</f>
        <v>40</v>
      </c>
      <c r="P9" s="2207" t="s">
        <v>833</v>
      </c>
      <c r="Q9" s="1563"/>
      <c r="R9" s="1569">
        <f>X8</f>
        <v>31200</v>
      </c>
      <c r="S9" s="1570">
        <v>0.9</v>
      </c>
      <c r="T9" s="1571">
        <f t="shared" ref="T9" si="0">R9*S9</f>
        <v>28080</v>
      </c>
      <c r="U9" s="1546"/>
      <c r="V9" s="1546"/>
      <c r="W9" s="3274" t="s">
        <v>240</v>
      </c>
      <c r="X9" s="3275"/>
      <c r="Y9" s="3276"/>
    </row>
    <row r="10" spans="1:25" ht="17.25" thickTop="1" thickBot="1">
      <c r="A10" s="663" t="s">
        <v>288</v>
      </c>
      <c r="B10" s="664" t="s">
        <v>289</v>
      </c>
      <c r="C10" s="665">
        <v>0.22</v>
      </c>
      <c r="D10" s="658"/>
      <c r="E10" s="715">
        <f>E8*C10</f>
        <v>6296.8884000000007</v>
      </c>
      <c r="F10" s="719"/>
      <c r="J10" s="111" t="s">
        <v>248</v>
      </c>
      <c r="K10" s="112"/>
      <c r="L10" s="113"/>
      <c r="M10" s="67">
        <f>SUM(M7:M9)</f>
        <v>305</v>
      </c>
      <c r="P10" s="1573" t="s">
        <v>334</v>
      </c>
      <c r="Q10" s="1574"/>
      <c r="R10" s="1575"/>
      <c r="S10" s="2405">
        <f>SUM(S8:S9)</f>
        <v>1</v>
      </c>
      <c r="T10" s="2406">
        <f>SUM(T8:T9)</f>
        <v>33618.33230368053</v>
      </c>
      <c r="U10" s="1546"/>
      <c r="V10" s="1546"/>
      <c r="W10" s="1608"/>
      <c r="X10" s="1603"/>
      <c r="Y10" s="2382"/>
    </row>
    <row r="11" spans="1:25" ht="16.5" thickBot="1">
      <c r="A11" s="663" t="s">
        <v>295</v>
      </c>
      <c r="B11" s="664"/>
      <c r="C11" s="657"/>
      <c r="D11" s="658"/>
      <c r="E11" s="715">
        <f>SUM(E8,E10:E10)</f>
        <v>34919.108400000005</v>
      </c>
      <c r="F11" s="680"/>
      <c r="J11" s="2614" t="s">
        <v>250</v>
      </c>
      <c r="K11" s="2615"/>
      <c r="L11" s="2616"/>
      <c r="M11" s="2617">
        <f>M6-M10</f>
        <v>1775</v>
      </c>
      <c r="P11" s="1576" t="s">
        <v>196</v>
      </c>
      <c r="Q11" s="1577">
        <f>X14</f>
        <v>0.22</v>
      </c>
      <c r="R11" s="1578"/>
      <c r="S11" s="1598"/>
      <c r="T11" s="2404">
        <f>Q11*T10</f>
        <v>7396.0331068097166</v>
      </c>
      <c r="U11" s="1546"/>
      <c r="V11" s="1546"/>
      <c r="W11" s="1608" t="s">
        <v>673</v>
      </c>
      <c r="X11" s="1603">
        <f>'Master Look Up'!F6</f>
        <v>178.16741415351552</v>
      </c>
      <c r="Y11" s="2382" t="s">
        <v>832</v>
      </c>
    </row>
    <row r="12" spans="1:25" ht="16.5" customHeight="1" thickBot="1">
      <c r="A12" s="659"/>
      <c r="B12" s="662"/>
      <c r="C12" s="653"/>
      <c r="D12" s="654"/>
      <c r="E12" s="713"/>
      <c r="F12" s="714"/>
      <c r="P12" s="941" t="s">
        <v>198</v>
      </c>
      <c r="Q12" s="2270"/>
      <c r="R12" s="2271"/>
      <c r="S12" s="2272"/>
      <c r="T12" s="2273">
        <f>T10+T11</f>
        <v>41014.365410490245</v>
      </c>
      <c r="U12" s="1546"/>
      <c r="V12" s="1546"/>
      <c r="W12" s="1608" t="s">
        <v>674</v>
      </c>
      <c r="X12" s="1603">
        <f>'Master Look Up'!F7</f>
        <v>1410.7821990248415</v>
      </c>
      <c r="Y12" s="2382" t="s">
        <v>832</v>
      </c>
    </row>
    <row r="13" spans="1:25" ht="18" customHeight="1" thickBot="1">
      <c r="A13" s="675" t="s">
        <v>297</v>
      </c>
      <c r="B13" s="676" t="s">
        <v>298</v>
      </c>
      <c r="C13" s="677">
        <v>0.11</v>
      </c>
      <c r="D13" s="674"/>
      <c r="E13" s="720">
        <f>C13*E11</f>
        <v>3841.1019240000005</v>
      </c>
      <c r="F13" s="680"/>
      <c r="P13" s="2256" t="str">
        <f>W11</f>
        <v>Staff Training 204</v>
      </c>
      <c r="Q13" s="2393"/>
      <c r="R13" s="2394"/>
      <c r="S13" s="2395"/>
      <c r="T13" s="2396">
        <f>S10*X11</f>
        <v>178.16741415351552</v>
      </c>
      <c r="U13" s="1546"/>
      <c r="V13" s="1546"/>
      <c r="W13" s="1609"/>
      <c r="X13" s="2383"/>
      <c r="Y13" s="2384"/>
    </row>
    <row r="14" spans="1:25" ht="16.5" thickBot="1">
      <c r="A14" s="679" t="s">
        <v>299</v>
      </c>
      <c r="B14" s="679"/>
      <c r="C14" s="680"/>
      <c r="D14" s="678"/>
      <c r="E14" s="721">
        <f>SUM(E13:E13)</f>
        <v>3841.1019240000005</v>
      </c>
      <c r="F14" s="680"/>
      <c r="P14" s="2235" t="str">
        <f>W12</f>
        <v>Staff Mileage / Travel 205</v>
      </c>
      <c r="Q14" s="1268"/>
      <c r="R14" s="1268"/>
      <c r="S14" s="2390"/>
      <c r="T14" s="2397">
        <f>S10*X12</f>
        <v>1410.7821990248415</v>
      </c>
      <c r="W14" s="2381" t="s">
        <v>196</v>
      </c>
      <c r="X14" s="2408">
        <v>0.22</v>
      </c>
      <c r="Y14" s="2409" t="s">
        <v>524</v>
      </c>
    </row>
    <row r="15" spans="1:25" ht="17.25" thickTop="1" thickBot="1">
      <c r="A15" s="681"/>
      <c r="B15" s="682"/>
      <c r="C15" s="722"/>
      <c r="D15" s="683"/>
      <c r="E15" s="723"/>
      <c r="F15" s="714"/>
      <c r="P15" s="2399" t="s">
        <v>200</v>
      </c>
      <c r="Q15" s="2400"/>
      <c r="R15" s="2401"/>
      <c r="S15" s="2402"/>
      <c r="T15" s="2403">
        <f>SUM(T12:T14)</f>
        <v>42603.315023668605</v>
      </c>
      <c r="U15" s="1584"/>
      <c r="V15" s="1584"/>
      <c r="W15" s="1579" t="s">
        <v>653</v>
      </c>
      <c r="X15" s="1580">
        <v>6.3E-3</v>
      </c>
      <c r="Y15" s="2556" t="s">
        <v>860</v>
      </c>
    </row>
    <row r="16" spans="1:25">
      <c r="A16" s="685" t="s">
        <v>300</v>
      </c>
      <c r="B16" s="686"/>
      <c r="C16" s="687"/>
      <c r="D16" s="688"/>
      <c r="E16" s="721">
        <f>SUM(E11,E14)</f>
        <v>38760.210324000007</v>
      </c>
      <c r="F16" s="680"/>
      <c r="P16" s="2238" t="str">
        <f>W15</f>
        <v>PFMLA</v>
      </c>
      <c r="Q16" s="1823">
        <f>X15</f>
        <v>6.3E-3</v>
      </c>
      <c r="R16" s="2229"/>
      <c r="S16" s="2230"/>
      <c r="T16" s="2239">
        <f>T10*Q16</f>
        <v>211.79549351318735</v>
      </c>
      <c r="U16" s="1546"/>
      <c r="V16" s="1546"/>
      <c r="W16" s="2237" t="s">
        <v>201</v>
      </c>
      <c r="X16" s="2217">
        <v>0.11</v>
      </c>
      <c r="Y16" s="2410" t="s">
        <v>524</v>
      </c>
    </row>
    <row r="17" spans="1:25" ht="16.5" thickBot="1">
      <c r="A17" s="689"/>
      <c r="B17" s="690"/>
      <c r="G17" s="709" t="e">
        <f>#REF!</f>
        <v>#REF!</v>
      </c>
      <c r="H17" s="709"/>
      <c r="I17" s="709"/>
      <c r="J17" s="709"/>
      <c r="K17" s="709"/>
      <c r="L17" s="709"/>
      <c r="M17" s="709"/>
      <c r="N17" s="709"/>
      <c r="P17" s="2398" t="s">
        <v>201</v>
      </c>
      <c r="Q17" s="2391">
        <f>X16</f>
        <v>0.11</v>
      </c>
      <c r="R17" s="2281"/>
      <c r="S17" s="2392"/>
      <c r="T17" s="2397">
        <f>Q17*T15</f>
        <v>4686.3646526035463</v>
      </c>
      <c r="U17" s="1546"/>
      <c r="V17" s="1546"/>
      <c r="W17" s="1581" t="s">
        <v>256</v>
      </c>
      <c r="X17" s="1582">
        <f>'Spring 2019 CAF'!BU25</f>
        <v>1.8120393120392975E-2</v>
      </c>
      <c r="Y17" s="1583" t="s">
        <v>652</v>
      </c>
    </row>
    <row r="18" spans="1:25" ht="17.25" thickTop="1" thickBot="1">
      <c r="A18" s="695" t="s">
        <v>429</v>
      </c>
      <c r="D18" s="449"/>
      <c r="E18" s="691"/>
      <c r="F18" s="697" t="s">
        <v>430</v>
      </c>
      <c r="G18" s="698"/>
      <c r="P18" s="2385" t="s">
        <v>203</v>
      </c>
      <c r="Q18" s="2386"/>
      <c r="R18" s="2387"/>
      <c r="S18" s="2388"/>
      <c r="T18" s="2389">
        <f>SUM(T15:T17)</f>
        <v>47501.475169785335</v>
      </c>
      <c r="U18" s="1546"/>
      <c r="V18" s="1546"/>
      <c r="W18" s="1599" t="s">
        <v>711</v>
      </c>
      <c r="X18" s="1600">
        <f>'CAF Spring17'!BK27</f>
        <v>2.7235921972764018E-2</v>
      </c>
      <c r="Y18" s="1601" t="s">
        <v>523</v>
      </c>
    </row>
    <row r="19" spans="1:25" ht="16.5" thickBot="1">
      <c r="A19" s="655" t="s">
        <v>280</v>
      </c>
      <c r="B19" s="707"/>
      <c r="C19" s="469"/>
      <c r="D19" s="425"/>
      <c r="E19" s="706"/>
      <c r="F19" s="703" t="s">
        <v>445</v>
      </c>
      <c r="G19" s="704">
        <f>D7</f>
        <v>1</v>
      </c>
      <c r="H19" s="684"/>
      <c r="I19" s="684"/>
      <c r="J19" s="684"/>
      <c r="K19" s="684"/>
      <c r="L19" s="684"/>
      <c r="M19" s="684"/>
      <c r="N19" s="684"/>
      <c r="P19" s="1585" t="s">
        <v>348</v>
      </c>
      <c r="Q19" s="1586" t="s">
        <v>205</v>
      </c>
      <c r="R19" s="1587">
        <f>X17</f>
        <v>1.8120393120392975E-2</v>
      </c>
      <c r="S19" s="1588"/>
      <c r="T19" s="1589">
        <f>T18*(R19+1)</f>
        <v>48362.220573660437</v>
      </c>
      <c r="U19" s="3112"/>
      <c r="V19" s="1590"/>
      <c r="W19" s="1546"/>
      <c r="X19" s="1547"/>
      <c r="Y19" s="1548"/>
    </row>
    <row r="20" spans="1:25">
      <c r="A20" s="655"/>
      <c r="B20" s="705" t="s">
        <v>446</v>
      </c>
      <c r="C20" s="469">
        <v>3</v>
      </c>
      <c r="D20" s="425">
        <v>40</v>
      </c>
      <c r="E20" s="706">
        <f>C20*D20</f>
        <v>120</v>
      </c>
      <c r="F20" s="703" t="s">
        <v>303</v>
      </c>
      <c r="G20" s="724" t="e">
        <f>G21/4</f>
        <v>#REF!</v>
      </c>
      <c r="H20" s="708"/>
      <c r="I20" s="708"/>
      <c r="J20" s="708"/>
      <c r="K20" s="708"/>
      <c r="L20" s="708"/>
      <c r="M20" s="708"/>
      <c r="N20" s="708"/>
      <c r="O20" s="949"/>
      <c r="P20" s="1591" t="s">
        <v>518</v>
      </c>
      <c r="Q20" s="1592"/>
      <c r="R20" s="1592"/>
      <c r="S20" s="1592"/>
      <c r="T20" s="1593">
        <f>T19/R6</f>
        <v>27.246321449949541</v>
      </c>
      <c r="U20" s="3113"/>
      <c r="V20" s="1602"/>
      <c r="W20" s="1546"/>
      <c r="X20" s="1547"/>
      <c r="Y20" s="1548"/>
    </row>
    <row r="21" spans="1:25">
      <c r="A21" s="655"/>
      <c r="B21" s="725" t="s">
        <v>284</v>
      </c>
      <c r="C21" s="469">
        <v>8</v>
      </c>
      <c r="D21" s="425">
        <v>10</v>
      </c>
      <c r="E21" s="706">
        <f>C21*D21</f>
        <v>80</v>
      </c>
      <c r="F21" s="710" t="s">
        <v>447</v>
      </c>
      <c r="G21" s="711" t="e">
        <f>#REF!/(#REF!*G19)</f>
        <v>#REF!</v>
      </c>
      <c r="H21" s="735" t="s">
        <v>98</v>
      </c>
      <c r="I21" s="735"/>
      <c r="J21" s="735"/>
      <c r="K21" s="735"/>
      <c r="L21" s="735"/>
      <c r="M21" s="735"/>
      <c r="N21" s="735"/>
      <c r="P21" s="1591" t="s">
        <v>519</v>
      </c>
      <c r="Q21" s="1592"/>
      <c r="R21" s="1592"/>
      <c r="S21" s="1592"/>
      <c r="T21" s="1593">
        <f>T20/2</f>
        <v>13.62316072497477</v>
      </c>
      <c r="U21" s="3113"/>
      <c r="V21" s="1602"/>
      <c r="W21" s="1546"/>
      <c r="X21" s="2532"/>
      <c r="Y21" s="1548"/>
    </row>
    <row r="22" spans="1:25">
      <c r="A22" s="655"/>
      <c r="B22" s="696" t="s">
        <v>290</v>
      </c>
      <c r="C22" s="449">
        <v>4</v>
      </c>
      <c r="D22" s="691">
        <v>52</v>
      </c>
      <c r="E22" s="706">
        <f>C22*D22</f>
        <v>208</v>
      </c>
      <c r="F22" s="427" t="s">
        <v>448</v>
      </c>
      <c r="G22" s="726" t="e">
        <f>G21*(1+0.0327)</f>
        <v>#REF!</v>
      </c>
      <c r="H22" s="942" t="e">
        <f>G22*($G$17+1)</f>
        <v>#REF!</v>
      </c>
      <c r="I22" s="942"/>
      <c r="J22" s="942"/>
      <c r="K22" s="942"/>
      <c r="L22" s="942"/>
      <c r="M22" s="942"/>
      <c r="N22" s="942"/>
      <c r="O22" s="950"/>
      <c r="P22" s="1591" t="s">
        <v>520</v>
      </c>
      <c r="Q22" s="1592"/>
      <c r="R22" s="1592"/>
      <c r="S22" s="1592"/>
      <c r="T22" s="1593">
        <f>T20/3</f>
        <v>9.0821071499831802</v>
      </c>
      <c r="U22" s="3113"/>
      <c r="V22" s="1602"/>
      <c r="W22" s="1546"/>
      <c r="X22" s="1547"/>
      <c r="Y22" s="1548"/>
    </row>
    <row r="23" spans="1:25" ht="16.5" thickBot="1">
      <c r="P23" s="1595" t="s">
        <v>521</v>
      </c>
      <c r="Q23" s="1596"/>
      <c r="R23" s="1596"/>
      <c r="S23" s="1596"/>
      <c r="T23" s="1597">
        <f>T20*9</f>
        <v>245.21689304954586</v>
      </c>
      <c r="U23" s="3113"/>
      <c r="V23" s="1602"/>
      <c r="W23" s="1546"/>
      <c r="X23" s="1547"/>
      <c r="Y23" s="1548"/>
    </row>
    <row r="24" spans="1:25">
      <c r="P24" s="1546"/>
      <c r="Q24" s="1546"/>
      <c r="R24" s="1546"/>
      <c r="S24" s="1546"/>
      <c r="T24" s="1546"/>
      <c r="U24" s="1546"/>
      <c r="V24" s="1546"/>
      <c r="W24" s="1546"/>
      <c r="X24" s="1547"/>
      <c r="Y24" s="1548"/>
    </row>
    <row r="25" spans="1:25">
      <c r="P25" s="1546"/>
      <c r="Q25" s="1546"/>
      <c r="R25" s="1546"/>
      <c r="S25" s="1546"/>
      <c r="T25" s="1546"/>
    </row>
  </sheetData>
  <mergeCells count="4">
    <mergeCell ref="P5:T5"/>
    <mergeCell ref="W5:Y5"/>
    <mergeCell ref="W6:X6"/>
    <mergeCell ref="W9:Y9"/>
  </mergeCells>
  <pageMargins left="0.75" right="0.75" top="1" bottom="1" header="0.5" footer="0.5"/>
  <pageSetup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Normal="100" workbookViewId="0">
      <selection activeCell="L39" sqref="L39"/>
    </sheetView>
  </sheetViews>
  <sheetFormatPr defaultRowHeight="12.75"/>
  <cols>
    <col min="1" max="1" width="9.140625" style="449"/>
    <col min="2" max="2" width="24.140625" style="449" customWidth="1"/>
    <col min="3" max="3" width="11.5703125" style="696" bestFit="1" customWidth="1"/>
    <col min="4" max="4" width="50.42578125" style="449" customWidth="1"/>
    <col min="5" max="5" width="12" style="684" customWidth="1"/>
    <col min="6" max="6" width="1.85546875" style="692" customWidth="1"/>
    <col min="7" max="7" width="7.28515625" style="692" customWidth="1"/>
    <col min="8" max="8" width="25.5703125" style="449" customWidth="1"/>
    <col min="9" max="9" width="9.140625" style="449" customWidth="1"/>
    <col min="10" max="10" width="10" style="449" customWidth="1"/>
    <col min="11" max="11" width="9.140625" style="449"/>
    <col min="12" max="12" width="11.140625" style="449" bestFit="1" customWidth="1"/>
    <col min="13" max="13" width="7" style="449" customWidth="1"/>
    <col min="14" max="14" width="27.28515625" style="449" customWidth="1"/>
    <col min="15" max="15" width="36.140625" style="449" customWidth="1"/>
    <col min="16" max="16" width="7.140625" style="449" customWidth="1"/>
    <col min="17" max="17" width="7.7109375" style="449" customWidth="1"/>
    <col min="18" max="257" width="9.140625" style="449"/>
    <col min="258" max="258" width="30.85546875" style="449" customWidth="1"/>
    <col min="259" max="259" width="27" style="449" customWidth="1"/>
    <col min="260" max="260" width="11.5703125" style="449" bestFit="1" customWidth="1"/>
    <col min="261" max="261" width="9.7109375" style="449" customWidth="1"/>
    <col min="262" max="262" width="12" style="449" customWidth="1"/>
    <col min="263" max="263" width="38" style="449" customWidth="1"/>
    <col min="264" max="264" width="12" style="449" customWidth="1"/>
    <col min="265" max="265" width="12.140625" style="449" customWidth="1"/>
    <col min="266" max="513" width="9.140625" style="449"/>
    <col min="514" max="514" width="30.85546875" style="449" customWidth="1"/>
    <col min="515" max="515" width="27" style="449" customWidth="1"/>
    <col min="516" max="516" width="11.5703125" style="449" bestFit="1" customWidth="1"/>
    <col min="517" max="517" width="9.7109375" style="449" customWidth="1"/>
    <col min="518" max="518" width="12" style="449" customWidth="1"/>
    <col min="519" max="519" width="38" style="449" customWidth="1"/>
    <col min="520" max="520" width="12" style="449" customWidth="1"/>
    <col min="521" max="521" width="12.140625" style="449" customWidth="1"/>
    <col min="522" max="769" width="9.140625" style="449"/>
    <col min="770" max="770" width="30.85546875" style="449" customWidth="1"/>
    <col min="771" max="771" width="27" style="449" customWidth="1"/>
    <col min="772" max="772" width="11.5703125" style="449" bestFit="1" customWidth="1"/>
    <col min="773" max="773" width="9.7109375" style="449" customWidth="1"/>
    <col min="774" max="774" width="12" style="449" customWidth="1"/>
    <col min="775" max="775" width="38" style="449" customWidth="1"/>
    <col min="776" max="776" width="12" style="449" customWidth="1"/>
    <col min="777" max="777" width="12.140625" style="449" customWidth="1"/>
    <col min="778" max="1025" width="9.140625" style="449"/>
    <col min="1026" max="1026" width="30.85546875" style="449" customWidth="1"/>
    <col min="1027" max="1027" width="27" style="449" customWidth="1"/>
    <col min="1028" max="1028" width="11.5703125" style="449" bestFit="1" customWidth="1"/>
    <col min="1029" max="1029" width="9.7109375" style="449" customWidth="1"/>
    <col min="1030" max="1030" width="12" style="449" customWidth="1"/>
    <col min="1031" max="1031" width="38" style="449" customWidth="1"/>
    <col min="1032" max="1032" width="12" style="449" customWidth="1"/>
    <col min="1033" max="1033" width="12.140625" style="449" customWidth="1"/>
    <col min="1034" max="1281" width="9.140625" style="449"/>
    <col min="1282" max="1282" width="30.85546875" style="449" customWidth="1"/>
    <col min="1283" max="1283" width="27" style="449" customWidth="1"/>
    <col min="1284" max="1284" width="11.5703125" style="449" bestFit="1" customWidth="1"/>
    <col min="1285" max="1285" width="9.7109375" style="449" customWidth="1"/>
    <col min="1286" max="1286" width="12" style="449" customWidth="1"/>
    <col min="1287" max="1287" width="38" style="449" customWidth="1"/>
    <col min="1288" max="1288" width="12" style="449" customWidth="1"/>
    <col min="1289" max="1289" width="12.140625" style="449" customWidth="1"/>
    <col min="1290" max="1537" width="9.140625" style="449"/>
    <col min="1538" max="1538" width="30.85546875" style="449" customWidth="1"/>
    <col min="1539" max="1539" width="27" style="449" customWidth="1"/>
    <col min="1540" max="1540" width="11.5703125" style="449" bestFit="1" customWidth="1"/>
    <col min="1541" max="1541" width="9.7109375" style="449" customWidth="1"/>
    <col min="1542" max="1542" width="12" style="449" customWidth="1"/>
    <col min="1543" max="1543" width="38" style="449" customWidth="1"/>
    <col min="1544" max="1544" width="12" style="449" customWidth="1"/>
    <col min="1545" max="1545" width="12.140625" style="449" customWidth="1"/>
    <col min="1546" max="1793" width="9.140625" style="449"/>
    <col min="1794" max="1794" width="30.85546875" style="449" customWidth="1"/>
    <col min="1795" max="1795" width="27" style="449" customWidth="1"/>
    <col min="1796" max="1796" width="11.5703125" style="449" bestFit="1" customWidth="1"/>
    <col min="1797" max="1797" width="9.7109375" style="449" customWidth="1"/>
    <col min="1798" max="1798" width="12" style="449" customWidth="1"/>
    <col min="1799" max="1799" width="38" style="449" customWidth="1"/>
    <col min="1800" max="1800" width="12" style="449" customWidth="1"/>
    <col min="1801" max="1801" width="12.140625" style="449" customWidth="1"/>
    <col min="1802" max="2049" width="9.140625" style="449"/>
    <col min="2050" max="2050" width="30.85546875" style="449" customWidth="1"/>
    <col min="2051" max="2051" width="27" style="449" customWidth="1"/>
    <col min="2052" max="2052" width="11.5703125" style="449" bestFit="1" customWidth="1"/>
    <col min="2053" max="2053" width="9.7109375" style="449" customWidth="1"/>
    <col min="2054" max="2054" width="12" style="449" customWidth="1"/>
    <col min="2055" max="2055" width="38" style="449" customWidth="1"/>
    <col min="2056" max="2056" width="12" style="449" customWidth="1"/>
    <col min="2057" max="2057" width="12.140625" style="449" customWidth="1"/>
    <col min="2058" max="2305" width="9.140625" style="449"/>
    <col min="2306" max="2306" width="30.85546875" style="449" customWidth="1"/>
    <col min="2307" max="2307" width="27" style="449" customWidth="1"/>
    <col min="2308" max="2308" width="11.5703125" style="449" bestFit="1" customWidth="1"/>
    <col min="2309" max="2309" width="9.7109375" style="449" customWidth="1"/>
    <col min="2310" max="2310" width="12" style="449" customWidth="1"/>
    <col min="2311" max="2311" width="38" style="449" customWidth="1"/>
    <col min="2312" max="2312" width="12" style="449" customWidth="1"/>
    <col min="2313" max="2313" width="12.140625" style="449" customWidth="1"/>
    <col min="2314" max="2561" width="9.140625" style="449"/>
    <col min="2562" max="2562" width="30.85546875" style="449" customWidth="1"/>
    <col min="2563" max="2563" width="27" style="449" customWidth="1"/>
    <col min="2564" max="2564" width="11.5703125" style="449" bestFit="1" customWidth="1"/>
    <col min="2565" max="2565" width="9.7109375" style="449" customWidth="1"/>
    <col min="2566" max="2566" width="12" style="449" customWidth="1"/>
    <col min="2567" max="2567" width="38" style="449" customWidth="1"/>
    <col min="2568" max="2568" width="12" style="449" customWidth="1"/>
    <col min="2569" max="2569" width="12.140625" style="449" customWidth="1"/>
    <col min="2570" max="2817" width="9.140625" style="449"/>
    <col min="2818" max="2818" width="30.85546875" style="449" customWidth="1"/>
    <col min="2819" max="2819" width="27" style="449" customWidth="1"/>
    <col min="2820" max="2820" width="11.5703125" style="449" bestFit="1" customWidth="1"/>
    <col min="2821" max="2821" width="9.7109375" style="449" customWidth="1"/>
    <col min="2822" max="2822" width="12" style="449" customWidth="1"/>
    <col min="2823" max="2823" width="38" style="449" customWidth="1"/>
    <col min="2824" max="2824" width="12" style="449" customWidth="1"/>
    <col min="2825" max="2825" width="12.140625" style="449" customWidth="1"/>
    <col min="2826" max="3073" width="9.140625" style="449"/>
    <col min="3074" max="3074" width="30.85546875" style="449" customWidth="1"/>
    <col min="3075" max="3075" width="27" style="449" customWidth="1"/>
    <col min="3076" max="3076" width="11.5703125" style="449" bestFit="1" customWidth="1"/>
    <col min="3077" max="3077" width="9.7109375" style="449" customWidth="1"/>
    <col min="3078" max="3078" width="12" style="449" customWidth="1"/>
    <col min="3079" max="3079" width="38" style="449" customWidth="1"/>
    <col min="3080" max="3080" width="12" style="449" customWidth="1"/>
    <col min="3081" max="3081" width="12.140625" style="449" customWidth="1"/>
    <col min="3082" max="3329" width="9.140625" style="449"/>
    <col min="3330" max="3330" width="30.85546875" style="449" customWidth="1"/>
    <col min="3331" max="3331" width="27" style="449" customWidth="1"/>
    <col min="3332" max="3332" width="11.5703125" style="449" bestFit="1" customWidth="1"/>
    <col min="3333" max="3333" width="9.7109375" style="449" customWidth="1"/>
    <col min="3334" max="3334" width="12" style="449" customWidth="1"/>
    <col min="3335" max="3335" width="38" style="449" customWidth="1"/>
    <col min="3336" max="3336" width="12" style="449" customWidth="1"/>
    <col min="3337" max="3337" width="12.140625" style="449" customWidth="1"/>
    <col min="3338" max="3585" width="9.140625" style="449"/>
    <col min="3586" max="3586" width="30.85546875" style="449" customWidth="1"/>
    <col min="3587" max="3587" width="27" style="449" customWidth="1"/>
    <col min="3588" max="3588" width="11.5703125" style="449" bestFit="1" customWidth="1"/>
    <col min="3589" max="3589" width="9.7109375" style="449" customWidth="1"/>
    <col min="3590" max="3590" width="12" style="449" customWidth="1"/>
    <col min="3591" max="3591" width="38" style="449" customWidth="1"/>
    <col min="3592" max="3592" width="12" style="449" customWidth="1"/>
    <col min="3593" max="3593" width="12.140625" style="449" customWidth="1"/>
    <col min="3594" max="3841" width="9.140625" style="449"/>
    <col min="3842" max="3842" width="30.85546875" style="449" customWidth="1"/>
    <col min="3843" max="3843" width="27" style="449" customWidth="1"/>
    <col min="3844" max="3844" width="11.5703125" style="449" bestFit="1" customWidth="1"/>
    <col min="3845" max="3845" width="9.7109375" style="449" customWidth="1"/>
    <col min="3846" max="3846" width="12" style="449" customWidth="1"/>
    <col min="3847" max="3847" width="38" style="449" customWidth="1"/>
    <col min="3848" max="3848" width="12" style="449" customWidth="1"/>
    <col min="3849" max="3849" width="12.140625" style="449" customWidth="1"/>
    <col min="3850" max="4097" width="9.140625" style="449"/>
    <col min="4098" max="4098" width="30.85546875" style="449" customWidth="1"/>
    <col min="4099" max="4099" width="27" style="449" customWidth="1"/>
    <col min="4100" max="4100" width="11.5703125" style="449" bestFit="1" customWidth="1"/>
    <col min="4101" max="4101" width="9.7109375" style="449" customWidth="1"/>
    <col min="4102" max="4102" width="12" style="449" customWidth="1"/>
    <col min="4103" max="4103" width="38" style="449" customWidth="1"/>
    <col min="4104" max="4104" width="12" style="449" customWidth="1"/>
    <col min="4105" max="4105" width="12.140625" style="449" customWidth="1"/>
    <col min="4106" max="4353" width="9.140625" style="449"/>
    <col min="4354" max="4354" width="30.85546875" style="449" customWidth="1"/>
    <col min="4355" max="4355" width="27" style="449" customWidth="1"/>
    <col min="4356" max="4356" width="11.5703125" style="449" bestFit="1" customWidth="1"/>
    <col min="4357" max="4357" width="9.7109375" style="449" customWidth="1"/>
    <col min="4358" max="4358" width="12" style="449" customWidth="1"/>
    <col min="4359" max="4359" width="38" style="449" customWidth="1"/>
    <col min="4360" max="4360" width="12" style="449" customWidth="1"/>
    <col min="4361" max="4361" width="12.140625" style="449" customWidth="1"/>
    <col min="4362" max="4609" width="9.140625" style="449"/>
    <col min="4610" max="4610" width="30.85546875" style="449" customWidth="1"/>
    <col min="4611" max="4611" width="27" style="449" customWidth="1"/>
    <col min="4612" max="4612" width="11.5703125" style="449" bestFit="1" customWidth="1"/>
    <col min="4613" max="4613" width="9.7109375" style="449" customWidth="1"/>
    <col min="4614" max="4614" width="12" style="449" customWidth="1"/>
    <col min="4615" max="4615" width="38" style="449" customWidth="1"/>
    <col min="4616" max="4616" width="12" style="449" customWidth="1"/>
    <col min="4617" max="4617" width="12.140625" style="449" customWidth="1"/>
    <col min="4618" max="4865" width="9.140625" style="449"/>
    <col min="4866" max="4866" width="30.85546875" style="449" customWidth="1"/>
    <col min="4867" max="4867" width="27" style="449" customWidth="1"/>
    <col min="4868" max="4868" width="11.5703125" style="449" bestFit="1" customWidth="1"/>
    <col min="4869" max="4869" width="9.7109375" style="449" customWidth="1"/>
    <col min="4870" max="4870" width="12" style="449" customWidth="1"/>
    <col min="4871" max="4871" width="38" style="449" customWidth="1"/>
    <col min="4872" max="4872" width="12" style="449" customWidth="1"/>
    <col min="4873" max="4873" width="12.140625" style="449" customWidth="1"/>
    <col min="4874" max="5121" width="9.140625" style="449"/>
    <col min="5122" max="5122" width="30.85546875" style="449" customWidth="1"/>
    <col min="5123" max="5123" width="27" style="449" customWidth="1"/>
    <col min="5124" max="5124" width="11.5703125" style="449" bestFit="1" customWidth="1"/>
    <col min="5125" max="5125" width="9.7109375" style="449" customWidth="1"/>
    <col min="5126" max="5126" width="12" style="449" customWidth="1"/>
    <col min="5127" max="5127" width="38" style="449" customWidth="1"/>
    <col min="5128" max="5128" width="12" style="449" customWidth="1"/>
    <col min="5129" max="5129" width="12.140625" style="449" customWidth="1"/>
    <col min="5130" max="5377" width="9.140625" style="449"/>
    <col min="5378" max="5378" width="30.85546875" style="449" customWidth="1"/>
    <col min="5379" max="5379" width="27" style="449" customWidth="1"/>
    <col min="5380" max="5380" width="11.5703125" style="449" bestFit="1" customWidth="1"/>
    <col min="5381" max="5381" width="9.7109375" style="449" customWidth="1"/>
    <col min="5382" max="5382" width="12" style="449" customWidth="1"/>
    <col min="5383" max="5383" width="38" style="449" customWidth="1"/>
    <col min="5384" max="5384" width="12" style="449" customWidth="1"/>
    <col min="5385" max="5385" width="12.140625" style="449" customWidth="1"/>
    <col min="5386" max="5633" width="9.140625" style="449"/>
    <col min="5634" max="5634" width="30.85546875" style="449" customWidth="1"/>
    <col min="5635" max="5635" width="27" style="449" customWidth="1"/>
    <col min="5636" max="5636" width="11.5703125" style="449" bestFit="1" customWidth="1"/>
    <col min="5637" max="5637" width="9.7109375" style="449" customWidth="1"/>
    <col min="5638" max="5638" width="12" style="449" customWidth="1"/>
    <col min="5639" max="5639" width="38" style="449" customWidth="1"/>
    <col min="5640" max="5640" width="12" style="449" customWidth="1"/>
    <col min="5641" max="5641" width="12.140625" style="449" customWidth="1"/>
    <col min="5642" max="5889" width="9.140625" style="449"/>
    <col min="5890" max="5890" width="30.85546875" style="449" customWidth="1"/>
    <col min="5891" max="5891" width="27" style="449" customWidth="1"/>
    <col min="5892" max="5892" width="11.5703125" style="449" bestFit="1" customWidth="1"/>
    <col min="5893" max="5893" width="9.7109375" style="449" customWidth="1"/>
    <col min="5894" max="5894" width="12" style="449" customWidth="1"/>
    <col min="5895" max="5895" width="38" style="449" customWidth="1"/>
    <col min="5896" max="5896" width="12" style="449" customWidth="1"/>
    <col min="5897" max="5897" width="12.140625" style="449" customWidth="1"/>
    <col min="5898" max="6145" width="9.140625" style="449"/>
    <col min="6146" max="6146" width="30.85546875" style="449" customWidth="1"/>
    <col min="6147" max="6147" width="27" style="449" customWidth="1"/>
    <col min="6148" max="6148" width="11.5703125" style="449" bestFit="1" customWidth="1"/>
    <col min="6149" max="6149" width="9.7109375" style="449" customWidth="1"/>
    <col min="6150" max="6150" width="12" style="449" customWidth="1"/>
    <col min="6151" max="6151" width="38" style="449" customWidth="1"/>
    <col min="6152" max="6152" width="12" style="449" customWidth="1"/>
    <col min="6153" max="6153" width="12.140625" style="449" customWidth="1"/>
    <col min="6154" max="6401" width="9.140625" style="449"/>
    <col min="6402" max="6402" width="30.85546875" style="449" customWidth="1"/>
    <col min="6403" max="6403" width="27" style="449" customWidth="1"/>
    <col min="6404" max="6404" width="11.5703125" style="449" bestFit="1" customWidth="1"/>
    <col min="6405" max="6405" width="9.7109375" style="449" customWidth="1"/>
    <col min="6406" max="6406" width="12" style="449" customWidth="1"/>
    <col min="6407" max="6407" width="38" style="449" customWidth="1"/>
    <col min="6408" max="6408" width="12" style="449" customWidth="1"/>
    <col min="6409" max="6409" width="12.140625" style="449" customWidth="1"/>
    <col min="6410" max="6657" width="9.140625" style="449"/>
    <col min="6658" max="6658" width="30.85546875" style="449" customWidth="1"/>
    <col min="6659" max="6659" width="27" style="449" customWidth="1"/>
    <col min="6660" max="6660" width="11.5703125" style="449" bestFit="1" customWidth="1"/>
    <col min="6661" max="6661" width="9.7109375" style="449" customWidth="1"/>
    <col min="6662" max="6662" width="12" style="449" customWidth="1"/>
    <col min="6663" max="6663" width="38" style="449" customWidth="1"/>
    <col min="6664" max="6664" width="12" style="449" customWidth="1"/>
    <col min="6665" max="6665" width="12.140625" style="449" customWidth="1"/>
    <col min="6666" max="6913" width="9.140625" style="449"/>
    <col min="6914" max="6914" width="30.85546875" style="449" customWidth="1"/>
    <col min="6915" max="6915" width="27" style="449" customWidth="1"/>
    <col min="6916" max="6916" width="11.5703125" style="449" bestFit="1" customWidth="1"/>
    <col min="6917" max="6917" width="9.7109375" style="449" customWidth="1"/>
    <col min="6918" max="6918" width="12" style="449" customWidth="1"/>
    <col min="6919" max="6919" width="38" style="449" customWidth="1"/>
    <col min="6920" max="6920" width="12" style="449" customWidth="1"/>
    <col min="6921" max="6921" width="12.140625" style="449" customWidth="1"/>
    <col min="6922" max="7169" width="9.140625" style="449"/>
    <col min="7170" max="7170" width="30.85546875" style="449" customWidth="1"/>
    <col min="7171" max="7171" width="27" style="449" customWidth="1"/>
    <col min="7172" max="7172" width="11.5703125" style="449" bestFit="1" customWidth="1"/>
    <col min="7173" max="7173" width="9.7109375" style="449" customWidth="1"/>
    <col min="7174" max="7174" width="12" style="449" customWidth="1"/>
    <col min="7175" max="7175" width="38" style="449" customWidth="1"/>
    <col min="7176" max="7176" width="12" style="449" customWidth="1"/>
    <col min="7177" max="7177" width="12.140625" style="449" customWidth="1"/>
    <col min="7178" max="7425" width="9.140625" style="449"/>
    <col min="7426" max="7426" width="30.85546875" style="449" customWidth="1"/>
    <col min="7427" max="7427" width="27" style="449" customWidth="1"/>
    <col min="7428" max="7428" width="11.5703125" style="449" bestFit="1" customWidth="1"/>
    <col min="7429" max="7429" width="9.7109375" style="449" customWidth="1"/>
    <col min="7430" max="7430" width="12" style="449" customWidth="1"/>
    <col min="7431" max="7431" width="38" style="449" customWidth="1"/>
    <col min="7432" max="7432" width="12" style="449" customWidth="1"/>
    <col min="7433" max="7433" width="12.140625" style="449" customWidth="1"/>
    <col min="7434" max="7681" width="9.140625" style="449"/>
    <col min="7682" max="7682" width="30.85546875" style="449" customWidth="1"/>
    <col min="7683" max="7683" width="27" style="449" customWidth="1"/>
    <col min="7684" max="7684" width="11.5703125" style="449" bestFit="1" customWidth="1"/>
    <col min="7685" max="7685" width="9.7109375" style="449" customWidth="1"/>
    <col min="7686" max="7686" width="12" style="449" customWidth="1"/>
    <col min="7687" max="7687" width="38" style="449" customWidth="1"/>
    <col min="7688" max="7688" width="12" style="449" customWidth="1"/>
    <col min="7689" max="7689" width="12.140625" style="449" customWidth="1"/>
    <col min="7690" max="7937" width="9.140625" style="449"/>
    <col min="7938" max="7938" width="30.85546875" style="449" customWidth="1"/>
    <col min="7939" max="7939" width="27" style="449" customWidth="1"/>
    <col min="7940" max="7940" width="11.5703125" style="449" bestFit="1" customWidth="1"/>
    <col min="7941" max="7941" width="9.7109375" style="449" customWidth="1"/>
    <col min="7942" max="7942" width="12" style="449" customWidth="1"/>
    <col min="7943" max="7943" width="38" style="449" customWidth="1"/>
    <col min="7944" max="7944" width="12" style="449" customWidth="1"/>
    <col min="7945" max="7945" width="12.140625" style="449" customWidth="1"/>
    <col min="7946" max="8193" width="9.140625" style="449"/>
    <col min="8194" max="8194" width="30.85546875" style="449" customWidth="1"/>
    <col min="8195" max="8195" width="27" style="449" customWidth="1"/>
    <col min="8196" max="8196" width="11.5703125" style="449" bestFit="1" customWidth="1"/>
    <col min="8197" max="8197" width="9.7109375" style="449" customWidth="1"/>
    <col min="8198" max="8198" width="12" style="449" customWidth="1"/>
    <col min="8199" max="8199" width="38" style="449" customWidth="1"/>
    <col min="8200" max="8200" width="12" style="449" customWidth="1"/>
    <col min="8201" max="8201" width="12.140625" style="449" customWidth="1"/>
    <col min="8202" max="8449" width="9.140625" style="449"/>
    <col min="8450" max="8450" width="30.85546875" style="449" customWidth="1"/>
    <col min="8451" max="8451" width="27" style="449" customWidth="1"/>
    <col min="8452" max="8452" width="11.5703125" style="449" bestFit="1" customWidth="1"/>
    <col min="8453" max="8453" width="9.7109375" style="449" customWidth="1"/>
    <col min="8454" max="8454" width="12" style="449" customWidth="1"/>
    <col min="8455" max="8455" width="38" style="449" customWidth="1"/>
    <col min="8456" max="8456" width="12" style="449" customWidth="1"/>
    <col min="8457" max="8457" width="12.140625" style="449" customWidth="1"/>
    <col min="8458" max="8705" width="9.140625" style="449"/>
    <col min="8706" max="8706" width="30.85546875" style="449" customWidth="1"/>
    <col min="8707" max="8707" width="27" style="449" customWidth="1"/>
    <col min="8708" max="8708" width="11.5703125" style="449" bestFit="1" customWidth="1"/>
    <col min="8709" max="8709" width="9.7109375" style="449" customWidth="1"/>
    <col min="8710" max="8710" width="12" style="449" customWidth="1"/>
    <col min="8711" max="8711" width="38" style="449" customWidth="1"/>
    <col min="8712" max="8712" width="12" style="449" customWidth="1"/>
    <col min="8713" max="8713" width="12.140625" style="449" customWidth="1"/>
    <col min="8714" max="8961" width="9.140625" style="449"/>
    <col min="8962" max="8962" width="30.85546875" style="449" customWidth="1"/>
    <col min="8963" max="8963" width="27" style="449" customWidth="1"/>
    <col min="8964" max="8964" width="11.5703125" style="449" bestFit="1" customWidth="1"/>
    <col min="8965" max="8965" width="9.7109375" style="449" customWidth="1"/>
    <col min="8966" max="8966" width="12" style="449" customWidth="1"/>
    <col min="8967" max="8967" width="38" style="449" customWidth="1"/>
    <col min="8968" max="8968" width="12" style="449" customWidth="1"/>
    <col min="8969" max="8969" width="12.140625" style="449" customWidth="1"/>
    <col min="8970" max="9217" width="9.140625" style="449"/>
    <col min="9218" max="9218" width="30.85546875" style="449" customWidth="1"/>
    <col min="9219" max="9219" width="27" style="449" customWidth="1"/>
    <col min="9220" max="9220" width="11.5703125" style="449" bestFit="1" customWidth="1"/>
    <col min="9221" max="9221" width="9.7109375" style="449" customWidth="1"/>
    <col min="9222" max="9222" width="12" style="449" customWidth="1"/>
    <col min="9223" max="9223" width="38" style="449" customWidth="1"/>
    <col min="9224" max="9224" width="12" style="449" customWidth="1"/>
    <col min="9225" max="9225" width="12.140625" style="449" customWidth="1"/>
    <col min="9226" max="9473" width="9.140625" style="449"/>
    <col min="9474" max="9474" width="30.85546875" style="449" customWidth="1"/>
    <col min="9475" max="9475" width="27" style="449" customWidth="1"/>
    <col min="9476" max="9476" width="11.5703125" style="449" bestFit="1" customWidth="1"/>
    <col min="9477" max="9477" width="9.7109375" style="449" customWidth="1"/>
    <col min="9478" max="9478" width="12" style="449" customWidth="1"/>
    <col min="9479" max="9479" width="38" style="449" customWidth="1"/>
    <col min="9480" max="9480" width="12" style="449" customWidth="1"/>
    <col min="9481" max="9481" width="12.140625" style="449" customWidth="1"/>
    <col min="9482" max="9729" width="9.140625" style="449"/>
    <col min="9730" max="9730" width="30.85546875" style="449" customWidth="1"/>
    <col min="9731" max="9731" width="27" style="449" customWidth="1"/>
    <col min="9732" max="9732" width="11.5703125" style="449" bestFit="1" customWidth="1"/>
    <col min="9733" max="9733" width="9.7109375" style="449" customWidth="1"/>
    <col min="9734" max="9734" width="12" style="449" customWidth="1"/>
    <col min="9735" max="9735" width="38" style="449" customWidth="1"/>
    <col min="9736" max="9736" width="12" style="449" customWidth="1"/>
    <col min="9737" max="9737" width="12.140625" style="449" customWidth="1"/>
    <col min="9738" max="9985" width="9.140625" style="449"/>
    <col min="9986" max="9986" width="30.85546875" style="449" customWidth="1"/>
    <col min="9987" max="9987" width="27" style="449" customWidth="1"/>
    <col min="9988" max="9988" width="11.5703125" style="449" bestFit="1" customWidth="1"/>
    <col min="9989" max="9989" width="9.7109375" style="449" customWidth="1"/>
    <col min="9990" max="9990" width="12" style="449" customWidth="1"/>
    <col min="9991" max="9991" width="38" style="449" customWidth="1"/>
    <col min="9992" max="9992" width="12" style="449" customWidth="1"/>
    <col min="9993" max="9993" width="12.140625" style="449" customWidth="1"/>
    <col min="9994" max="10241" width="9.140625" style="449"/>
    <col min="10242" max="10242" width="30.85546875" style="449" customWidth="1"/>
    <col min="10243" max="10243" width="27" style="449" customWidth="1"/>
    <col min="10244" max="10244" width="11.5703125" style="449" bestFit="1" customWidth="1"/>
    <col min="10245" max="10245" width="9.7109375" style="449" customWidth="1"/>
    <col min="10246" max="10246" width="12" style="449" customWidth="1"/>
    <col min="10247" max="10247" width="38" style="449" customWidth="1"/>
    <col min="10248" max="10248" width="12" style="449" customWidth="1"/>
    <col min="10249" max="10249" width="12.140625" style="449" customWidth="1"/>
    <col min="10250" max="10497" width="9.140625" style="449"/>
    <col min="10498" max="10498" width="30.85546875" style="449" customWidth="1"/>
    <col min="10499" max="10499" width="27" style="449" customWidth="1"/>
    <col min="10500" max="10500" width="11.5703125" style="449" bestFit="1" customWidth="1"/>
    <col min="10501" max="10501" width="9.7109375" style="449" customWidth="1"/>
    <col min="10502" max="10502" width="12" style="449" customWidth="1"/>
    <col min="10503" max="10503" width="38" style="449" customWidth="1"/>
    <col min="10504" max="10504" width="12" style="449" customWidth="1"/>
    <col min="10505" max="10505" width="12.140625" style="449" customWidth="1"/>
    <col min="10506" max="10753" width="9.140625" style="449"/>
    <col min="10754" max="10754" width="30.85546875" style="449" customWidth="1"/>
    <col min="10755" max="10755" width="27" style="449" customWidth="1"/>
    <col min="10756" max="10756" width="11.5703125" style="449" bestFit="1" customWidth="1"/>
    <col min="10757" max="10757" width="9.7109375" style="449" customWidth="1"/>
    <col min="10758" max="10758" width="12" style="449" customWidth="1"/>
    <col min="10759" max="10759" width="38" style="449" customWidth="1"/>
    <col min="10760" max="10760" width="12" style="449" customWidth="1"/>
    <col min="10761" max="10761" width="12.140625" style="449" customWidth="1"/>
    <col min="10762" max="11009" width="9.140625" style="449"/>
    <col min="11010" max="11010" width="30.85546875" style="449" customWidth="1"/>
    <col min="11011" max="11011" width="27" style="449" customWidth="1"/>
    <col min="11012" max="11012" width="11.5703125" style="449" bestFit="1" customWidth="1"/>
    <col min="11013" max="11013" width="9.7109375" style="449" customWidth="1"/>
    <col min="11014" max="11014" width="12" style="449" customWidth="1"/>
    <col min="11015" max="11015" width="38" style="449" customWidth="1"/>
    <col min="11016" max="11016" width="12" style="449" customWidth="1"/>
    <col min="11017" max="11017" width="12.140625" style="449" customWidth="1"/>
    <col min="11018" max="11265" width="9.140625" style="449"/>
    <col min="11266" max="11266" width="30.85546875" style="449" customWidth="1"/>
    <col min="11267" max="11267" width="27" style="449" customWidth="1"/>
    <col min="11268" max="11268" width="11.5703125" style="449" bestFit="1" customWidth="1"/>
    <col min="11269" max="11269" width="9.7109375" style="449" customWidth="1"/>
    <col min="11270" max="11270" width="12" style="449" customWidth="1"/>
    <col min="11271" max="11271" width="38" style="449" customWidth="1"/>
    <col min="11272" max="11272" width="12" style="449" customWidth="1"/>
    <col min="11273" max="11273" width="12.140625" style="449" customWidth="1"/>
    <col min="11274" max="11521" width="9.140625" style="449"/>
    <col min="11522" max="11522" width="30.85546875" style="449" customWidth="1"/>
    <col min="11523" max="11523" width="27" style="449" customWidth="1"/>
    <col min="11524" max="11524" width="11.5703125" style="449" bestFit="1" customWidth="1"/>
    <col min="11525" max="11525" width="9.7109375" style="449" customWidth="1"/>
    <col min="11526" max="11526" width="12" style="449" customWidth="1"/>
    <col min="11527" max="11527" width="38" style="449" customWidth="1"/>
    <col min="11528" max="11528" width="12" style="449" customWidth="1"/>
    <col min="11529" max="11529" width="12.140625" style="449" customWidth="1"/>
    <col min="11530" max="11777" width="9.140625" style="449"/>
    <col min="11778" max="11778" width="30.85546875" style="449" customWidth="1"/>
    <col min="11779" max="11779" width="27" style="449" customWidth="1"/>
    <col min="11780" max="11780" width="11.5703125" style="449" bestFit="1" customWidth="1"/>
    <col min="11781" max="11781" width="9.7109375" style="449" customWidth="1"/>
    <col min="11782" max="11782" width="12" style="449" customWidth="1"/>
    <col min="11783" max="11783" width="38" style="449" customWidth="1"/>
    <col min="11784" max="11784" width="12" style="449" customWidth="1"/>
    <col min="11785" max="11785" width="12.140625" style="449" customWidth="1"/>
    <col min="11786" max="12033" width="9.140625" style="449"/>
    <col min="12034" max="12034" width="30.85546875" style="449" customWidth="1"/>
    <col min="12035" max="12035" width="27" style="449" customWidth="1"/>
    <col min="12036" max="12036" width="11.5703125" style="449" bestFit="1" customWidth="1"/>
    <col min="12037" max="12037" width="9.7109375" style="449" customWidth="1"/>
    <col min="12038" max="12038" width="12" style="449" customWidth="1"/>
    <col min="12039" max="12039" width="38" style="449" customWidth="1"/>
    <col min="12040" max="12040" width="12" style="449" customWidth="1"/>
    <col min="12041" max="12041" width="12.140625" style="449" customWidth="1"/>
    <col min="12042" max="12289" width="9.140625" style="449"/>
    <col min="12290" max="12290" width="30.85546875" style="449" customWidth="1"/>
    <col min="12291" max="12291" width="27" style="449" customWidth="1"/>
    <col min="12292" max="12292" width="11.5703125" style="449" bestFit="1" customWidth="1"/>
    <col min="12293" max="12293" width="9.7109375" style="449" customWidth="1"/>
    <col min="12294" max="12294" width="12" style="449" customWidth="1"/>
    <col min="12295" max="12295" width="38" style="449" customWidth="1"/>
    <col min="12296" max="12296" width="12" style="449" customWidth="1"/>
    <col min="12297" max="12297" width="12.140625" style="449" customWidth="1"/>
    <col min="12298" max="12545" width="9.140625" style="449"/>
    <col min="12546" max="12546" width="30.85546875" style="449" customWidth="1"/>
    <col min="12547" max="12547" width="27" style="449" customWidth="1"/>
    <col min="12548" max="12548" width="11.5703125" style="449" bestFit="1" customWidth="1"/>
    <col min="12549" max="12549" width="9.7109375" style="449" customWidth="1"/>
    <col min="12550" max="12550" width="12" style="449" customWidth="1"/>
    <col min="12551" max="12551" width="38" style="449" customWidth="1"/>
    <col min="12552" max="12552" width="12" style="449" customWidth="1"/>
    <col min="12553" max="12553" width="12.140625" style="449" customWidth="1"/>
    <col min="12554" max="12801" width="9.140625" style="449"/>
    <col min="12802" max="12802" width="30.85546875" style="449" customWidth="1"/>
    <col min="12803" max="12803" width="27" style="449" customWidth="1"/>
    <col min="12804" max="12804" width="11.5703125" style="449" bestFit="1" customWidth="1"/>
    <col min="12805" max="12805" width="9.7109375" style="449" customWidth="1"/>
    <col min="12806" max="12806" width="12" style="449" customWidth="1"/>
    <col min="12807" max="12807" width="38" style="449" customWidth="1"/>
    <col min="12808" max="12808" width="12" style="449" customWidth="1"/>
    <col min="12809" max="12809" width="12.140625" style="449" customWidth="1"/>
    <col min="12810" max="13057" width="9.140625" style="449"/>
    <col min="13058" max="13058" width="30.85546875" style="449" customWidth="1"/>
    <col min="13059" max="13059" width="27" style="449" customWidth="1"/>
    <col min="13060" max="13060" width="11.5703125" style="449" bestFit="1" customWidth="1"/>
    <col min="13061" max="13061" width="9.7109375" style="449" customWidth="1"/>
    <col min="13062" max="13062" width="12" style="449" customWidth="1"/>
    <col min="13063" max="13063" width="38" style="449" customWidth="1"/>
    <col min="13064" max="13064" width="12" style="449" customWidth="1"/>
    <col min="13065" max="13065" width="12.140625" style="449" customWidth="1"/>
    <col min="13066" max="13313" width="9.140625" style="449"/>
    <col min="13314" max="13314" width="30.85546875" style="449" customWidth="1"/>
    <col min="13315" max="13315" width="27" style="449" customWidth="1"/>
    <col min="13316" max="13316" width="11.5703125" style="449" bestFit="1" customWidth="1"/>
    <col min="13317" max="13317" width="9.7109375" style="449" customWidth="1"/>
    <col min="13318" max="13318" width="12" style="449" customWidth="1"/>
    <col min="13319" max="13319" width="38" style="449" customWidth="1"/>
    <col min="13320" max="13320" width="12" style="449" customWidth="1"/>
    <col min="13321" max="13321" width="12.140625" style="449" customWidth="1"/>
    <col min="13322" max="13569" width="9.140625" style="449"/>
    <col min="13570" max="13570" width="30.85546875" style="449" customWidth="1"/>
    <col min="13571" max="13571" width="27" style="449" customWidth="1"/>
    <col min="13572" max="13572" width="11.5703125" style="449" bestFit="1" customWidth="1"/>
    <col min="13573" max="13573" width="9.7109375" style="449" customWidth="1"/>
    <col min="13574" max="13574" width="12" style="449" customWidth="1"/>
    <col min="13575" max="13575" width="38" style="449" customWidth="1"/>
    <col min="13576" max="13576" width="12" style="449" customWidth="1"/>
    <col min="13577" max="13577" width="12.140625" style="449" customWidth="1"/>
    <col min="13578" max="13825" width="9.140625" style="449"/>
    <col min="13826" max="13826" width="30.85546875" style="449" customWidth="1"/>
    <col min="13827" max="13827" width="27" style="449" customWidth="1"/>
    <col min="13828" max="13828" width="11.5703125" style="449" bestFit="1" customWidth="1"/>
    <col min="13829" max="13829" width="9.7109375" style="449" customWidth="1"/>
    <col min="13830" max="13830" width="12" style="449" customWidth="1"/>
    <col min="13831" max="13831" width="38" style="449" customWidth="1"/>
    <col min="13832" max="13832" width="12" style="449" customWidth="1"/>
    <col min="13833" max="13833" width="12.140625" style="449" customWidth="1"/>
    <col min="13834" max="14081" width="9.140625" style="449"/>
    <col min="14082" max="14082" width="30.85546875" style="449" customWidth="1"/>
    <col min="14083" max="14083" width="27" style="449" customWidth="1"/>
    <col min="14084" max="14084" width="11.5703125" style="449" bestFit="1" customWidth="1"/>
    <col min="14085" max="14085" width="9.7109375" style="449" customWidth="1"/>
    <col min="14086" max="14086" width="12" style="449" customWidth="1"/>
    <col min="14087" max="14087" width="38" style="449" customWidth="1"/>
    <col min="14088" max="14088" width="12" style="449" customWidth="1"/>
    <col min="14089" max="14089" width="12.140625" style="449" customWidth="1"/>
    <col min="14090" max="14337" width="9.140625" style="449"/>
    <col min="14338" max="14338" width="30.85546875" style="449" customWidth="1"/>
    <col min="14339" max="14339" width="27" style="449" customWidth="1"/>
    <col min="14340" max="14340" width="11.5703125" style="449" bestFit="1" customWidth="1"/>
    <col min="14341" max="14341" width="9.7109375" style="449" customWidth="1"/>
    <col min="14342" max="14342" width="12" style="449" customWidth="1"/>
    <col min="14343" max="14343" width="38" style="449" customWidth="1"/>
    <col min="14344" max="14344" width="12" style="449" customWidth="1"/>
    <col min="14345" max="14345" width="12.140625" style="449" customWidth="1"/>
    <col min="14346" max="14593" width="9.140625" style="449"/>
    <col min="14594" max="14594" width="30.85546875" style="449" customWidth="1"/>
    <col min="14595" max="14595" width="27" style="449" customWidth="1"/>
    <col min="14596" max="14596" width="11.5703125" style="449" bestFit="1" customWidth="1"/>
    <col min="14597" max="14597" width="9.7109375" style="449" customWidth="1"/>
    <col min="14598" max="14598" width="12" style="449" customWidth="1"/>
    <col min="14599" max="14599" width="38" style="449" customWidth="1"/>
    <col min="14600" max="14600" width="12" style="449" customWidth="1"/>
    <col min="14601" max="14601" width="12.140625" style="449" customWidth="1"/>
    <col min="14602" max="14849" width="9.140625" style="449"/>
    <col min="14850" max="14850" width="30.85546875" style="449" customWidth="1"/>
    <col min="14851" max="14851" width="27" style="449" customWidth="1"/>
    <col min="14852" max="14852" width="11.5703125" style="449" bestFit="1" customWidth="1"/>
    <col min="14853" max="14853" width="9.7109375" style="449" customWidth="1"/>
    <col min="14854" max="14854" width="12" style="449" customWidth="1"/>
    <col min="14855" max="14855" width="38" style="449" customWidth="1"/>
    <col min="14856" max="14856" width="12" style="449" customWidth="1"/>
    <col min="14857" max="14857" width="12.140625" style="449" customWidth="1"/>
    <col min="14858" max="15105" width="9.140625" style="449"/>
    <col min="15106" max="15106" width="30.85546875" style="449" customWidth="1"/>
    <col min="15107" max="15107" width="27" style="449" customWidth="1"/>
    <col min="15108" max="15108" width="11.5703125" style="449" bestFit="1" customWidth="1"/>
    <col min="15109" max="15109" width="9.7109375" style="449" customWidth="1"/>
    <col min="15110" max="15110" width="12" style="449" customWidth="1"/>
    <col min="15111" max="15111" width="38" style="449" customWidth="1"/>
    <col min="15112" max="15112" width="12" style="449" customWidth="1"/>
    <col min="15113" max="15113" width="12.140625" style="449" customWidth="1"/>
    <col min="15114" max="15361" width="9.140625" style="449"/>
    <col min="15362" max="15362" width="30.85546875" style="449" customWidth="1"/>
    <col min="15363" max="15363" width="27" style="449" customWidth="1"/>
    <col min="15364" max="15364" width="11.5703125" style="449" bestFit="1" customWidth="1"/>
    <col min="15365" max="15365" width="9.7109375" style="449" customWidth="1"/>
    <col min="15366" max="15366" width="12" style="449" customWidth="1"/>
    <col min="15367" max="15367" width="38" style="449" customWidth="1"/>
    <col min="15368" max="15368" width="12" style="449" customWidth="1"/>
    <col min="15369" max="15369" width="12.140625" style="449" customWidth="1"/>
    <col min="15370" max="15617" width="9.140625" style="449"/>
    <col min="15618" max="15618" width="30.85546875" style="449" customWidth="1"/>
    <col min="15619" max="15619" width="27" style="449" customWidth="1"/>
    <col min="15620" max="15620" width="11.5703125" style="449" bestFit="1" customWidth="1"/>
    <col min="15621" max="15621" width="9.7109375" style="449" customWidth="1"/>
    <col min="15622" max="15622" width="12" style="449" customWidth="1"/>
    <col min="15623" max="15623" width="38" style="449" customWidth="1"/>
    <col min="15624" max="15624" width="12" style="449" customWidth="1"/>
    <col min="15625" max="15625" width="12.140625" style="449" customWidth="1"/>
    <col min="15626" max="15873" width="9.140625" style="449"/>
    <col min="15874" max="15874" width="30.85546875" style="449" customWidth="1"/>
    <col min="15875" max="15875" width="27" style="449" customWidth="1"/>
    <col min="15876" max="15876" width="11.5703125" style="449" bestFit="1" customWidth="1"/>
    <col min="15877" max="15877" width="9.7109375" style="449" customWidth="1"/>
    <col min="15878" max="15878" width="12" style="449" customWidth="1"/>
    <col min="15879" max="15879" width="38" style="449" customWidth="1"/>
    <col min="15880" max="15880" width="12" style="449" customWidth="1"/>
    <col min="15881" max="15881" width="12.140625" style="449" customWidth="1"/>
    <col min="15882" max="16129" width="9.140625" style="449"/>
    <col min="16130" max="16130" width="30.85546875" style="449" customWidth="1"/>
    <col min="16131" max="16131" width="27" style="449" customWidth="1"/>
    <col min="16132" max="16132" width="11.5703125" style="449" bestFit="1" customWidth="1"/>
    <col min="16133" max="16133" width="9.7109375" style="449" customWidth="1"/>
    <col min="16134" max="16134" width="12" style="449" customWidth="1"/>
    <col min="16135" max="16135" width="38" style="449" customWidth="1"/>
    <col min="16136" max="16136" width="12" style="449" customWidth="1"/>
    <col min="16137" max="16137" width="12.140625" style="449" customWidth="1"/>
    <col min="16138" max="16383" width="9.140625" style="449"/>
    <col min="16384" max="16384" width="9.140625" style="449" customWidth="1"/>
  </cols>
  <sheetData>
    <row r="1" spans="1:18" s="642" customFormat="1" ht="20.25">
      <c r="A1" s="2029"/>
      <c r="C1" s="2298"/>
      <c r="D1" s="1604"/>
      <c r="E1" s="2338"/>
      <c r="F1" s="2338"/>
      <c r="G1" s="2338"/>
      <c r="H1" s="2029"/>
      <c r="I1" s="2029"/>
      <c r="J1" s="2029"/>
      <c r="K1" s="2029"/>
      <c r="L1" s="2029"/>
      <c r="M1" s="2029"/>
      <c r="N1" s="2029"/>
      <c r="O1" s="2029"/>
      <c r="P1" s="2029"/>
      <c r="Q1" s="2029"/>
      <c r="R1" s="2029"/>
    </row>
    <row r="2" spans="1:18" s="415" customFormat="1" ht="13.5" thickBot="1">
      <c r="A2" s="1612"/>
      <c r="B2" s="1890"/>
      <c r="C2" s="1612"/>
      <c r="D2" s="2337" t="s">
        <v>418</v>
      </c>
      <c r="E2" s="1645"/>
      <c r="F2" s="1612"/>
      <c r="G2" s="1612"/>
      <c r="H2" s="2339"/>
      <c r="I2" s="1612"/>
      <c r="J2" s="1612"/>
      <c r="K2" s="1612"/>
      <c r="L2" s="1612"/>
      <c r="M2" s="1612"/>
      <c r="N2" s="1612"/>
      <c r="O2" s="1612"/>
      <c r="P2" s="1612"/>
      <c r="Q2" s="1612"/>
      <c r="R2" s="1612"/>
    </row>
    <row r="3" spans="1:18" ht="13.5" thickBot="1">
      <c r="A3" s="1543"/>
      <c r="B3" s="2440"/>
      <c r="C3" s="2298"/>
      <c r="D3" s="1544"/>
      <c r="E3" s="2299"/>
      <c r="F3" s="2299"/>
      <c r="G3" s="2299"/>
      <c r="H3" s="3277" t="s">
        <v>418</v>
      </c>
      <c r="I3" s="3278"/>
      <c r="J3" s="3278"/>
      <c r="K3" s="3278"/>
      <c r="L3" s="3279"/>
      <c r="M3" s="1543"/>
    </row>
    <row r="4" spans="1:18" ht="13.5" thickBot="1">
      <c r="A4" s="1543"/>
      <c r="B4" s="1604"/>
      <c r="C4" s="1605"/>
      <c r="D4" s="1544"/>
      <c r="E4" s="2300"/>
      <c r="F4" s="2300"/>
      <c r="G4" s="2300"/>
      <c r="H4" s="2301"/>
      <c r="I4" s="2302"/>
      <c r="J4" s="2302"/>
      <c r="K4" s="2302"/>
      <c r="L4" s="2303"/>
      <c r="M4" s="1543"/>
    </row>
    <row r="5" spans="1:18">
      <c r="A5" s="1543"/>
      <c r="B5" s="2340" t="s">
        <v>264</v>
      </c>
      <c r="C5" s="2341"/>
      <c r="D5" s="2342"/>
      <c r="E5" s="2304"/>
      <c r="F5" s="2304"/>
      <c r="G5" s="2304"/>
      <c r="H5" s="2305"/>
      <c r="I5" s="2306"/>
      <c r="J5" s="2302" t="s">
        <v>209</v>
      </c>
      <c r="K5" s="2307" t="s">
        <v>190</v>
      </c>
      <c r="L5" s="2308" t="s">
        <v>210</v>
      </c>
      <c r="M5" s="1543"/>
    </row>
    <row r="6" spans="1:18">
      <c r="A6" s="1543"/>
      <c r="B6" s="1975" t="s">
        <v>191</v>
      </c>
      <c r="C6" s="2343">
        <f>'Master Look Up'!L26</f>
        <v>55383.32303680529</v>
      </c>
      <c r="D6" s="2344" t="str">
        <f>'Master Look Up'!M26</f>
        <v>Average salary of Mgmt across all models (inclusive of CAFs)</v>
      </c>
      <c r="E6" s="2304"/>
      <c r="F6" s="2304"/>
      <c r="G6" s="2304"/>
      <c r="H6" s="1771" t="s">
        <v>191</v>
      </c>
      <c r="I6" s="2309"/>
      <c r="J6" s="1772">
        <f>C6</f>
        <v>55383.32303680529</v>
      </c>
      <c r="K6" s="2310">
        <v>0.05</v>
      </c>
      <c r="L6" s="1773">
        <f>J6*K6</f>
        <v>2769.1661518402648</v>
      </c>
      <c r="M6" s="1543"/>
    </row>
    <row r="7" spans="1:18">
      <c r="A7" s="1543"/>
      <c r="B7" s="1975" t="s">
        <v>423</v>
      </c>
      <c r="C7" s="2343">
        <v>32853</v>
      </c>
      <c r="D7" s="2344" t="s">
        <v>713</v>
      </c>
      <c r="E7" s="2304"/>
      <c r="F7" s="2304"/>
      <c r="G7" s="2304"/>
      <c r="H7" s="1774" t="s">
        <v>423</v>
      </c>
      <c r="I7" s="2309"/>
      <c r="J7" s="1772">
        <f>C7</f>
        <v>32853</v>
      </c>
      <c r="K7" s="2310">
        <v>1</v>
      </c>
      <c r="L7" s="1773">
        <f t="shared" ref="L7" si="0">J7*K7</f>
        <v>32853</v>
      </c>
      <c r="M7" s="1543"/>
    </row>
    <row r="8" spans="1:18" ht="13.5" thickBot="1">
      <c r="A8" s="1543"/>
      <c r="B8" s="2345"/>
      <c r="C8" s="1606"/>
      <c r="D8" s="2346"/>
      <c r="E8" s="2304"/>
      <c r="F8" s="2304"/>
      <c r="G8" s="2304"/>
      <c r="H8" s="2311" t="s">
        <v>334</v>
      </c>
      <c r="I8" s="2312"/>
      <c r="J8" s="2313"/>
      <c r="K8" s="2314">
        <f>SUM(K6:K7)</f>
        <v>1.05</v>
      </c>
      <c r="L8" s="2315">
        <f>SUM(L6:L7)</f>
        <v>35622.166151840262</v>
      </c>
      <c r="M8" s="1543"/>
    </row>
    <row r="9" spans="1:18" ht="13.5" thickBot="1">
      <c r="A9" s="1543"/>
      <c r="B9" s="2347" t="s">
        <v>240</v>
      </c>
      <c r="C9" s="2341"/>
      <c r="D9" s="2348"/>
      <c r="E9" s="2304"/>
      <c r="F9" s="2304"/>
      <c r="G9" s="2304"/>
      <c r="H9" s="2316" t="s">
        <v>195</v>
      </c>
      <c r="I9" s="2317"/>
      <c r="J9" s="2318"/>
      <c r="K9" s="2317"/>
      <c r="L9" s="2319"/>
      <c r="M9" s="1543"/>
    </row>
    <row r="10" spans="1:18" ht="15" customHeight="1" thickBot="1">
      <c r="A10" s="1543"/>
      <c r="B10" s="436"/>
      <c r="C10" s="698"/>
      <c r="D10" s="2368"/>
      <c r="E10" s="2304"/>
      <c r="F10" s="2304"/>
      <c r="G10" s="2304"/>
      <c r="H10" s="2320" t="s">
        <v>196</v>
      </c>
      <c r="I10" s="2321">
        <f>C13</f>
        <v>0.22</v>
      </c>
      <c r="J10" s="2322"/>
      <c r="K10" s="1770"/>
      <c r="L10" s="2323">
        <f>I10*L8</f>
        <v>7836.876553404858</v>
      </c>
      <c r="M10" s="1543"/>
    </row>
    <row r="11" spans="1:18" ht="13.5" thickBot="1">
      <c r="A11" s="1543"/>
      <c r="B11" s="68" t="str">
        <f>'Master Look Up'!E17</f>
        <v>Program Supplies &amp; Materials 215</v>
      </c>
      <c r="C11" s="2349">
        <f>'Master Look Up'!F17</f>
        <v>799.70498223424943</v>
      </c>
      <c r="D11" s="2350" t="s">
        <v>832</v>
      </c>
      <c r="E11" s="2304"/>
      <c r="F11" s="2304"/>
      <c r="G11" s="2304"/>
      <c r="H11" s="2351" t="s">
        <v>198</v>
      </c>
      <c r="I11" s="2352"/>
      <c r="J11" s="2353"/>
      <c r="K11" s="2354"/>
      <c r="L11" s="2319">
        <f>L8+L10</f>
        <v>43459.04270524512</v>
      </c>
      <c r="M11" s="1543"/>
    </row>
    <row r="12" spans="1:18">
      <c r="A12" s="1543"/>
      <c r="B12" s="436"/>
      <c r="C12" s="698"/>
      <c r="D12" s="2368"/>
      <c r="E12" s="2304"/>
      <c r="F12" s="2304"/>
      <c r="G12" s="2304"/>
      <c r="H12" s="89" t="s">
        <v>877</v>
      </c>
      <c r="I12" s="2321"/>
      <c r="J12" s="2322"/>
      <c r="K12" s="2356"/>
      <c r="L12" s="2324">
        <v>800</v>
      </c>
      <c r="M12" s="1543"/>
    </row>
    <row r="13" spans="1:18">
      <c r="A13" s="1543"/>
      <c r="B13" s="68" t="s">
        <v>196</v>
      </c>
      <c r="C13" s="2357">
        <v>0.22</v>
      </c>
      <c r="D13" s="1649" t="s">
        <v>524</v>
      </c>
      <c r="E13" s="2304"/>
      <c r="F13" s="2304"/>
      <c r="G13" s="2304"/>
      <c r="H13" s="1775" t="s">
        <v>200</v>
      </c>
      <c r="I13" s="1778"/>
      <c r="J13" s="1779"/>
      <c r="K13" s="1776"/>
      <c r="L13" s="2325">
        <f>L12+L11</f>
        <v>44259.04270524512</v>
      </c>
      <c r="M13" s="1543"/>
    </row>
    <row r="14" spans="1:18">
      <c r="A14" s="1543"/>
      <c r="B14" s="1545" t="s">
        <v>653</v>
      </c>
      <c r="C14" s="2355">
        <v>6.3E-3</v>
      </c>
      <c r="D14" s="2578" t="s">
        <v>860</v>
      </c>
      <c r="E14" s="2304"/>
      <c r="F14" s="2304"/>
      <c r="G14" s="2304"/>
      <c r="H14" s="2369" t="str">
        <f>B14</f>
        <v>PFMLA</v>
      </c>
      <c r="I14" s="2370">
        <f>C14</f>
        <v>6.3E-3</v>
      </c>
      <c r="J14" s="2371"/>
      <c r="K14" s="2372"/>
      <c r="L14" s="2373">
        <f>L8*I14</f>
        <v>224.41964675659364</v>
      </c>
      <c r="M14" s="1543"/>
    </row>
    <row r="15" spans="1:18" ht="13.5" thickBot="1">
      <c r="A15" s="1543"/>
      <c r="B15" s="68" t="s">
        <v>201</v>
      </c>
      <c r="C15" s="2357">
        <v>0.11</v>
      </c>
      <c r="D15" s="2346" t="s">
        <v>524</v>
      </c>
      <c r="E15" s="2304"/>
      <c r="F15" s="2304"/>
      <c r="G15" s="2304"/>
      <c r="H15" s="89" t="s">
        <v>201</v>
      </c>
      <c r="I15" s="2326">
        <f>C15</f>
        <v>0.11</v>
      </c>
      <c r="J15" s="2322"/>
      <c r="K15" s="1777"/>
      <c r="L15" s="2324">
        <f>I15*L13</f>
        <v>4868.4946975769635</v>
      </c>
      <c r="M15" s="1543"/>
      <c r="N15" s="1543"/>
      <c r="O15" s="1543"/>
      <c r="P15" s="1543"/>
      <c r="Q15" s="1543"/>
      <c r="R15" s="1543"/>
    </row>
    <row r="16" spans="1:18" ht="13.5" thickBot="1">
      <c r="A16" s="1543"/>
      <c r="B16" s="2622" t="s">
        <v>256</v>
      </c>
      <c r="C16" s="2618">
        <v>1.8120393120392975E-2</v>
      </c>
      <c r="D16" s="2619" t="s">
        <v>652</v>
      </c>
      <c r="E16" s="2304"/>
      <c r="F16" s="2304"/>
      <c r="G16" s="2304"/>
      <c r="H16" s="2327" t="s">
        <v>203</v>
      </c>
      <c r="I16" s="2328"/>
      <c r="J16" s="2329"/>
      <c r="K16" s="2330"/>
      <c r="L16" s="2331">
        <f>SUM(L13:L15)</f>
        <v>49351.957049578676</v>
      </c>
      <c r="M16" s="1543"/>
      <c r="N16" s="1543"/>
      <c r="O16" s="1543"/>
      <c r="P16" s="1543"/>
      <c r="Q16" s="1543"/>
      <c r="R16" s="1543"/>
    </row>
    <row r="17" spans="1:18" ht="13.5" thickBot="1">
      <c r="A17" s="1543"/>
      <c r="B17" s="2620"/>
      <c r="C17" s="2357"/>
      <c r="D17" s="2621"/>
      <c r="E17" s="2304"/>
      <c r="F17" s="2304"/>
      <c r="G17" s="2304"/>
      <c r="H17" s="2358"/>
      <c r="I17" s="2359" t="s">
        <v>205</v>
      </c>
      <c r="J17" s="2360">
        <f>C16</f>
        <v>1.8120393120392975E-2</v>
      </c>
      <c r="K17" s="2361"/>
      <c r="L17" s="2362">
        <f>L16*(J17+1)</f>
        <v>50246.233912577794</v>
      </c>
      <c r="M17" s="1543"/>
      <c r="N17" s="1543"/>
      <c r="O17" s="1543"/>
      <c r="P17" s="1543"/>
      <c r="Q17" s="1543"/>
      <c r="R17" s="1543"/>
    </row>
    <row r="18" spans="1:18" ht="13.5" thickBot="1">
      <c r="A18" s="1543"/>
      <c r="E18" s="2332"/>
      <c r="F18" s="2304"/>
      <c r="G18" s="2304"/>
      <c r="H18" s="1781" t="s">
        <v>515</v>
      </c>
      <c r="I18" s="1782"/>
      <c r="J18" s="1783"/>
      <c r="K18" s="2333"/>
      <c r="L18" s="2334">
        <f>L17/12</f>
        <v>4187.1861593814829</v>
      </c>
      <c r="M18" s="1543"/>
      <c r="N18" s="1543"/>
      <c r="O18" s="1543"/>
      <c r="P18" s="1543"/>
      <c r="Q18" s="1543"/>
      <c r="R18" s="1543"/>
    </row>
    <row r="19" spans="1:18" ht="13.5" thickBot="1">
      <c r="A19" s="1543"/>
      <c r="E19" s="2332"/>
      <c r="F19" s="2304"/>
      <c r="G19" s="2304"/>
      <c r="H19" s="2364" t="s">
        <v>514</v>
      </c>
      <c r="I19" s="2365"/>
      <c r="J19" s="2365"/>
      <c r="K19" s="2366"/>
      <c r="L19" s="2367">
        <f>L18/140/2</f>
        <v>14.954236283505296</v>
      </c>
      <c r="M19" s="1543"/>
      <c r="N19" s="1543"/>
      <c r="O19" s="1543"/>
      <c r="P19" s="1543"/>
      <c r="Q19" s="1543"/>
      <c r="R19" s="1543"/>
    </row>
    <row r="20" spans="1:18" ht="15" customHeight="1">
      <c r="A20" s="1543"/>
      <c r="E20" s="2005"/>
      <c r="F20" s="2005"/>
      <c r="G20" s="2005"/>
      <c r="H20" s="1544"/>
      <c r="I20" s="1544"/>
      <c r="J20" s="3280"/>
      <c r="K20" s="3280"/>
      <c r="L20" s="2363"/>
      <c r="M20" s="2187"/>
      <c r="N20" s="1544"/>
      <c r="O20" s="1543"/>
      <c r="P20" s="1543"/>
      <c r="Q20" s="1543"/>
      <c r="R20" s="1543"/>
    </row>
    <row r="21" spans="1:18" ht="15" customHeight="1">
      <c r="A21" s="1543"/>
      <c r="B21" s="1544"/>
      <c r="C21" s="1544"/>
      <c r="D21" s="1544"/>
      <c r="E21" s="2335"/>
      <c r="F21" s="2335"/>
      <c r="G21" s="2335"/>
      <c r="H21" s="1543"/>
      <c r="I21" s="1543"/>
      <c r="J21" s="1543"/>
      <c r="K21" s="1543"/>
      <c r="L21" s="1543"/>
      <c r="M21" s="1543"/>
      <c r="N21" s="1543"/>
      <c r="O21" s="1543"/>
      <c r="P21" s="1543"/>
      <c r="Q21" s="1543"/>
      <c r="R21" s="1543"/>
    </row>
    <row r="22" spans="1:18" ht="15" hidden="1" customHeight="1">
      <c r="A22" s="1543"/>
      <c r="B22" s="1543"/>
      <c r="C22" s="1543"/>
      <c r="D22" s="1543"/>
      <c r="E22" s="2332"/>
      <c r="F22" s="2336"/>
      <c r="G22" s="2336"/>
      <c r="H22" s="2374" t="s">
        <v>841</v>
      </c>
      <c r="I22" s="1543"/>
      <c r="J22" s="1543"/>
      <c r="K22" s="1543"/>
      <c r="L22" s="1543"/>
      <c r="M22" s="1543"/>
      <c r="N22" s="1543"/>
      <c r="O22" s="1543"/>
      <c r="P22" s="1543"/>
      <c r="Q22" s="1543"/>
      <c r="R22" s="1543"/>
    </row>
    <row r="23" spans="1:18" ht="15" hidden="1" customHeight="1">
      <c r="A23" s="1543"/>
      <c r="B23" s="1543"/>
      <c r="C23" s="1543"/>
      <c r="D23" s="1543"/>
      <c r="E23" s="2332"/>
      <c r="F23" s="2336"/>
      <c r="G23" s="2336"/>
      <c r="H23" s="2374" t="s">
        <v>842</v>
      </c>
      <c r="I23" s="1543"/>
      <c r="J23" s="1543"/>
      <c r="K23" s="1543"/>
      <c r="L23" s="1543"/>
      <c r="M23" s="1543"/>
      <c r="N23" s="1543"/>
      <c r="O23" s="1543"/>
      <c r="P23" s="1543"/>
      <c r="Q23" s="1543"/>
      <c r="R23" s="1543"/>
    </row>
    <row r="24" spans="1:18" ht="15" hidden="1" customHeight="1">
      <c r="A24" s="1543"/>
      <c r="B24" s="1543"/>
      <c r="D24" s="1543"/>
      <c r="E24" s="2332"/>
      <c r="F24" s="2336"/>
      <c r="G24" s="2336"/>
      <c r="H24" s="1543"/>
      <c r="I24" s="1543"/>
      <c r="J24" s="1543"/>
      <c r="K24" s="1543"/>
      <c r="L24" s="1543"/>
      <c r="M24" s="1543"/>
    </row>
    <row r="25" spans="1:18">
      <c r="F25" s="2555"/>
    </row>
    <row r="26" spans="1:18" ht="13.5" hidden="1" thickBot="1">
      <c r="C26" s="2755">
        <v>15.25</v>
      </c>
      <c r="D26" s="1543" t="s">
        <v>1017</v>
      </c>
      <c r="H26" s="2756" t="s">
        <v>203</v>
      </c>
      <c r="I26" s="2757"/>
      <c r="J26" s="2758"/>
      <c r="K26" s="2759"/>
      <c r="L26" s="2760">
        <f>L16</f>
        <v>49351.957049578676</v>
      </c>
    </row>
    <row r="27" spans="1:18" ht="13.5" hidden="1" thickBot="1">
      <c r="C27" s="1611">
        <v>2217.08</v>
      </c>
      <c r="D27" s="1543" t="s">
        <v>1018</v>
      </c>
      <c r="H27" s="2358"/>
      <c r="I27" s="2359" t="s">
        <v>205</v>
      </c>
      <c r="J27" s="2360">
        <f>J17</f>
        <v>1.8120393120392975E-2</v>
      </c>
      <c r="K27" s="2361"/>
      <c r="L27" s="2362">
        <f>L26*(J27+1)</f>
        <v>50246.233912577794</v>
      </c>
      <c r="M27" s="2752" t="s">
        <v>901</v>
      </c>
    </row>
    <row r="28" spans="1:18" hidden="1">
      <c r="C28" s="1611">
        <f>C27/C26</f>
        <v>145.38229508196721</v>
      </c>
      <c r="D28" s="1543" t="s">
        <v>1022</v>
      </c>
      <c r="L28" s="2313">
        <f>L27/12</f>
        <v>4187.1861593814829</v>
      </c>
      <c r="M28" s="2753" t="s">
        <v>902</v>
      </c>
      <c r="N28" s="2551"/>
    </row>
    <row r="29" spans="1:18" hidden="1">
      <c r="C29" s="1611">
        <f>C27/40</f>
        <v>55.427</v>
      </c>
      <c r="D29" s="1543" t="s">
        <v>1021</v>
      </c>
    </row>
    <row r="30" spans="1:18" hidden="1">
      <c r="D30" s="1611"/>
      <c r="L30" s="2313">
        <f>L28/40</f>
        <v>104.67965398453707</v>
      </c>
      <c r="M30" s="2754" t="s">
        <v>1020</v>
      </c>
      <c r="N30" s="2551"/>
    </row>
    <row r="31" spans="1:18" hidden="1">
      <c r="L31" s="2313">
        <f>L28/15.25</f>
        <v>274.56958422173659</v>
      </c>
      <c r="M31" s="2754" t="s">
        <v>1019</v>
      </c>
    </row>
    <row r="32" spans="1:18" hidden="1"/>
    <row r="33" hidden="1"/>
    <row r="34" hidden="1"/>
    <row r="35" hidden="1"/>
  </sheetData>
  <customSheetViews>
    <customSheetView guid="{4C1AD9FE-DB97-4D30-8CF1-D476DD376A5A}" fitToPage="1" hiddenColumns="1" topLeftCell="H1">
      <selection activeCell="H3" sqref="H3:L18"/>
      <pageMargins left="0.75" right="0.75" top="1" bottom="1" header="0.5" footer="0.5"/>
      <printOptions gridLines="1"/>
      <pageSetup scale="87" orientation="landscape" verticalDpi="300" r:id="rId1"/>
      <headerFooter alignWithMargins="0">
        <oddHeader>&amp;F</oddHeader>
        <oddFooter>&amp;LDRAFT&amp;RPage 9</oddFooter>
      </headerFooter>
    </customSheetView>
    <customSheetView guid="{6A16E15D-0E79-4250-8AEC-339F57F63027}" fitToPage="1" hiddenColumns="1" topLeftCell="H1">
      <selection activeCell="H3" sqref="H3:L18"/>
      <pageMargins left="0.75" right="0.75" top="1" bottom="1" header="0.5" footer="0.5"/>
      <printOptions gridLines="1"/>
      <pageSetup scale="87" orientation="landscape" verticalDpi="300" r:id="rId2"/>
      <headerFooter alignWithMargins="0">
        <oddHeader>&amp;F</oddHeader>
        <oddFooter>&amp;LDRAFT&amp;RPage 9</oddFooter>
      </headerFooter>
    </customSheetView>
  </customSheetViews>
  <mergeCells count="2">
    <mergeCell ref="H3:L3"/>
    <mergeCell ref="J20:K20"/>
  </mergeCells>
  <pageMargins left="0.75" right="0.75" top="1" bottom="1" header="0.5" footer="0.5"/>
  <pageSetup scale="67" orientation="landscape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4:W27"/>
  <sheetViews>
    <sheetView topLeftCell="D1" workbookViewId="0">
      <selection activeCell="K8" sqref="K8"/>
    </sheetView>
  </sheetViews>
  <sheetFormatPr defaultRowHeight="15"/>
  <cols>
    <col min="6" max="6" width="22" customWidth="1"/>
    <col min="7" max="7" width="14.7109375" customWidth="1"/>
    <col min="8" max="8" width="15.28515625" customWidth="1"/>
    <col min="9" max="9" width="14.7109375" customWidth="1"/>
    <col min="10" max="10" width="8.28515625" customWidth="1"/>
    <col min="11" max="11" width="5.42578125" customWidth="1"/>
    <col min="12" max="12" width="3.140625" customWidth="1"/>
    <col min="13" max="13" width="28.7109375" customWidth="1"/>
    <col min="14" max="14" width="12.5703125" customWidth="1"/>
    <col min="19" max="19" width="12.140625" customWidth="1"/>
  </cols>
  <sheetData>
    <row r="4" spans="6:23" ht="15.75" thickBot="1"/>
    <row r="5" spans="6:23" ht="15.75" thickBot="1">
      <c r="F5" s="3281" t="s">
        <v>1139</v>
      </c>
      <c r="G5" s="3282"/>
      <c r="H5" s="3282"/>
      <c r="I5" s="3283"/>
    </row>
    <row r="6" spans="6:23" ht="15.75" thickBot="1">
      <c r="F6" s="3284" t="s">
        <v>1118</v>
      </c>
      <c r="G6" s="3285"/>
      <c r="H6" s="3285"/>
      <c r="I6" s="3286"/>
      <c r="M6" s="3163" t="s">
        <v>571</v>
      </c>
      <c r="N6" s="3164"/>
      <c r="O6" s="3164"/>
      <c r="P6" s="3164"/>
      <c r="Q6" s="3164"/>
      <c r="R6" s="3164"/>
      <c r="S6" s="3287"/>
    </row>
    <row r="7" spans="6:23" ht="15.75" thickBot="1">
      <c r="F7" s="2921"/>
      <c r="G7" s="2922"/>
      <c r="H7" s="2923" t="s">
        <v>1119</v>
      </c>
      <c r="I7" s="2924">
        <v>507</v>
      </c>
      <c r="M7" s="3288" t="s">
        <v>1120</v>
      </c>
      <c r="N7" s="3289"/>
      <c r="O7" s="3289"/>
      <c r="P7" s="3289"/>
      <c r="Q7" s="3289"/>
      <c r="R7" s="3289"/>
      <c r="S7" s="3290"/>
    </row>
    <row r="8" spans="6:23">
      <c r="F8" s="2921"/>
      <c r="G8" s="2925"/>
      <c r="H8" s="2923"/>
      <c r="I8" s="2926"/>
      <c r="M8" s="89" t="s">
        <v>191</v>
      </c>
      <c r="N8" s="2462">
        <v>55383</v>
      </c>
      <c r="O8" s="2971" t="s">
        <v>861</v>
      </c>
      <c r="P8" s="1"/>
      <c r="Q8" s="1"/>
      <c r="R8" s="1"/>
      <c r="S8" s="134"/>
    </row>
    <row r="9" spans="6:23" ht="15.75" thickBot="1">
      <c r="F9" s="2927"/>
      <c r="G9" s="2928" t="s">
        <v>209</v>
      </c>
      <c r="H9" s="2928" t="s">
        <v>190</v>
      </c>
      <c r="I9" s="2929" t="s">
        <v>210</v>
      </c>
      <c r="M9" s="89" t="s">
        <v>1121</v>
      </c>
      <c r="N9" s="2462">
        <v>45000</v>
      </c>
      <c r="O9" s="2953" t="s">
        <v>238</v>
      </c>
      <c r="P9" s="1"/>
      <c r="Q9" s="1"/>
      <c r="R9" s="1"/>
      <c r="S9" s="134"/>
      <c r="W9" s="2982"/>
    </row>
    <row r="10" spans="6:23" ht="15.75" thickBot="1">
      <c r="F10" s="2930" t="s">
        <v>191</v>
      </c>
      <c r="G10" s="2931">
        <f>N8</f>
        <v>55383</v>
      </c>
      <c r="H10" s="2972">
        <v>6.25E-2</v>
      </c>
      <c r="I10" s="2932">
        <f>H10*G10</f>
        <v>3461.4375</v>
      </c>
      <c r="M10" s="3288" t="s">
        <v>1127</v>
      </c>
      <c r="N10" s="3289"/>
      <c r="O10" s="3289"/>
      <c r="P10" s="3289"/>
      <c r="Q10" s="3289"/>
      <c r="R10" s="3289"/>
      <c r="S10" s="3290"/>
    </row>
    <row r="11" spans="6:23">
      <c r="F11" s="2933" t="s">
        <v>1121</v>
      </c>
      <c r="G11" s="2934">
        <f>N9</f>
        <v>45000</v>
      </c>
      <c r="H11" s="2935">
        <v>0.05</v>
      </c>
      <c r="I11" s="2936">
        <f>H11*G11</f>
        <v>2250</v>
      </c>
      <c r="M11" s="89" t="s">
        <v>191</v>
      </c>
      <c r="N11" s="2975">
        <v>6.3E-2</v>
      </c>
      <c r="O11" s="2971" t="s">
        <v>1131</v>
      </c>
      <c r="P11" s="1"/>
      <c r="Q11" s="1"/>
      <c r="R11" s="1"/>
      <c r="S11" s="134"/>
    </row>
    <row r="12" spans="6:23" ht="15.75" thickBot="1">
      <c r="F12" s="2940" t="s">
        <v>265</v>
      </c>
      <c r="G12" s="2941"/>
      <c r="H12" s="2973">
        <f>SUM(H10:H11)</f>
        <v>0.1125</v>
      </c>
      <c r="I12" s="2942">
        <f>SUM(I10:I11)</f>
        <v>5711.4375</v>
      </c>
      <c r="M12" s="89" t="s">
        <v>1121</v>
      </c>
      <c r="N12" s="2975">
        <v>0.05</v>
      </c>
      <c r="O12" s="2953" t="s">
        <v>1132</v>
      </c>
      <c r="P12" s="1"/>
      <c r="Q12" s="1"/>
      <c r="R12" s="1"/>
      <c r="S12" s="134"/>
    </row>
    <row r="13" spans="6:23" ht="15.75" thickBot="1">
      <c r="F13" s="2921"/>
      <c r="G13" s="2923"/>
      <c r="H13" s="2943"/>
      <c r="I13" s="2932"/>
      <c r="M13" s="3288" t="s">
        <v>240</v>
      </c>
      <c r="N13" s="3289"/>
      <c r="O13" s="3289"/>
      <c r="P13" s="3289"/>
      <c r="Q13" s="3289"/>
      <c r="R13" s="3289"/>
      <c r="S13" s="3290"/>
    </row>
    <row r="14" spans="6:23">
      <c r="F14" s="2921" t="s">
        <v>220</v>
      </c>
      <c r="G14" s="2945">
        <v>0.22</v>
      </c>
      <c r="H14" s="2923"/>
      <c r="I14" s="2932">
        <f>I12*G14</f>
        <v>1256.5162499999999</v>
      </c>
      <c r="M14" s="2210" t="s">
        <v>1128</v>
      </c>
      <c r="N14" s="2937">
        <v>19.75</v>
      </c>
      <c r="O14" s="2938" t="s">
        <v>1129</v>
      </c>
      <c r="P14" s="2588"/>
      <c r="Q14" s="2588"/>
      <c r="R14" s="339"/>
      <c r="S14" s="2939"/>
    </row>
    <row r="15" spans="6:23">
      <c r="F15" s="2940" t="s">
        <v>198</v>
      </c>
      <c r="G15" s="2941"/>
      <c r="H15" s="2947"/>
      <c r="I15" s="2942">
        <f>I14+I12</f>
        <v>6967.9537499999997</v>
      </c>
      <c r="M15" s="2946"/>
      <c r="N15" s="2588"/>
      <c r="O15" s="2944" t="s">
        <v>1130</v>
      </c>
      <c r="P15" s="2588"/>
      <c r="Q15" s="2588"/>
      <c r="R15" s="339"/>
      <c r="S15" s="2939"/>
    </row>
    <row r="16" spans="6:23">
      <c r="F16" s="2950" t="s">
        <v>1128</v>
      </c>
      <c r="G16" s="2925"/>
      <c r="H16" s="2974">
        <f>N14</f>
        <v>19.75</v>
      </c>
      <c r="I16" s="2936">
        <f>H16*I7</f>
        <v>10013.25</v>
      </c>
      <c r="M16" s="89" t="s">
        <v>545</v>
      </c>
      <c r="N16" s="2948">
        <v>0.22</v>
      </c>
      <c r="O16" s="2949" t="s">
        <v>1122</v>
      </c>
      <c r="P16" s="1"/>
      <c r="Q16" s="1"/>
      <c r="R16" s="1"/>
      <c r="S16" s="134"/>
    </row>
    <row r="17" spans="6:19">
      <c r="F17" s="2940" t="s">
        <v>269</v>
      </c>
      <c r="G17" s="2941"/>
      <c r="H17" s="2941"/>
      <c r="I17" s="2942">
        <f>I15+I16</f>
        <v>16981.203750000001</v>
      </c>
      <c r="K17" s="2640"/>
      <c r="M17" s="89" t="s">
        <v>547</v>
      </c>
      <c r="N17" s="2948">
        <v>0.11</v>
      </c>
      <c r="O17" s="2949" t="s">
        <v>1123</v>
      </c>
      <c r="P17" s="1"/>
      <c r="Q17" s="1"/>
      <c r="R17" s="1"/>
      <c r="S17" s="134"/>
    </row>
    <row r="18" spans="6:19" ht="15.75" thickBot="1">
      <c r="F18" s="2921"/>
      <c r="G18" s="2923"/>
      <c r="H18" s="2923"/>
      <c r="I18" s="2926"/>
      <c r="M18" s="2951" t="s">
        <v>648</v>
      </c>
      <c r="N18" s="1498">
        <v>6.3E-3</v>
      </c>
      <c r="O18" s="2952" t="s">
        <v>860</v>
      </c>
      <c r="P18" s="2371"/>
      <c r="Q18" s="1"/>
      <c r="R18" s="1"/>
      <c r="S18" s="134"/>
    </row>
    <row r="19" spans="6:19" ht="15.75" thickBot="1">
      <c r="F19" s="2921" t="s">
        <v>247</v>
      </c>
      <c r="G19" s="2945">
        <v>0.11</v>
      </c>
      <c r="H19" s="2923"/>
      <c r="I19" s="2932">
        <f>I17*G19</f>
        <v>1867.9324125000001</v>
      </c>
      <c r="M19" s="2954" t="s">
        <v>651</v>
      </c>
      <c r="N19" s="2955">
        <f>'Spring 2019 CAF'!BU25</f>
        <v>1.8120393120392975E-2</v>
      </c>
      <c r="O19" s="2956" t="s">
        <v>1124</v>
      </c>
      <c r="P19" s="2957"/>
      <c r="Q19" s="2957"/>
      <c r="R19" s="2957"/>
      <c r="S19" s="2958"/>
    </row>
    <row r="20" spans="6:19" ht="15.75" thickBot="1">
      <c r="F20" s="2959" t="s">
        <v>1125</v>
      </c>
      <c r="G20" s="2960">
        <f>N18</f>
        <v>6.3E-3</v>
      </c>
      <c r="H20" s="2961"/>
      <c r="I20" s="2962">
        <f>I12*G20</f>
        <v>35.982056249999999</v>
      </c>
    </row>
    <row r="21" spans="6:19" ht="15.75" thickTop="1">
      <c r="F21" s="2921" t="s">
        <v>203</v>
      </c>
      <c r="G21" s="2923"/>
      <c r="H21" s="2923"/>
      <c r="I21" s="2932">
        <f>I17+I19+I20</f>
        <v>18885.118218749998</v>
      </c>
    </row>
    <row r="22" spans="6:19" ht="15.75" thickBot="1">
      <c r="F22" s="2959" t="s">
        <v>182</v>
      </c>
      <c r="G22" s="2963">
        <f>N19</f>
        <v>1.8120393120392975E-2</v>
      </c>
      <c r="H22" s="2961"/>
      <c r="I22" s="2964">
        <f>I21*G22</f>
        <v>342.20576624884552</v>
      </c>
    </row>
    <row r="23" spans="6:19" ht="16.5" thickTop="1" thickBot="1">
      <c r="F23" s="2921" t="s">
        <v>901</v>
      </c>
      <c r="G23" s="2923"/>
      <c r="H23" s="2965"/>
      <c r="I23" s="2966">
        <f>I21+I22</f>
        <v>19227.323984998842</v>
      </c>
    </row>
    <row r="24" spans="6:19" ht="15.75" thickBot="1">
      <c r="F24" s="2967" t="s">
        <v>1126</v>
      </c>
      <c r="G24" s="2968"/>
      <c r="H24" s="2969"/>
      <c r="I24" s="2970">
        <f>I23/I7</f>
        <v>37.923715946743279</v>
      </c>
    </row>
    <row r="25" spans="6:19">
      <c r="F25" s="11"/>
      <c r="G25" s="11"/>
      <c r="H25" s="11"/>
      <c r="I25" s="2868"/>
      <c r="K25" s="2981"/>
    </row>
    <row r="26" spans="6:19">
      <c r="I26" s="3041"/>
      <c r="J26" s="2640"/>
    </row>
    <row r="27" spans="6:19">
      <c r="I27" s="1842"/>
    </row>
  </sheetData>
  <mergeCells count="6">
    <mergeCell ref="F5:I5"/>
    <mergeCell ref="F6:I6"/>
    <mergeCell ref="M6:S6"/>
    <mergeCell ref="M7:S7"/>
    <mergeCell ref="M13:S13"/>
    <mergeCell ref="M10:S10"/>
  </mergeCells>
  <pageMargins left="0.7" right="0.7" top="0.75" bottom="0.75" header="0.3" footer="0.3"/>
  <pageSetup scale="70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zoomScaleNormal="100" workbookViewId="0">
      <selection activeCell="I23" sqref="I23"/>
    </sheetView>
  </sheetViews>
  <sheetFormatPr defaultRowHeight="12.75"/>
  <cols>
    <col min="1" max="1" width="6.28515625" style="415" customWidth="1"/>
    <col min="2" max="2" width="26.140625" style="415" bestFit="1" customWidth="1"/>
    <col min="3" max="3" width="11.140625" style="415" customWidth="1"/>
    <col min="4" max="4" width="11.42578125" style="415" bestFit="1" customWidth="1"/>
    <col min="5" max="5" width="10" style="415" bestFit="1" customWidth="1"/>
    <col min="6" max="6" width="12.7109375" style="415" customWidth="1"/>
    <col min="7" max="7" width="9.42578125" style="415" customWidth="1"/>
    <col min="8" max="8" width="24.5703125" style="415" customWidth="1"/>
    <col min="9" max="9" width="13.5703125" style="415" customWidth="1"/>
    <col min="10" max="10" width="51.42578125" style="415" customWidth="1"/>
    <col min="11" max="246" width="9.140625" style="415"/>
    <col min="247" max="247" width="19.7109375" style="415" bestFit="1" customWidth="1"/>
    <col min="248" max="248" width="9.140625" style="415"/>
    <col min="249" max="249" width="12.7109375" style="415" bestFit="1" customWidth="1"/>
    <col min="250" max="502" width="9.140625" style="415"/>
    <col min="503" max="503" width="19.7109375" style="415" bestFit="1" customWidth="1"/>
    <col min="504" max="504" width="9.140625" style="415"/>
    <col min="505" max="505" width="12.7109375" style="415" bestFit="1" customWidth="1"/>
    <col min="506" max="758" width="9.140625" style="415"/>
    <col min="759" max="759" width="19.7109375" style="415" bestFit="1" customWidth="1"/>
    <col min="760" max="760" width="9.140625" style="415"/>
    <col min="761" max="761" width="12.7109375" style="415" bestFit="1" customWidth="1"/>
    <col min="762" max="1014" width="9.140625" style="415"/>
    <col min="1015" max="1015" width="19.7109375" style="415" bestFit="1" customWidth="1"/>
    <col min="1016" max="1016" width="9.140625" style="415"/>
    <col min="1017" max="1017" width="12.7109375" style="415" bestFit="1" customWidth="1"/>
    <col min="1018" max="1270" width="9.140625" style="415"/>
    <col min="1271" max="1271" width="19.7109375" style="415" bestFit="1" customWidth="1"/>
    <col min="1272" max="1272" width="9.140625" style="415"/>
    <col min="1273" max="1273" width="12.7109375" style="415" bestFit="1" customWidth="1"/>
    <col min="1274" max="1526" width="9.140625" style="415"/>
    <col min="1527" max="1527" width="19.7109375" style="415" bestFit="1" customWidth="1"/>
    <col min="1528" max="1528" width="9.140625" style="415"/>
    <col min="1529" max="1529" width="12.7109375" style="415" bestFit="1" customWidth="1"/>
    <col min="1530" max="1782" width="9.140625" style="415"/>
    <col min="1783" max="1783" width="19.7109375" style="415" bestFit="1" customWidth="1"/>
    <col min="1784" max="1784" width="9.140625" style="415"/>
    <col min="1785" max="1785" width="12.7109375" style="415" bestFit="1" customWidth="1"/>
    <col min="1786" max="2038" width="9.140625" style="415"/>
    <col min="2039" max="2039" width="19.7109375" style="415" bestFit="1" customWidth="1"/>
    <col min="2040" max="2040" width="9.140625" style="415"/>
    <col min="2041" max="2041" width="12.7109375" style="415" bestFit="1" customWidth="1"/>
    <col min="2042" max="2294" width="9.140625" style="415"/>
    <col min="2295" max="2295" width="19.7109375" style="415" bestFit="1" customWidth="1"/>
    <col min="2296" max="2296" width="9.140625" style="415"/>
    <col min="2297" max="2297" width="12.7109375" style="415" bestFit="1" customWidth="1"/>
    <col min="2298" max="2550" width="9.140625" style="415"/>
    <col min="2551" max="2551" width="19.7109375" style="415" bestFit="1" customWidth="1"/>
    <col min="2552" max="2552" width="9.140625" style="415"/>
    <col min="2553" max="2553" width="12.7109375" style="415" bestFit="1" customWidth="1"/>
    <col min="2554" max="2806" width="9.140625" style="415"/>
    <col min="2807" max="2807" width="19.7109375" style="415" bestFit="1" customWidth="1"/>
    <col min="2808" max="2808" width="9.140625" style="415"/>
    <col min="2809" max="2809" width="12.7109375" style="415" bestFit="1" customWidth="1"/>
    <col min="2810" max="3062" width="9.140625" style="415"/>
    <col min="3063" max="3063" width="19.7109375" style="415" bestFit="1" customWidth="1"/>
    <col min="3064" max="3064" width="9.140625" style="415"/>
    <col min="3065" max="3065" width="12.7109375" style="415" bestFit="1" customWidth="1"/>
    <col min="3066" max="3318" width="9.140625" style="415"/>
    <col min="3319" max="3319" width="19.7109375" style="415" bestFit="1" customWidth="1"/>
    <col min="3320" max="3320" width="9.140625" style="415"/>
    <col min="3321" max="3321" width="12.7109375" style="415" bestFit="1" customWidth="1"/>
    <col min="3322" max="3574" width="9.140625" style="415"/>
    <col min="3575" max="3575" width="19.7109375" style="415" bestFit="1" customWidth="1"/>
    <col min="3576" max="3576" width="9.140625" style="415"/>
    <col min="3577" max="3577" width="12.7109375" style="415" bestFit="1" customWidth="1"/>
    <col min="3578" max="3830" width="9.140625" style="415"/>
    <col min="3831" max="3831" width="19.7109375" style="415" bestFit="1" customWidth="1"/>
    <col min="3832" max="3832" width="9.140625" style="415"/>
    <col min="3833" max="3833" width="12.7109375" style="415" bestFit="1" customWidth="1"/>
    <col min="3834" max="4086" width="9.140625" style="415"/>
    <col min="4087" max="4087" width="19.7109375" style="415" bestFit="1" customWidth="1"/>
    <col min="4088" max="4088" width="9.140625" style="415"/>
    <col min="4089" max="4089" width="12.7109375" style="415" bestFit="1" customWidth="1"/>
    <col min="4090" max="4342" width="9.140625" style="415"/>
    <col min="4343" max="4343" width="19.7109375" style="415" bestFit="1" customWidth="1"/>
    <col min="4344" max="4344" width="9.140625" style="415"/>
    <col min="4345" max="4345" width="12.7109375" style="415" bestFit="1" customWidth="1"/>
    <col min="4346" max="4598" width="9.140625" style="415"/>
    <col min="4599" max="4599" width="19.7109375" style="415" bestFit="1" customWidth="1"/>
    <col min="4600" max="4600" width="9.140625" style="415"/>
    <col min="4601" max="4601" width="12.7109375" style="415" bestFit="1" customWidth="1"/>
    <col min="4602" max="4854" width="9.140625" style="415"/>
    <col min="4855" max="4855" width="19.7109375" style="415" bestFit="1" customWidth="1"/>
    <col min="4856" max="4856" width="9.140625" style="415"/>
    <col min="4857" max="4857" width="12.7109375" style="415" bestFit="1" customWidth="1"/>
    <col min="4858" max="5110" width="9.140625" style="415"/>
    <col min="5111" max="5111" width="19.7109375" style="415" bestFit="1" customWidth="1"/>
    <col min="5112" max="5112" width="9.140625" style="415"/>
    <col min="5113" max="5113" width="12.7109375" style="415" bestFit="1" customWidth="1"/>
    <col min="5114" max="5366" width="9.140625" style="415"/>
    <col min="5367" max="5367" width="19.7109375" style="415" bestFit="1" customWidth="1"/>
    <col min="5368" max="5368" width="9.140625" style="415"/>
    <col min="5369" max="5369" width="12.7109375" style="415" bestFit="1" customWidth="1"/>
    <col min="5370" max="5622" width="9.140625" style="415"/>
    <col min="5623" max="5623" width="19.7109375" style="415" bestFit="1" customWidth="1"/>
    <col min="5624" max="5624" width="9.140625" style="415"/>
    <col min="5625" max="5625" width="12.7109375" style="415" bestFit="1" customWidth="1"/>
    <col min="5626" max="5878" width="9.140625" style="415"/>
    <col min="5879" max="5879" width="19.7109375" style="415" bestFit="1" customWidth="1"/>
    <col min="5880" max="5880" width="9.140625" style="415"/>
    <col min="5881" max="5881" width="12.7109375" style="415" bestFit="1" customWidth="1"/>
    <col min="5882" max="6134" width="9.140625" style="415"/>
    <col min="6135" max="6135" width="19.7109375" style="415" bestFit="1" customWidth="1"/>
    <col min="6136" max="6136" width="9.140625" style="415"/>
    <col min="6137" max="6137" width="12.7109375" style="415" bestFit="1" customWidth="1"/>
    <col min="6138" max="6390" width="9.140625" style="415"/>
    <col min="6391" max="6391" width="19.7109375" style="415" bestFit="1" customWidth="1"/>
    <col min="6392" max="6392" width="9.140625" style="415"/>
    <col min="6393" max="6393" width="12.7109375" style="415" bestFit="1" customWidth="1"/>
    <col min="6394" max="6646" width="9.140625" style="415"/>
    <col min="6647" max="6647" width="19.7109375" style="415" bestFit="1" customWidth="1"/>
    <col min="6648" max="6648" width="9.140625" style="415"/>
    <col min="6649" max="6649" width="12.7109375" style="415" bestFit="1" customWidth="1"/>
    <col min="6650" max="6902" width="9.140625" style="415"/>
    <col min="6903" max="6903" width="19.7109375" style="415" bestFit="1" customWidth="1"/>
    <col min="6904" max="6904" width="9.140625" style="415"/>
    <col min="6905" max="6905" width="12.7109375" style="415" bestFit="1" customWidth="1"/>
    <col min="6906" max="7158" width="9.140625" style="415"/>
    <col min="7159" max="7159" width="19.7109375" style="415" bestFit="1" customWidth="1"/>
    <col min="7160" max="7160" width="9.140625" style="415"/>
    <col min="7161" max="7161" width="12.7109375" style="415" bestFit="1" customWidth="1"/>
    <col min="7162" max="7414" width="9.140625" style="415"/>
    <col min="7415" max="7415" width="19.7109375" style="415" bestFit="1" customWidth="1"/>
    <col min="7416" max="7416" width="9.140625" style="415"/>
    <col min="7417" max="7417" width="12.7109375" style="415" bestFit="1" customWidth="1"/>
    <col min="7418" max="7670" width="9.140625" style="415"/>
    <col min="7671" max="7671" width="19.7109375" style="415" bestFit="1" customWidth="1"/>
    <col min="7672" max="7672" width="9.140625" style="415"/>
    <col min="7673" max="7673" width="12.7109375" style="415" bestFit="1" customWidth="1"/>
    <col min="7674" max="7926" width="9.140625" style="415"/>
    <col min="7927" max="7927" width="19.7109375" style="415" bestFit="1" customWidth="1"/>
    <col min="7928" max="7928" width="9.140625" style="415"/>
    <col min="7929" max="7929" width="12.7109375" style="415" bestFit="1" customWidth="1"/>
    <col min="7930" max="8182" width="9.140625" style="415"/>
    <col min="8183" max="8183" width="19.7109375" style="415" bestFit="1" customWidth="1"/>
    <col min="8184" max="8184" width="9.140625" style="415"/>
    <col min="8185" max="8185" width="12.7109375" style="415" bestFit="1" customWidth="1"/>
    <col min="8186" max="8438" width="9.140625" style="415"/>
    <col min="8439" max="8439" width="19.7109375" style="415" bestFit="1" customWidth="1"/>
    <col min="8440" max="8440" width="9.140625" style="415"/>
    <col min="8441" max="8441" width="12.7109375" style="415" bestFit="1" customWidth="1"/>
    <col min="8442" max="8694" width="9.140625" style="415"/>
    <col min="8695" max="8695" width="19.7109375" style="415" bestFit="1" customWidth="1"/>
    <col min="8696" max="8696" width="9.140625" style="415"/>
    <col min="8697" max="8697" width="12.7109375" style="415" bestFit="1" customWidth="1"/>
    <col min="8698" max="8950" width="9.140625" style="415"/>
    <col min="8951" max="8951" width="19.7109375" style="415" bestFit="1" customWidth="1"/>
    <col min="8952" max="8952" width="9.140625" style="415"/>
    <col min="8953" max="8953" width="12.7109375" style="415" bestFit="1" customWidth="1"/>
    <col min="8954" max="9206" width="9.140625" style="415"/>
    <col min="9207" max="9207" width="19.7109375" style="415" bestFit="1" customWidth="1"/>
    <col min="9208" max="9208" width="9.140625" style="415"/>
    <col min="9209" max="9209" width="12.7109375" style="415" bestFit="1" customWidth="1"/>
    <col min="9210" max="9462" width="9.140625" style="415"/>
    <col min="9463" max="9463" width="19.7109375" style="415" bestFit="1" customWidth="1"/>
    <col min="9464" max="9464" width="9.140625" style="415"/>
    <col min="9465" max="9465" width="12.7109375" style="415" bestFit="1" customWidth="1"/>
    <col min="9466" max="9718" width="9.140625" style="415"/>
    <col min="9719" max="9719" width="19.7109375" style="415" bestFit="1" customWidth="1"/>
    <col min="9720" max="9720" width="9.140625" style="415"/>
    <col min="9721" max="9721" width="12.7109375" style="415" bestFit="1" customWidth="1"/>
    <col min="9722" max="9974" width="9.140625" style="415"/>
    <col min="9975" max="9975" width="19.7109375" style="415" bestFit="1" customWidth="1"/>
    <col min="9976" max="9976" width="9.140625" style="415"/>
    <col min="9977" max="9977" width="12.7109375" style="415" bestFit="1" customWidth="1"/>
    <col min="9978" max="10230" width="9.140625" style="415"/>
    <col min="10231" max="10231" width="19.7109375" style="415" bestFit="1" customWidth="1"/>
    <col min="10232" max="10232" width="9.140625" style="415"/>
    <col min="10233" max="10233" width="12.7109375" style="415" bestFit="1" customWidth="1"/>
    <col min="10234" max="10486" width="9.140625" style="415"/>
    <col min="10487" max="10487" width="19.7109375" style="415" bestFit="1" customWidth="1"/>
    <col min="10488" max="10488" width="9.140625" style="415"/>
    <col min="10489" max="10489" width="12.7109375" style="415" bestFit="1" customWidth="1"/>
    <col min="10490" max="10742" width="9.140625" style="415"/>
    <col min="10743" max="10743" width="19.7109375" style="415" bestFit="1" customWidth="1"/>
    <col min="10744" max="10744" width="9.140625" style="415"/>
    <col min="10745" max="10745" width="12.7109375" style="415" bestFit="1" customWidth="1"/>
    <col min="10746" max="10998" width="9.140625" style="415"/>
    <col min="10999" max="10999" width="19.7109375" style="415" bestFit="1" customWidth="1"/>
    <col min="11000" max="11000" width="9.140625" style="415"/>
    <col min="11001" max="11001" width="12.7109375" style="415" bestFit="1" customWidth="1"/>
    <col min="11002" max="11254" width="9.140625" style="415"/>
    <col min="11255" max="11255" width="19.7109375" style="415" bestFit="1" customWidth="1"/>
    <col min="11256" max="11256" width="9.140625" style="415"/>
    <col min="11257" max="11257" width="12.7109375" style="415" bestFit="1" customWidth="1"/>
    <col min="11258" max="11510" width="9.140625" style="415"/>
    <col min="11511" max="11511" width="19.7109375" style="415" bestFit="1" customWidth="1"/>
    <col min="11512" max="11512" width="9.140625" style="415"/>
    <col min="11513" max="11513" width="12.7109375" style="415" bestFit="1" customWidth="1"/>
    <col min="11514" max="11766" width="9.140625" style="415"/>
    <col min="11767" max="11767" width="19.7109375" style="415" bestFit="1" customWidth="1"/>
    <col min="11768" max="11768" width="9.140625" style="415"/>
    <col min="11769" max="11769" width="12.7109375" style="415" bestFit="1" customWidth="1"/>
    <col min="11770" max="12022" width="9.140625" style="415"/>
    <col min="12023" max="12023" width="19.7109375" style="415" bestFit="1" customWidth="1"/>
    <col min="12024" max="12024" width="9.140625" style="415"/>
    <col min="12025" max="12025" width="12.7109375" style="415" bestFit="1" customWidth="1"/>
    <col min="12026" max="12278" width="9.140625" style="415"/>
    <col min="12279" max="12279" width="19.7109375" style="415" bestFit="1" customWidth="1"/>
    <col min="12280" max="12280" width="9.140625" style="415"/>
    <col min="12281" max="12281" width="12.7109375" style="415" bestFit="1" customWidth="1"/>
    <col min="12282" max="12534" width="9.140625" style="415"/>
    <col min="12535" max="12535" width="19.7109375" style="415" bestFit="1" customWidth="1"/>
    <col min="12536" max="12536" width="9.140625" style="415"/>
    <col min="12537" max="12537" width="12.7109375" style="415" bestFit="1" customWidth="1"/>
    <col min="12538" max="12790" width="9.140625" style="415"/>
    <col min="12791" max="12791" width="19.7109375" style="415" bestFit="1" customWidth="1"/>
    <col min="12792" max="12792" width="9.140625" style="415"/>
    <col min="12793" max="12793" width="12.7109375" style="415" bestFit="1" customWidth="1"/>
    <col min="12794" max="13046" width="9.140625" style="415"/>
    <col min="13047" max="13047" width="19.7109375" style="415" bestFit="1" customWidth="1"/>
    <col min="13048" max="13048" width="9.140625" style="415"/>
    <col min="13049" max="13049" width="12.7109375" style="415" bestFit="1" customWidth="1"/>
    <col min="13050" max="13302" width="9.140625" style="415"/>
    <col min="13303" max="13303" width="19.7109375" style="415" bestFit="1" customWidth="1"/>
    <col min="13304" max="13304" width="9.140625" style="415"/>
    <col min="13305" max="13305" width="12.7109375" style="415" bestFit="1" customWidth="1"/>
    <col min="13306" max="13558" width="9.140625" style="415"/>
    <col min="13559" max="13559" width="19.7109375" style="415" bestFit="1" customWidth="1"/>
    <col min="13560" max="13560" width="9.140625" style="415"/>
    <col min="13561" max="13561" width="12.7109375" style="415" bestFit="1" customWidth="1"/>
    <col min="13562" max="13814" width="9.140625" style="415"/>
    <col min="13815" max="13815" width="19.7109375" style="415" bestFit="1" customWidth="1"/>
    <col min="13816" max="13816" width="9.140625" style="415"/>
    <col min="13817" max="13817" width="12.7109375" style="415" bestFit="1" customWidth="1"/>
    <col min="13818" max="14070" width="9.140625" style="415"/>
    <col min="14071" max="14071" width="19.7109375" style="415" bestFit="1" customWidth="1"/>
    <col min="14072" max="14072" width="9.140625" style="415"/>
    <col min="14073" max="14073" width="12.7109375" style="415" bestFit="1" customWidth="1"/>
    <col min="14074" max="14326" width="9.140625" style="415"/>
    <col min="14327" max="14327" width="19.7109375" style="415" bestFit="1" customWidth="1"/>
    <col min="14328" max="14328" width="9.140625" style="415"/>
    <col min="14329" max="14329" width="12.7109375" style="415" bestFit="1" customWidth="1"/>
    <col min="14330" max="14582" width="9.140625" style="415"/>
    <col min="14583" max="14583" width="19.7109375" style="415" bestFit="1" customWidth="1"/>
    <col min="14584" max="14584" width="9.140625" style="415"/>
    <col min="14585" max="14585" width="12.7109375" style="415" bestFit="1" customWidth="1"/>
    <col min="14586" max="14838" width="9.140625" style="415"/>
    <col min="14839" max="14839" width="19.7109375" style="415" bestFit="1" customWidth="1"/>
    <col min="14840" max="14840" width="9.140625" style="415"/>
    <col min="14841" max="14841" width="12.7109375" style="415" bestFit="1" customWidth="1"/>
    <col min="14842" max="15094" width="9.140625" style="415"/>
    <col min="15095" max="15095" width="19.7109375" style="415" bestFit="1" customWidth="1"/>
    <col min="15096" max="15096" width="9.140625" style="415"/>
    <col min="15097" max="15097" width="12.7109375" style="415" bestFit="1" customWidth="1"/>
    <col min="15098" max="15350" width="9.140625" style="415"/>
    <col min="15351" max="15351" width="19.7109375" style="415" bestFit="1" customWidth="1"/>
    <col min="15352" max="15352" width="9.140625" style="415"/>
    <col min="15353" max="15353" width="12.7109375" style="415" bestFit="1" customWidth="1"/>
    <col min="15354" max="15606" width="9.140625" style="415"/>
    <col min="15607" max="15607" width="19.7109375" style="415" bestFit="1" customWidth="1"/>
    <col min="15608" max="15608" width="9.140625" style="415"/>
    <col min="15609" max="15609" width="12.7109375" style="415" bestFit="1" customWidth="1"/>
    <col min="15610" max="15862" width="9.140625" style="415"/>
    <col min="15863" max="15863" width="19.7109375" style="415" bestFit="1" customWidth="1"/>
    <col min="15864" max="15864" width="9.140625" style="415"/>
    <col min="15865" max="15865" width="12.7109375" style="415" bestFit="1" customWidth="1"/>
    <col min="15866" max="16118" width="9.140625" style="415"/>
    <col min="16119" max="16119" width="19.7109375" style="415" bestFit="1" customWidth="1"/>
    <col min="16120" max="16120" width="9.140625" style="415"/>
    <col min="16121" max="16121" width="12.7109375" style="415" bestFit="1" customWidth="1"/>
    <col min="16122" max="16384" width="9.140625" style="415"/>
  </cols>
  <sheetData>
    <row r="1" spans="1:13">
      <c r="A1" s="1612"/>
      <c r="B1" s="2375" t="s">
        <v>438</v>
      </c>
      <c r="C1" s="1612"/>
      <c r="D1" s="1612"/>
      <c r="E1" s="1612"/>
      <c r="F1" s="1612"/>
      <c r="G1" s="1612"/>
      <c r="H1" s="1612"/>
      <c r="I1" s="1612"/>
      <c r="J1" s="1612"/>
      <c r="K1" s="1612"/>
      <c r="L1" s="1612"/>
    </row>
    <row r="2" spans="1:13">
      <c r="A2" s="1612"/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612"/>
    </row>
    <row r="3" spans="1:13" ht="15.75" thickBot="1">
      <c r="A3" s="1612"/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61"/>
    </row>
    <row r="4" spans="1:13" ht="20.45" customHeight="1" thickBot="1">
      <c r="A4" s="1612"/>
      <c r="B4" s="1613"/>
      <c r="C4" s="1614" t="s">
        <v>26</v>
      </c>
      <c r="D4" s="1615"/>
      <c r="E4" s="1615"/>
      <c r="F4" s="1616"/>
      <c r="G4" s="1612"/>
      <c r="H4" s="3297" t="s">
        <v>331</v>
      </c>
      <c r="I4" s="3298"/>
      <c r="J4" s="3299"/>
      <c r="K4" s="1612"/>
      <c r="L4" s="1612"/>
      <c r="M4" s="1661"/>
    </row>
    <row r="5" spans="1:13" ht="22.5" customHeight="1" thickBot="1">
      <c r="A5" s="1612"/>
      <c r="B5" s="1617"/>
      <c r="C5" s="1618"/>
      <c r="D5" s="1619"/>
      <c r="E5" s="1619"/>
      <c r="F5" s="1620"/>
      <c r="G5" s="1612"/>
      <c r="H5" s="3291" t="s">
        <v>227</v>
      </c>
      <c r="I5" s="3292"/>
      <c r="J5" s="2585" t="s">
        <v>228</v>
      </c>
      <c r="K5" s="1612"/>
      <c r="L5" s="1612"/>
      <c r="M5" s="1661"/>
    </row>
    <row r="6" spans="1:13" ht="15">
      <c r="A6" s="1612"/>
      <c r="B6" s="3293" t="s">
        <v>536</v>
      </c>
      <c r="C6" s="3294"/>
      <c r="D6" s="1621" t="s">
        <v>209</v>
      </c>
      <c r="E6" s="1621" t="s">
        <v>190</v>
      </c>
      <c r="F6" s="1622" t="s">
        <v>210</v>
      </c>
      <c r="G6" s="1612"/>
      <c r="H6" s="2559" t="s">
        <v>191</v>
      </c>
      <c r="I6" s="2625">
        <f>'Master Look Up'!L26</f>
        <v>55383.32303680529</v>
      </c>
      <c r="J6" s="2627" t="str">
        <f>'Master Look Up'!M26</f>
        <v>Average salary of Mgmt across all models (inclusive of CAFs)</v>
      </c>
      <c r="K6" s="1612"/>
      <c r="L6" s="1612"/>
      <c r="M6" s="1661"/>
    </row>
    <row r="7" spans="1:13" ht="15.75" thickBot="1">
      <c r="A7" s="1612"/>
      <c r="B7" s="1623" t="s">
        <v>191</v>
      </c>
      <c r="C7" s="1624">
        <v>580</v>
      </c>
      <c r="D7" s="1625">
        <f>I6</f>
        <v>55383.32303680529</v>
      </c>
      <c r="E7" s="1624">
        <v>0.06</v>
      </c>
      <c r="F7" s="1626">
        <f>D7*E7</f>
        <v>3322.9993822083175</v>
      </c>
      <c r="G7" s="1612"/>
      <c r="H7" s="1617" t="s">
        <v>867</v>
      </c>
      <c r="I7" s="2626">
        <f>'Master Look Up'!L28</f>
        <v>40107</v>
      </c>
      <c r="J7" s="2628" t="str">
        <f>'Master Look Up'!M28</f>
        <v>FY18 UFR Wt Avg</v>
      </c>
      <c r="K7" s="1612"/>
      <c r="L7" s="1612"/>
      <c r="M7" s="1661"/>
    </row>
    <row r="8" spans="1:13" ht="15.75" thickBot="1">
      <c r="A8" s="1612"/>
      <c r="B8" s="1627" t="str">
        <f>H7</f>
        <v>Case Worker (BA Level)</v>
      </c>
      <c r="C8" s="1628">
        <v>35</v>
      </c>
      <c r="D8" s="1629">
        <f>I7</f>
        <v>40107</v>
      </c>
      <c r="E8" s="1628">
        <v>1.63</v>
      </c>
      <c r="F8" s="1630">
        <f>E8*D8</f>
        <v>65374.409999999996</v>
      </c>
      <c r="G8" s="1612"/>
      <c r="H8" s="3291" t="s">
        <v>240</v>
      </c>
      <c r="I8" s="3295"/>
      <c r="J8" s="3296"/>
      <c r="K8" s="1612"/>
      <c r="L8" s="1612"/>
      <c r="M8" s="1661"/>
    </row>
    <row r="9" spans="1:13" ht="15">
      <c r="A9" s="1612"/>
      <c r="B9" s="1627"/>
      <c r="C9" s="1628"/>
      <c r="D9" s="1629"/>
      <c r="E9" s="1628"/>
      <c r="F9" s="1630"/>
      <c r="G9" s="1612"/>
      <c r="H9" s="2559" t="s">
        <v>660</v>
      </c>
      <c r="I9" s="2579">
        <f>'Master Look Up'!F4</f>
        <v>5155.4902174195804</v>
      </c>
      <c r="J9" s="2561" t="s">
        <v>832</v>
      </c>
      <c r="K9" s="1612"/>
      <c r="L9" s="1612"/>
      <c r="M9" s="1661"/>
    </row>
    <row r="10" spans="1:13" ht="15">
      <c r="A10" s="1612"/>
      <c r="B10" s="1633" t="s">
        <v>334</v>
      </c>
      <c r="C10" s="1634"/>
      <c r="D10" s="1634"/>
      <c r="E10" s="1634">
        <f>SUM(E7:E9)</f>
        <v>1.69</v>
      </c>
      <c r="F10" s="1635">
        <f>SUM(F7:F9)</f>
        <v>68697.409382208309</v>
      </c>
      <c r="G10" s="1612"/>
      <c r="H10" s="1627" t="s">
        <v>673</v>
      </c>
      <c r="I10" s="2580">
        <f>'Master Look Up'!F6</f>
        <v>178.16741415351552</v>
      </c>
      <c r="J10" s="1632" t="s">
        <v>832</v>
      </c>
      <c r="K10" s="1612"/>
      <c r="L10" s="1612"/>
      <c r="M10" s="1661"/>
    </row>
    <row r="11" spans="1:13" ht="15.75" thickBot="1">
      <c r="A11" s="1612"/>
      <c r="B11" s="1636" t="s">
        <v>196</v>
      </c>
      <c r="C11" s="1637">
        <f>I16</f>
        <v>0.22</v>
      </c>
      <c r="D11" s="1638"/>
      <c r="E11" s="1639"/>
      <c r="F11" s="1640">
        <f>F10*C11</f>
        <v>15113.430064085827</v>
      </c>
      <c r="G11" s="1612"/>
      <c r="H11" s="1627" t="s">
        <v>674</v>
      </c>
      <c r="I11" s="2580">
        <f>'Master Look Up'!F7</f>
        <v>1410.7821990248415</v>
      </c>
      <c r="J11" s="1632" t="s">
        <v>832</v>
      </c>
      <c r="K11" s="1612"/>
      <c r="L11" s="1612"/>
      <c r="M11" s="1661"/>
    </row>
    <row r="12" spans="1:13" ht="15.75" thickBot="1">
      <c r="A12" s="1612"/>
      <c r="B12" s="1641" t="s">
        <v>198</v>
      </c>
      <c r="C12" s="1642"/>
      <c r="D12" s="1642"/>
      <c r="E12" s="1643"/>
      <c r="F12" s="1644">
        <f>F10+F11</f>
        <v>83810.839446294136</v>
      </c>
      <c r="G12" s="1612"/>
      <c r="H12" s="1627" t="s">
        <v>676</v>
      </c>
      <c r="I12" s="2580">
        <f>'Master Look Up'!F9</f>
        <v>596.88798545698035</v>
      </c>
      <c r="J12" s="1632" t="s">
        <v>832</v>
      </c>
      <c r="K12" s="1612"/>
      <c r="L12" s="1612"/>
      <c r="M12" s="1661"/>
    </row>
    <row r="13" spans="1:13" ht="15.75" thickTop="1">
      <c r="A13" s="1612"/>
      <c r="B13" s="1627" t="s">
        <v>313</v>
      </c>
      <c r="C13" s="1628"/>
      <c r="D13" s="1628"/>
      <c r="E13" s="2574">
        <f>I9</f>
        <v>5155.4902174195804</v>
      </c>
      <c r="F13" s="1646">
        <f>E13*$E$8</f>
        <v>8403.4490543939155</v>
      </c>
      <c r="G13" s="1612"/>
      <c r="H13" s="1627" t="s">
        <v>685</v>
      </c>
      <c r="I13" s="2580">
        <f>'Master Look Up'!F17</f>
        <v>799.70498223424943</v>
      </c>
      <c r="J13" s="1632" t="s">
        <v>832</v>
      </c>
      <c r="K13" s="1612"/>
      <c r="L13" s="1612"/>
      <c r="M13" s="1661"/>
    </row>
    <row r="14" spans="1:13" ht="15">
      <c r="A14" s="1612"/>
      <c r="B14" s="1627" t="s">
        <v>239</v>
      </c>
      <c r="C14" s="1628"/>
      <c r="D14" s="1628"/>
      <c r="E14" s="2574">
        <f t="shared" ref="E14" si="0">I10</f>
        <v>178.16741415351552</v>
      </c>
      <c r="F14" s="1646">
        <f t="shared" ref="F14:F16" si="1">E14*$E$8</f>
        <v>290.41288507023029</v>
      </c>
      <c r="G14" s="1612"/>
      <c r="H14" s="1627" t="s">
        <v>686</v>
      </c>
      <c r="I14" s="2580">
        <f>'Master Look Up'!F18</f>
        <v>1572.2963237683009</v>
      </c>
      <c r="J14" s="1632" t="s">
        <v>832</v>
      </c>
      <c r="K14" s="1612"/>
      <c r="L14" s="1612"/>
      <c r="M14" s="1661"/>
    </row>
    <row r="15" spans="1:13" ht="15.75" thickBot="1">
      <c r="A15" s="1612"/>
      <c r="B15" s="1627" t="s">
        <v>244</v>
      </c>
      <c r="C15" s="435"/>
      <c r="D15" s="435"/>
      <c r="E15" s="2574">
        <f>I11+I12</f>
        <v>2007.6701844818217</v>
      </c>
      <c r="F15" s="1646">
        <f t="shared" si="1"/>
        <v>3272.5024007053694</v>
      </c>
      <c r="H15" s="2581"/>
      <c r="I15" s="2582"/>
      <c r="J15" s="2583"/>
      <c r="K15" s="1612"/>
      <c r="L15" s="1612"/>
      <c r="M15" s="1661"/>
    </row>
    <row r="16" spans="1:13" ht="15">
      <c r="A16" s="1612"/>
      <c r="B16" s="1627" t="s">
        <v>874</v>
      </c>
      <c r="C16" s="435"/>
      <c r="D16" s="435"/>
      <c r="E16" s="2574">
        <f>I13+I14</f>
        <v>2372.0013060025503</v>
      </c>
      <c r="F16" s="1646">
        <f t="shared" si="1"/>
        <v>3866.362128784157</v>
      </c>
      <c r="H16" s="1627" t="s">
        <v>196</v>
      </c>
      <c r="I16" s="1653">
        <v>0.22</v>
      </c>
      <c r="J16" s="2584" t="s">
        <v>524</v>
      </c>
      <c r="K16" s="1612"/>
      <c r="L16" s="1612"/>
      <c r="M16" s="1661"/>
    </row>
    <row r="17" spans="1:13" ht="15">
      <c r="A17" s="1612"/>
      <c r="B17" s="434"/>
      <c r="C17" s="435"/>
      <c r="D17" s="435"/>
      <c r="E17" s="435"/>
      <c r="F17" s="470"/>
      <c r="H17" s="1627" t="s">
        <v>201</v>
      </c>
      <c r="I17" s="1653">
        <v>0.11</v>
      </c>
      <c r="J17" s="2585" t="s">
        <v>524</v>
      </c>
      <c r="K17" s="1612"/>
      <c r="L17" s="1612"/>
      <c r="M17" s="1661"/>
    </row>
    <row r="18" spans="1:13" ht="15">
      <c r="A18" s="1612"/>
      <c r="B18" s="1650" t="s">
        <v>200</v>
      </c>
      <c r="C18" s="1651"/>
      <c r="D18" s="1651"/>
      <c r="E18" s="1652"/>
      <c r="F18" s="1635">
        <f>SUM(F12:F17)</f>
        <v>99643.565915247804</v>
      </c>
      <c r="G18" s="1612"/>
      <c r="H18" s="2021" t="s">
        <v>653</v>
      </c>
      <c r="I18" s="2577">
        <v>6.3E-3</v>
      </c>
      <c r="J18" s="2586" t="s">
        <v>860</v>
      </c>
      <c r="K18" s="1612"/>
      <c r="L18" s="1612"/>
      <c r="M18" s="1661"/>
    </row>
    <row r="19" spans="1:13" ht="15.75" thickBot="1">
      <c r="A19" s="1612"/>
      <c r="B19" s="1627" t="s">
        <v>201</v>
      </c>
      <c r="C19" s="1653">
        <f>I17</f>
        <v>0.11</v>
      </c>
      <c r="D19" s="1628"/>
      <c r="E19" s="1645"/>
      <c r="F19" s="1630">
        <f>F18*C19</f>
        <v>10960.792250677259</v>
      </c>
      <c r="G19" s="1612"/>
      <c r="H19" s="2376" t="s">
        <v>256</v>
      </c>
      <c r="I19" s="2624">
        <f>'Spring 2019 CAF'!BU25</f>
        <v>1.8120393120392975E-2</v>
      </c>
      <c r="J19" s="2575" t="s">
        <v>652</v>
      </c>
      <c r="K19" s="1612"/>
      <c r="L19" s="1612"/>
      <c r="M19" s="1661"/>
    </row>
    <row r="20" spans="1:13" ht="15">
      <c r="A20" s="1612"/>
      <c r="B20" s="2021" t="str">
        <f>H18</f>
        <v>PFMLA</v>
      </c>
      <c r="C20" s="2377">
        <f>I18</f>
        <v>6.3E-3</v>
      </c>
      <c r="D20" s="2378"/>
      <c r="E20" s="2022"/>
      <c r="F20" s="2379">
        <f>C20*F10</f>
        <v>432.79367910791234</v>
      </c>
      <c r="G20" s="1654"/>
      <c r="H20" s="1544"/>
      <c r="I20" s="2576"/>
      <c r="J20" s="1544"/>
      <c r="K20" s="1612"/>
      <c r="L20" s="1612"/>
      <c r="M20" s="1661"/>
    </row>
    <row r="21" spans="1:13" ht="15.75" thickBot="1">
      <c r="A21" s="1612"/>
      <c r="B21" s="1655" t="s">
        <v>203</v>
      </c>
      <c r="C21" s="1656"/>
      <c r="D21" s="1656"/>
      <c r="E21" s="1657"/>
      <c r="F21" s="1658">
        <f>SUM(F18:F20)</f>
        <v>111037.15184503297</v>
      </c>
      <c r="G21" s="1612"/>
      <c r="K21" s="1612"/>
      <c r="L21" s="1612"/>
      <c r="M21" s="1661"/>
    </row>
    <row r="22" spans="1:13" ht="15.75" thickTop="1">
      <c r="A22" s="1612"/>
      <c r="B22" s="1627" t="s">
        <v>348</v>
      </c>
      <c r="C22" s="1628" t="s">
        <v>205</v>
      </c>
      <c r="D22" s="2623">
        <f>I19</f>
        <v>1.8120393120392975E-2</v>
      </c>
      <c r="E22" s="1645"/>
      <c r="F22" s="1630">
        <f>F21*(D22+1)</f>
        <v>113049.18868743375</v>
      </c>
      <c r="G22" s="1612"/>
      <c r="K22" s="1612"/>
      <c r="L22" s="1612"/>
      <c r="M22" s="1661"/>
    </row>
    <row r="23" spans="1:13" ht="15">
      <c r="A23" s="1612"/>
      <c r="B23" s="1627" t="s">
        <v>440</v>
      </c>
      <c r="C23" s="1645"/>
      <c r="D23" s="1645"/>
      <c r="E23" s="1645"/>
      <c r="F23" s="1659">
        <v>35</v>
      </c>
      <c r="G23" s="1612"/>
      <c r="H23" s="1612"/>
      <c r="I23" s="2533"/>
      <c r="J23" s="1612"/>
      <c r="K23" s="1612"/>
      <c r="L23" s="1612"/>
      <c r="M23" s="1661"/>
    </row>
    <row r="24" spans="1:13" ht="15.75" thickBot="1">
      <c r="A24" s="1612"/>
      <c r="B24" s="1636" t="s">
        <v>441</v>
      </c>
      <c r="C24" s="1639"/>
      <c r="D24" s="1639"/>
      <c r="E24" s="1639"/>
      <c r="F24" s="1660">
        <f>(F22/F23)/12</f>
        <v>269.16473497008036</v>
      </c>
      <c r="H24" s="1612"/>
      <c r="I24" s="1612"/>
      <c r="J24" s="1612"/>
      <c r="K24" s="1612"/>
      <c r="L24" s="1612"/>
      <c r="M24" s="1661"/>
    </row>
    <row r="25" spans="1:13" ht="15">
      <c r="A25" s="1612"/>
      <c r="B25" s="1612"/>
      <c r="C25" s="1612"/>
      <c r="D25" s="1612"/>
      <c r="E25" s="1612"/>
      <c r="F25" s="1612"/>
      <c r="G25" s="2380"/>
      <c r="H25" s="1612"/>
      <c r="I25" s="1612"/>
      <c r="J25" s="1612"/>
      <c r="K25" s="1612"/>
      <c r="L25" s="1612"/>
      <c r="M25" s="1661"/>
    </row>
    <row r="26" spans="1:13" ht="15">
      <c r="A26" s="1612"/>
      <c r="B26" s="1612"/>
      <c r="C26" s="1612"/>
      <c r="D26" s="1612"/>
      <c r="E26" s="1612"/>
      <c r="F26" s="1612"/>
      <c r="G26" s="1887"/>
      <c r="H26" s="1612"/>
      <c r="I26" s="1612"/>
      <c r="J26" s="1612"/>
      <c r="K26" s="1612"/>
      <c r="L26" s="1612"/>
      <c r="M26" s="1661"/>
    </row>
    <row r="27" spans="1:13">
      <c r="A27" s="1612"/>
      <c r="H27" s="1612"/>
      <c r="I27" s="1612"/>
      <c r="J27" s="1612"/>
      <c r="K27" s="1612"/>
      <c r="L27" s="1612"/>
    </row>
    <row r="28" spans="1:13">
      <c r="A28" s="1612"/>
      <c r="B28" s="1612"/>
      <c r="C28" s="1612"/>
      <c r="D28" s="1612"/>
      <c r="E28" s="1612"/>
      <c r="F28" s="1612"/>
      <c r="G28" s="1612"/>
      <c r="H28" s="1612"/>
      <c r="I28" s="1612"/>
      <c r="J28" s="1612"/>
      <c r="K28" s="1612"/>
      <c r="L28" s="1612"/>
    </row>
    <row r="29" spans="1:13">
      <c r="A29" s="1612"/>
      <c r="H29" s="1612"/>
      <c r="I29" s="1612"/>
      <c r="J29" s="1612"/>
      <c r="K29" s="1612"/>
      <c r="L29" s="1612"/>
    </row>
    <row r="30" spans="1:13">
      <c r="A30" s="1612"/>
      <c r="H30" s="1612"/>
      <c r="I30" s="1612"/>
      <c r="J30" s="1612"/>
      <c r="K30" s="1612"/>
      <c r="L30" s="1612"/>
    </row>
    <row r="31" spans="1:13">
      <c r="H31" s="1612"/>
      <c r="I31" s="1612"/>
      <c r="J31" s="1612"/>
    </row>
    <row r="32" spans="1:13">
      <c r="H32" s="1612"/>
      <c r="I32" s="1612"/>
      <c r="J32" s="1612"/>
    </row>
    <row r="33" spans="8:10">
      <c r="H33" s="1612"/>
      <c r="I33" s="1612"/>
      <c r="J33" s="1612"/>
    </row>
    <row r="34" spans="8:10">
      <c r="H34" s="1612"/>
      <c r="I34" s="1612"/>
      <c r="J34" s="1612"/>
    </row>
  </sheetData>
  <customSheetViews>
    <customSheetView guid="{4C1AD9FE-DB97-4D30-8CF1-D476DD376A5A}" showGridLines="0" fitToPage="1" hiddenColumns="1" topLeftCell="J1">
      <selection activeCell="R22" sqref="R22"/>
      <pageMargins left="0.75" right="0.75" top="1" bottom="1" header="0.5" footer="0.5"/>
      <printOptions gridLines="1"/>
      <pageSetup scale="92" orientation="landscape" verticalDpi="300" r:id="rId1"/>
      <headerFooter alignWithMargins="0">
        <oddHeader>&amp;F</oddHeader>
        <oddFooter>&amp;L&amp;"Arial,Bold"DRAFT&amp;RPage 10</oddFooter>
      </headerFooter>
    </customSheetView>
    <customSheetView guid="{6A16E15D-0E79-4250-8AEC-339F57F63027}" showGridLines="0" fitToPage="1" hiddenColumns="1" topLeftCell="J1">
      <selection activeCell="R22" sqref="R22"/>
      <pageMargins left="0.75" right="0.75" top="1" bottom="1" header="0.5" footer="0.5"/>
      <printOptions gridLines="1"/>
      <pageSetup scale="92" orientation="landscape" verticalDpi="300" r:id="rId2"/>
      <headerFooter alignWithMargins="0">
        <oddHeader>&amp;F</oddHeader>
        <oddFooter>&amp;L&amp;"Arial,Bold"DRAFT&amp;RPage 10</oddFooter>
      </headerFooter>
    </customSheetView>
  </customSheetViews>
  <mergeCells count="4">
    <mergeCell ref="H5:I5"/>
    <mergeCell ref="B6:C6"/>
    <mergeCell ref="H8:J8"/>
    <mergeCell ref="H4:J4"/>
  </mergeCells>
  <pageMargins left="0.75" right="0.75" top="1" bottom="1" header="0.5" footer="0.5"/>
  <pageSetup scale="67" orientation="landscape" r:id="rId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topLeftCell="G19" zoomScale="80" zoomScaleNormal="80" workbookViewId="0">
      <selection activeCell="S52" sqref="S52"/>
    </sheetView>
  </sheetViews>
  <sheetFormatPr defaultRowHeight="18"/>
  <cols>
    <col min="1" max="1" width="36.140625" style="952" hidden="1" customWidth="1"/>
    <col min="2" max="2" width="28.140625" style="952" hidden="1" customWidth="1"/>
    <col min="3" max="3" width="10.7109375" style="952" hidden="1" customWidth="1"/>
    <col min="4" max="4" width="8.7109375" style="952" hidden="1" customWidth="1"/>
    <col min="5" max="5" width="10.140625" style="952" hidden="1" customWidth="1"/>
    <col min="6" max="6" width="19.5703125" style="952" hidden="1" customWidth="1"/>
    <col min="7" max="9" width="9.140625" style="952"/>
    <col min="10" max="10" width="1.7109375" style="952" customWidth="1"/>
    <col min="11" max="11" width="9.140625" style="952" hidden="1" customWidth="1"/>
    <col min="12" max="12" width="25.28515625" style="952" customWidth="1"/>
    <col min="13" max="13" width="12.28515625" style="952" bestFit="1" customWidth="1"/>
    <col min="14" max="14" width="7.5703125" style="952" bestFit="1" customWidth="1"/>
    <col min="15" max="15" width="20.140625" style="952" bestFit="1" customWidth="1"/>
    <col min="16" max="16" width="11.7109375" style="952" customWidth="1"/>
    <col min="17" max="17" width="24.140625" style="952" customWidth="1"/>
    <col min="18" max="18" width="12.28515625" style="952" bestFit="1" customWidth="1"/>
    <col min="19" max="19" width="9.28515625" style="952" customWidth="1"/>
    <col min="20" max="20" width="14" style="953" customWidth="1"/>
    <col min="21" max="21" width="8.7109375" style="952" customWidth="1"/>
    <col min="22" max="22" width="24.7109375" style="952" customWidth="1"/>
    <col min="23" max="23" width="12.28515625" style="952" bestFit="1" customWidth="1"/>
    <col min="24" max="24" width="10.140625" style="952" customWidth="1"/>
    <col min="25" max="25" width="14.7109375" style="952" customWidth="1"/>
    <col min="26" max="263" width="9.140625" style="952"/>
    <col min="264" max="264" width="36.140625" style="952" customWidth="1"/>
    <col min="265" max="265" width="28.140625" style="952" bestFit="1" customWidth="1"/>
    <col min="266" max="266" width="10.7109375" style="952" bestFit="1" customWidth="1"/>
    <col min="267" max="267" width="8.7109375" style="952" bestFit="1" customWidth="1"/>
    <col min="268" max="268" width="10.140625" style="952" bestFit="1" customWidth="1"/>
    <col min="269" max="269" width="19.5703125" style="952" customWidth="1"/>
    <col min="270" max="270" width="9.140625" style="952"/>
    <col min="271" max="271" width="22.85546875" style="952" bestFit="1" customWidth="1"/>
    <col min="272" max="272" width="28.140625" style="952" bestFit="1" customWidth="1"/>
    <col min="273" max="273" width="10.7109375" style="952" bestFit="1" customWidth="1"/>
    <col min="274" max="274" width="7" style="952" bestFit="1" customWidth="1"/>
    <col min="275" max="275" width="9.140625" style="952"/>
    <col min="276" max="276" width="15.5703125" style="952" bestFit="1" customWidth="1"/>
    <col min="277" max="277" width="9.140625" style="952"/>
    <col min="278" max="278" width="22.85546875" style="952" bestFit="1" customWidth="1"/>
    <col min="279" max="279" width="28.140625" style="952" bestFit="1" customWidth="1"/>
    <col min="280" max="280" width="10.7109375" style="952" bestFit="1" customWidth="1"/>
    <col min="281" max="281" width="7" style="952" bestFit="1" customWidth="1"/>
    <col min="282" max="519" width="9.140625" style="952"/>
    <col min="520" max="520" width="36.140625" style="952" customWidth="1"/>
    <col min="521" max="521" width="28.140625" style="952" bestFit="1" customWidth="1"/>
    <col min="522" max="522" width="10.7109375" style="952" bestFit="1" customWidth="1"/>
    <col min="523" max="523" width="8.7109375" style="952" bestFit="1" customWidth="1"/>
    <col min="524" max="524" width="10.140625" style="952" bestFit="1" customWidth="1"/>
    <col min="525" max="525" width="19.5703125" style="952" customWidth="1"/>
    <col min="526" max="526" width="9.140625" style="952"/>
    <col min="527" max="527" width="22.85546875" style="952" bestFit="1" customWidth="1"/>
    <col min="528" max="528" width="28.140625" style="952" bestFit="1" customWidth="1"/>
    <col min="529" max="529" width="10.7109375" style="952" bestFit="1" customWidth="1"/>
    <col min="530" max="530" width="7" style="952" bestFit="1" customWidth="1"/>
    <col min="531" max="531" width="9.140625" style="952"/>
    <col min="532" max="532" width="15.5703125" style="952" bestFit="1" customWidth="1"/>
    <col min="533" max="533" width="9.140625" style="952"/>
    <col min="534" max="534" width="22.85546875" style="952" bestFit="1" customWidth="1"/>
    <col min="535" max="535" width="28.140625" style="952" bestFit="1" customWidth="1"/>
    <col min="536" max="536" width="10.7109375" style="952" bestFit="1" customWidth="1"/>
    <col min="537" max="537" width="7" style="952" bestFit="1" customWidth="1"/>
    <col min="538" max="775" width="9.140625" style="952"/>
    <col min="776" max="776" width="36.140625" style="952" customWidth="1"/>
    <col min="777" max="777" width="28.140625" style="952" bestFit="1" customWidth="1"/>
    <col min="778" max="778" width="10.7109375" style="952" bestFit="1" customWidth="1"/>
    <col min="779" max="779" width="8.7109375" style="952" bestFit="1" customWidth="1"/>
    <col min="780" max="780" width="10.140625" style="952" bestFit="1" customWidth="1"/>
    <col min="781" max="781" width="19.5703125" style="952" customWidth="1"/>
    <col min="782" max="782" width="9.140625" style="952"/>
    <col min="783" max="783" width="22.85546875" style="952" bestFit="1" customWidth="1"/>
    <col min="784" max="784" width="28.140625" style="952" bestFit="1" customWidth="1"/>
    <col min="785" max="785" width="10.7109375" style="952" bestFit="1" customWidth="1"/>
    <col min="786" max="786" width="7" style="952" bestFit="1" customWidth="1"/>
    <col min="787" max="787" width="9.140625" style="952"/>
    <col min="788" max="788" width="15.5703125" style="952" bestFit="1" customWidth="1"/>
    <col min="789" max="789" width="9.140625" style="952"/>
    <col min="790" max="790" width="22.85546875" style="952" bestFit="1" customWidth="1"/>
    <col min="791" max="791" width="28.140625" style="952" bestFit="1" customWidth="1"/>
    <col min="792" max="792" width="10.7109375" style="952" bestFit="1" customWidth="1"/>
    <col min="793" max="793" width="7" style="952" bestFit="1" customWidth="1"/>
    <col min="794" max="1031" width="9.140625" style="952"/>
    <col min="1032" max="1032" width="36.140625" style="952" customWidth="1"/>
    <col min="1033" max="1033" width="28.140625" style="952" bestFit="1" customWidth="1"/>
    <col min="1034" max="1034" width="10.7109375" style="952" bestFit="1" customWidth="1"/>
    <col min="1035" max="1035" width="8.7109375" style="952" bestFit="1" customWidth="1"/>
    <col min="1036" max="1036" width="10.140625" style="952" bestFit="1" customWidth="1"/>
    <col min="1037" max="1037" width="19.5703125" style="952" customWidth="1"/>
    <col min="1038" max="1038" width="9.140625" style="952"/>
    <col min="1039" max="1039" width="22.85546875" style="952" bestFit="1" customWidth="1"/>
    <col min="1040" max="1040" width="28.140625" style="952" bestFit="1" customWidth="1"/>
    <col min="1041" max="1041" width="10.7109375" style="952" bestFit="1" customWidth="1"/>
    <col min="1042" max="1042" width="7" style="952" bestFit="1" customWidth="1"/>
    <col min="1043" max="1043" width="9.140625" style="952"/>
    <col min="1044" max="1044" width="15.5703125" style="952" bestFit="1" customWidth="1"/>
    <col min="1045" max="1045" width="9.140625" style="952"/>
    <col min="1046" max="1046" width="22.85546875" style="952" bestFit="1" customWidth="1"/>
    <col min="1047" max="1047" width="28.140625" style="952" bestFit="1" customWidth="1"/>
    <col min="1048" max="1048" width="10.7109375" style="952" bestFit="1" customWidth="1"/>
    <col min="1049" max="1049" width="7" style="952" bestFit="1" customWidth="1"/>
    <col min="1050" max="1287" width="9.140625" style="952"/>
    <col min="1288" max="1288" width="36.140625" style="952" customWidth="1"/>
    <col min="1289" max="1289" width="28.140625" style="952" bestFit="1" customWidth="1"/>
    <col min="1290" max="1290" width="10.7109375" style="952" bestFit="1" customWidth="1"/>
    <col min="1291" max="1291" width="8.7109375" style="952" bestFit="1" customWidth="1"/>
    <col min="1292" max="1292" width="10.140625" style="952" bestFit="1" customWidth="1"/>
    <col min="1293" max="1293" width="19.5703125" style="952" customWidth="1"/>
    <col min="1294" max="1294" width="9.140625" style="952"/>
    <col min="1295" max="1295" width="22.85546875" style="952" bestFit="1" customWidth="1"/>
    <col min="1296" max="1296" width="28.140625" style="952" bestFit="1" customWidth="1"/>
    <col min="1297" max="1297" width="10.7109375" style="952" bestFit="1" customWidth="1"/>
    <col min="1298" max="1298" width="7" style="952" bestFit="1" customWidth="1"/>
    <col min="1299" max="1299" width="9.140625" style="952"/>
    <col min="1300" max="1300" width="15.5703125" style="952" bestFit="1" customWidth="1"/>
    <col min="1301" max="1301" width="9.140625" style="952"/>
    <col min="1302" max="1302" width="22.85546875" style="952" bestFit="1" customWidth="1"/>
    <col min="1303" max="1303" width="28.140625" style="952" bestFit="1" customWidth="1"/>
    <col min="1304" max="1304" width="10.7109375" style="952" bestFit="1" customWidth="1"/>
    <col min="1305" max="1305" width="7" style="952" bestFit="1" customWidth="1"/>
    <col min="1306" max="1543" width="9.140625" style="952"/>
    <col min="1544" max="1544" width="36.140625" style="952" customWidth="1"/>
    <col min="1545" max="1545" width="28.140625" style="952" bestFit="1" customWidth="1"/>
    <col min="1546" max="1546" width="10.7109375" style="952" bestFit="1" customWidth="1"/>
    <col min="1547" max="1547" width="8.7109375" style="952" bestFit="1" customWidth="1"/>
    <col min="1548" max="1548" width="10.140625" style="952" bestFit="1" customWidth="1"/>
    <col min="1549" max="1549" width="19.5703125" style="952" customWidth="1"/>
    <col min="1550" max="1550" width="9.140625" style="952"/>
    <col min="1551" max="1551" width="22.85546875" style="952" bestFit="1" customWidth="1"/>
    <col min="1552" max="1552" width="28.140625" style="952" bestFit="1" customWidth="1"/>
    <col min="1553" max="1553" width="10.7109375" style="952" bestFit="1" customWidth="1"/>
    <col min="1554" max="1554" width="7" style="952" bestFit="1" customWidth="1"/>
    <col min="1555" max="1555" width="9.140625" style="952"/>
    <col min="1556" max="1556" width="15.5703125" style="952" bestFit="1" customWidth="1"/>
    <col min="1557" max="1557" width="9.140625" style="952"/>
    <col min="1558" max="1558" width="22.85546875" style="952" bestFit="1" customWidth="1"/>
    <col min="1559" max="1559" width="28.140625" style="952" bestFit="1" customWidth="1"/>
    <col min="1560" max="1560" width="10.7109375" style="952" bestFit="1" customWidth="1"/>
    <col min="1561" max="1561" width="7" style="952" bestFit="1" customWidth="1"/>
    <col min="1562" max="1799" width="9.140625" style="952"/>
    <col min="1800" max="1800" width="36.140625" style="952" customWidth="1"/>
    <col min="1801" max="1801" width="28.140625" style="952" bestFit="1" customWidth="1"/>
    <col min="1802" max="1802" width="10.7109375" style="952" bestFit="1" customWidth="1"/>
    <col min="1803" max="1803" width="8.7109375" style="952" bestFit="1" customWidth="1"/>
    <col min="1804" max="1804" width="10.140625" style="952" bestFit="1" customWidth="1"/>
    <col min="1805" max="1805" width="19.5703125" style="952" customWidth="1"/>
    <col min="1806" max="1806" width="9.140625" style="952"/>
    <col min="1807" max="1807" width="22.85546875" style="952" bestFit="1" customWidth="1"/>
    <col min="1808" max="1808" width="28.140625" style="952" bestFit="1" customWidth="1"/>
    <col min="1809" max="1809" width="10.7109375" style="952" bestFit="1" customWidth="1"/>
    <col min="1810" max="1810" width="7" style="952" bestFit="1" customWidth="1"/>
    <col min="1811" max="1811" width="9.140625" style="952"/>
    <col min="1812" max="1812" width="15.5703125" style="952" bestFit="1" customWidth="1"/>
    <col min="1813" max="1813" width="9.140625" style="952"/>
    <col min="1814" max="1814" width="22.85546875" style="952" bestFit="1" customWidth="1"/>
    <col min="1815" max="1815" width="28.140625" style="952" bestFit="1" customWidth="1"/>
    <col min="1816" max="1816" width="10.7109375" style="952" bestFit="1" customWidth="1"/>
    <col min="1817" max="1817" width="7" style="952" bestFit="1" customWidth="1"/>
    <col min="1818" max="2055" width="9.140625" style="952"/>
    <col min="2056" max="2056" width="36.140625" style="952" customWidth="1"/>
    <col min="2057" max="2057" width="28.140625" style="952" bestFit="1" customWidth="1"/>
    <col min="2058" max="2058" width="10.7109375" style="952" bestFit="1" customWidth="1"/>
    <col min="2059" max="2059" width="8.7109375" style="952" bestFit="1" customWidth="1"/>
    <col min="2060" max="2060" width="10.140625" style="952" bestFit="1" customWidth="1"/>
    <col min="2061" max="2061" width="19.5703125" style="952" customWidth="1"/>
    <col min="2062" max="2062" width="9.140625" style="952"/>
    <col min="2063" max="2063" width="22.85546875" style="952" bestFit="1" customWidth="1"/>
    <col min="2064" max="2064" width="28.140625" style="952" bestFit="1" customWidth="1"/>
    <col min="2065" max="2065" width="10.7109375" style="952" bestFit="1" customWidth="1"/>
    <col min="2066" max="2066" width="7" style="952" bestFit="1" customWidth="1"/>
    <col min="2067" max="2067" width="9.140625" style="952"/>
    <col min="2068" max="2068" width="15.5703125" style="952" bestFit="1" customWidth="1"/>
    <col min="2069" max="2069" width="9.140625" style="952"/>
    <col min="2070" max="2070" width="22.85546875" style="952" bestFit="1" customWidth="1"/>
    <col min="2071" max="2071" width="28.140625" style="952" bestFit="1" customWidth="1"/>
    <col min="2072" max="2072" width="10.7109375" style="952" bestFit="1" customWidth="1"/>
    <col min="2073" max="2073" width="7" style="952" bestFit="1" customWidth="1"/>
    <col min="2074" max="2311" width="9.140625" style="952"/>
    <col min="2312" max="2312" width="36.140625" style="952" customWidth="1"/>
    <col min="2313" max="2313" width="28.140625" style="952" bestFit="1" customWidth="1"/>
    <col min="2314" max="2314" width="10.7109375" style="952" bestFit="1" customWidth="1"/>
    <col min="2315" max="2315" width="8.7109375" style="952" bestFit="1" customWidth="1"/>
    <col min="2316" max="2316" width="10.140625" style="952" bestFit="1" customWidth="1"/>
    <col min="2317" max="2317" width="19.5703125" style="952" customWidth="1"/>
    <col min="2318" max="2318" width="9.140625" style="952"/>
    <col min="2319" max="2319" width="22.85546875" style="952" bestFit="1" customWidth="1"/>
    <col min="2320" max="2320" width="28.140625" style="952" bestFit="1" customWidth="1"/>
    <col min="2321" max="2321" width="10.7109375" style="952" bestFit="1" customWidth="1"/>
    <col min="2322" max="2322" width="7" style="952" bestFit="1" customWidth="1"/>
    <col min="2323" max="2323" width="9.140625" style="952"/>
    <col min="2324" max="2324" width="15.5703125" style="952" bestFit="1" customWidth="1"/>
    <col min="2325" max="2325" width="9.140625" style="952"/>
    <col min="2326" max="2326" width="22.85546875" style="952" bestFit="1" customWidth="1"/>
    <col min="2327" max="2327" width="28.140625" style="952" bestFit="1" customWidth="1"/>
    <col min="2328" max="2328" width="10.7109375" style="952" bestFit="1" customWidth="1"/>
    <col min="2329" max="2329" width="7" style="952" bestFit="1" customWidth="1"/>
    <col min="2330" max="2567" width="9.140625" style="952"/>
    <col min="2568" max="2568" width="36.140625" style="952" customWidth="1"/>
    <col min="2569" max="2569" width="28.140625" style="952" bestFit="1" customWidth="1"/>
    <col min="2570" max="2570" width="10.7109375" style="952" bestFit="1" customWidth="1"/>
    <col min="2571" max="2571" width="8.7109375" style="952" bestFit="1" customWidth="1"/>
    <col min="2572" max="2572" width="10.140625" style="952" bestFit="1" customWidth="1"/>
    <col min="2573" max="2573" width="19.5703125" style="952" customWidth="1"/>
    <col min="2574" max="2574" width="9.140625" style="952"/>
    <col min="2575" max="2575" width="22.85546875" style="952" bestFit="1" customWidth="1"/>
    <col min="2576" max="2576" width="28.140625" style="952" bestFit="1" customWidth="1"/>
    <col min="2577" max="2577" width="10.7109375" style="952" bestFit="1" customWidth="1"/>
    <col min="2578" max="2578" width="7" style="952" bestFit="1" customWidth="1"/>
    <col min="2579" max="2579" width="9.140625" style="952"/>
    <col min="2580" max="2580" width="15.5703125" style="952" bestFit="1" customWidth="1"/>
    <col min="2581" max="2581" width="9.140625" style="952"/>
    <col min="2582" max="2582" width="22.85546875" style="952" bestFit="1" customWidth="1"/>
    <col min="2583" max="2583" width="28.140625" style="952" bestFit="1" customWidth="1"/>
    <col min="2584" max="2584" width="10.7109375" style="952" bestFit="1" customWidth="1"/>
    <col min="2585" max="2585" width="7" style="952" bestFit="1" customWidth="1"/>
    <col min="2586" max="2823" width="9.140625" style="952"/>
    <col min="2824" max="2824" width="36.140625" style="952" customWidth="1"/>
    <col min="2825" max="2825" width="28.140625" style="952" bestFit="1" customWidth="1"/>
    <col min="2826" max="2826" width="10.7109375" style="952" bestFit="1" customWidth="1"/>
    <col min="2827" max="2827" width="8.7109375" style="952" bestFit="1" customWidth="1"/>
    <col min="2828" max="2828" width="10.140625" style="952" bestFit="1" customWidth="1"/>
    <col min="2829" max="2829" width="19.5703125" style="952" customWidth="1"/>
    <col min="2830" max="2830" width="9.140625" style="952"/>
    <col min="2831" max="2831" width="22.85546875" style="952" bestFit="1" customWidth="1"/>
    <col min="2832" max="2832" width="28.140625" style="952" bestFit="1" customWidth="1"/>
    <col min="2833" max="2833" width="10.7109375" style="952" bestFit="1" customWidth="1"/>
    <col min="2834" max="2834" width="7" style="952" bestFit="1" customWidth="1"/>
    <col min="2835" max="2835" width="9.140625" style="952"/>
    <col min="2836" max="2836" width="15.5703125" style="952" bestFit="1" customWidth="1"/>
    <col min="2837" max="2837" width="9.140625" style="952"/>
    <col min="2838" max="2838" width="22.85546875" style="952" bestFit="1" customWidth="1"/>
    <col min="2839" max="2839" width="28.140625" style="952" bestFit="1" customWidth="1"/>
    <col min="2840" max="2840" width="10.7109375" style="952" bestFit="1" customWidth="1"/>
    <col min="2841" max="2841" width="7" style="952" bestFit="1" customWidth="1"/>
    <col min="2842" max="3079" width="9.140625" style="952"/>
    <col min="3080" max="3080" width="36.140625" style="952" customWidth="1"/>
    <col min="3081" max="3081" width="28.140625" style="952" bestFit="1" customWidth="1"/>
    <col min="3082" max="3082" width="10.7109375" style="952" bestFit="1" customWidth="1"/>
    <col min="3083" max="3083" width="8.7109375" style="952" bestFit="1" customWidth="1"/>
    <col min="3084" max="3084" width="10.140625" style="952" bestFit="1" customWidth="1"/>
    <col min="3085" max="3085" width="19.5703125" style="952" customWidth="1"/>
    <col min="3086" max="3086" width="9.140625" style="952"/>
    <col min="3087" max="3087" width="22.85546875" style="952" bestFit="1" customWidth="1"/>
    <col min="3088" max="3088" width="28.140625" style="952" bestFit="1" customWidth="1"/>
    <col min="3089" max="3089" width="10.7109375" style="952" bestFit="1" customWidth="1"/>
    <col min="3090" max="3090" width="7" style="952" bestFit="1" customWidth="1"/>
    <col min="3091" max="3091" width="9.140625" style="952"/>
    <col min="3092" max="3092" width="15.5703125" style="952" bestFit="1" customWidth="1"/>
    <col min="3093" max="3093" width="9.140625" style="952"/>
    <col min="3094" max="3094" width="22.85546875" style="952" bestFit="1" customWidth="1"/>
    <col min="3095" max="3095" width="28.140625" style="952" bestFit="1" customWidth="1"/>
    <col min="3096" max="3096" width="10.7109375" style="952" bestFit="1" customWidth="1"/>
    <col min="3097" max="3097" width="7" style="952" bestFit="1" customWidth="1"/>
    <col min="3098" max="3335" width="9.140625" style="952"/>
    <col min="3336" max="3336" width="36.140625" style="952" customWidth="1"/>
    <col min="3337" max="3337" width="28.140625" style="952" bestFit="1" customWidth="1"/>
    <col min="3338" max="3338" width="10.7109375" style="952" bestFit="1" customWidth="1"/>
    <col min="3339" max="3339" width="8.7109375" style="952" bestFit="1" customWidth="1"/>
    <col min="3340" max="3340" width="10.140625" style="952" bestFit="1" customWidth="1"/>
    <col min="3341" max="3341" width="19.5703125" style="952" customWidth="1"/>
    <col min="3342" max="3342" width="9.140625" style="952"/>
    <col min="3343" max="3343" width="22.85546875" style="952" bestFit="1" customWidth="1"/>
    <col min="3344" max="3344" width="28.140625" style="952" bestFit="1" customWidth="1"/>
    <col min="3345" max="3345" width="10.7109375" style="952" bestFit="1" customWidth="1"/>
    <col min="3346" max="3346" width="7" style="952" bestFit="1" customWidth="1"/>
    <col min="3347" max="3347" width="9.140625" style="952"/>
    <col min="3348" max="3348" width="15.5703125" style="952" bestFit="1" customWidth="1"/>
    <col min="3349" max="3349" width="9.140625" style="952"/>
    <col min="3350" max="3350" width="22.85546875" style="952" bestFit="1" customWidth="1"/>
    <col min="3351" max="3351" width="28.140625" style="952" bestFit="1" customWidth="1"/>
    <col min="3352" max="3352" width="10.7109375" style="952" bestFit="1" customWidth="1"/>
    <col min="3353" max="3353" width="7" style="952" bestFit="1" customWidth="1"/>
    <col min="3354" max="3591" width="9.140625" style="952"/>
    <col min="3592" max="3592" width="36.140625" style="952" customWidth="1"/>
    <col min="3593" max="3593" width="28.140625" style="952" bestFit="1" customWidth="1"/>
    <col min="3594" max="3594" width="10.7109375" style="952" bestFit="1" customWidth="1"/>
    <col min="3595" max="3595" width="8.7109375" style="952" bestFit="1" customWidth="1"/>
    <col min="3596" max="3596" width="10.140625" style="952" bestFit="1" customWidth="1"/>
    <col min="3597" max="3597" width="19.5703125" style="952" customWidth="1"/>
    <col min="3598" max="3598" width="9.140625" style="952"/>
    <col min="3599" max="3599" width="22.85546875" style="952" bestFit="1" customWidth="1"/>
    <col min="3600" max="3600" width="28.140625" style="952" bestFit="1" customWidth="1"/>
    <col min="3601" max="3601" width="10.7109375" style="952" bestFit="1" customWidth="1"/>
    <col min="3602" max="3602" width="7" style="952" bestFit="1" customWidth="1"/>
    <col min="3603" max="3603" width="9.140625" style="952"/>
    <col min="3604" max="3604" width="15.5703125" style="952" bestFit="1" customWidth="1"/>
    <col min="3605" max="3605" width="9.140625" style="952"/>
    <col min="3606" max="3606" width="22.85546875" style="952" bestFit="1" customWidth="1"/>
    <col min="3607" max="3607" width="28.140625" style="952" bestFit="1" customWidth="1"/>
    <col min="3608" max="3608" width="10.7109375" style="952" bestFit="1" customWidth="1"/>
    <col min="3609" max="3609" width="7" style="952" bestFit="1" customWidth="1"/>
    <col min="3610" max="3847" width="9.140625" style="952"/>
    <col min="3848" max="3848" width="36.140625" style="952" customWidth="1"/>
    <col min="3849" max="3849" width="28.140625" style="952" bestFit="1" customWidth="1"/>
    <col min="3850" max="3850" width="10.7109375" style="952" bestFit="1" customWidth="1"/>
    <col min="3851" max="3851" width="8.7109375" style="952" bestFit="1" customWidth="1"/>
    <col min="3852" max="3852" width="10.140625" style="952" bestFit="1" customWidth="1"/>
    <col min="3853" max="3853" width="19.5703125" style="952" customWidth="1"/>
    <col min="3854" max="3854" width="9.140625" style="952"/>
    <col min="3855" max="3855" width="22.85546875" style="952" bestFit="1" customWidth="1"/>
    <col min="3856" max="3856" width="28.140625" style="952" bestFit="1" customWidth="1"/>
    <col min="3857" max="3857" width="10.7109375" style="952" bestFit="1" customWidth="1"/>
    <col min="3858" max="3858" width="7" style="952" bestFit="1" customWidth="1"/>
    <col min="3859" max="3859" width="9.140625" style="952"/>
    <col min="3860" max="3860" width="15.5703125" style="952" bestFit="1" customWidth="1"/>
    <col min="3861" max="3861" width="9.140625" style="952"/>
    <col min="3862" max="3862" width="22.85546875" style="952" bestFit="1" customWidth="1"/>
    <col min="3863" max="3863" width="28.140625" style="952" bestFit="1" customWidth="1"/>
    <col min="3864" max="3864" width="10.7109375" style="952" bestFit="1" customWidth="1"/>
    <col min="3865" max="3865" width="7" style="952" bestFit="1" customWidth="1"/>
    <col min="3866" max="4103" width="9.140625" style="952"/>
    <col min="4104" max="4104" width="36.140625" style="952" customWidth="1"/>
    <col min="4105" max="4105" width="28.140625" style="952" bestFit="1" customWidth="1"/>
    <col min="4106" max="4106" width="10.7109375" style="952" bestFit="1" customWidth="1"/>
    <col min="4107" max="4107" width="8.7109375" style="952" bestFit="1" customWidth="1"/>
    <col min="4108" max="4108" width="10.140625" style="952" bestFit="1" customWidth="1"/>
    <col min="4109" max="4109" width="19.5703125" style="952" customWidth="1"/>
    <col min="4110" max="4110" width="9.140625" style="952"/>
    <col min="4111" max="4111" width="22.85546875" style="952" bestFit="1" customWidth="1"/>
    <col min="4112" max="4112" width="28.140625" style="952" bestFit="1" customWidth="1"/>
    <col min="4113" max="4113" width="10.7109375" style="952" bestFit="1" customWidth="1"/>
    <col min="4114" max="4114" width="7" style="952" bestFit="1" customWidth="1"/>
    <col min="4115" max="4115" width="9.140625" style="952"/>
    <col min="4116" max="4116" width="15.5703125" style="952" bestFit="1" customWidth="1"/>
    <col min="4117" max="4117" width="9.140625" style="952"/>
    <col min="4118" max="4118" width="22.85546875" style="952" bestFit="1" customWidth="1"/>
    <col min="4119" max="4119" width="28.140625" style="952" bestFit="1" customWidth="1"/>
    <col min="4120" max="4120" width="10.7109375" style="952" bestFit="1" customWidth="1"/>
    <col min="4121" max="4121" width="7" style="952" bestFit="1" customWidth="1"/>
    <col min="4122" max="4359" width="9.140625" style="952"/>
    <col min="4360" max="4360" width="36.140625" style="952" customWidth="1"/>
    <col min="4361" max="4361" width="28.140625" style="952" bestFit="1" customWidth="1"/>
    <col min="4362" max="4362" width="10.7109375" style="952" bestFit="1" customWidth="1"/>
    <col min="4363" max="4363" width="8.7109375" style="952" bestFit="1" customWidth="1"/>
    <col min="4364" max="4364" width="10.140625" style="952" bestFit="1" customWidth="1"/>
    <col min="4365" max="4365" width="19.5703125" style="952" customWidth="1"/>
    <col min="4366" max="4366" width="9.140625" style="952"/>
    <col min="4367" max="4367" width="22.85546875" style="952" bestFit="1" customWidth="1"/>
    <col min="4368" max="4368" width="28.140625" style="952" bestFit="1" customWidth="1"/>
    <col min="4369" max="4369" width="10.7109375" style="952" bestFit="1" customWidth="1"/>
    <col min="4370" max="4370" width="7" style="952" bestFit="1" customWidth="1"/>
    <col min="4371" max="4371" width="9.140625" style="952"/>
    <col min="4372" max="4372" width="15.5703125" style="952" bestFit="1" customWidth="1"/>
    <col min="4373" max="4373" width="9.140625" style="952"/>
    <col min="4374" max="4374" width="22.85546875" style="952" bestFit="1" customWidth="1"/>
    <col min="4375" max="4375" width="28.140625" style="952" bestFit="1" customWidth="1"/>
    <col min="4376" max="4376" width="10.7109375" style="952" bestFit="1" customWidth="1"/>
    <col min="4377" max="4377" width="7" style="952" bestFit="1" customWidth="1"/>
    <col min="4378" max="4615" width="9.140625" style="952"/>
    <col min="4616" max="4616" width="36.140625" style="952" customWidth="1"/>
    <col min="4617" max="4617" width="28.140625" style="952" bestFit="1" customWidth="1"/>
    <col min="4618" max="4618" width="10.7109375" style="952" bestFit="1" customWidth="1"/>
    <col min="4619" max="4619" width="8.7109375" style="952" bestFit="1" customWidth="1"/>
    <col min="4620" max="4620" width="10.140625" style="952" bestFit="1" customWidth="1"/>
    <col min="4621" max="4621" width="19.5703125" style="952" customWidth="1"/>
    <col min="4622" max="4622" width="9.140625" style="952"/>
    <col min="4623" max="4623" width="22.85546875" style="952" bestFit="1" customWidth="1"/>
    <col min="4624" max="4624" width="28.140625" style="952" bestFit="1" customWidth="1"/>
    <col min="4625" max="4625" width="10.7109375" style="952" bestFit="1" customWidth="1"/>
    <col min="4626" max="4626" width="7" style="952" bestFit="1" customWidth="1"/>
    <col min="4627" max="4627" width="9.140625" style="952"/>
    <col min="4628" max="4628" width="15.5703125" style="952" bestFit="1" customWidth="1"/>
    <col min="4629" max="4629" width="9.140625" style="952"/>
    <col min="4630" max="4630" width="22.85546875" style="952" bestFit="1" customWidth="1"/>
    <col min="4631" max="4631" width="28.140625" style="952" bestFit="1" customWidth="1"/>
    <col min="4632" max="4632" width="10.7109375" style="952" bestFit="1" customWidth="1"/>
    <col min="4633" max="4633" width="7" style="952" bestFit="1" customWidth="1"/>
    <col min="4634" max="4871" width="9.140625" style="952"/>
    <col min="4872" max="4872" width="36.140625" style="952" customWidth="1"/>
    <col min="4873" max="4873" width="28.140625" style="952" bestFit="1" customWidth="1"/>
    <col min="4874" max="4874" width="10.7109375" style="952" bestFit="1" customWidth="1"/>
    <col min="4875" max="4875" width="8.7109375" style="952" bestFit="1" customWidth="1"/>
    <col min="4876" max="4876" width="10.140625" style="952" bestFit="1" customWidth="1"/>
    <col min="4877" max="4877" width="19.5703125" style="952" customWidth="1"/>
    <col min="4878" max="4878" width="9.140625" style="952"/>
    <col min="4879" max="4879" width="22.85546875" style="952" bestFit="1" customWidth="1"/>
    <col min="4880" max="4880" width="28.140625" style="952" bestFit="1" customWidth="1"/>
    <col min="4881" max="4881" width="10.7109375" style="952" bestFit="1" customWidth="1"/>
    <col min="4882" max="4882" width="7" style="952" bestFit="1" customWidth="1"/>
    <col min="4883" max="4883" width="9.140625" style="952"/>
    <col min="4884" max="4884" width="15.5703125" style="952" bestFit="1" customWidth="1"/>
    <col min="4885" max="4885" width="9.140625" style="952"/>
    <col min="4886" max="4886" width="22.85546875" style="952" bestFit="1" customWidth="1"/>
    <col min="4887" max="4887" width="28.140625" style="952" bestFit="1" customWidth="1"/>
    <col min="4888" max="4888" width="10.7109375" style="952" bestFit="1" customWidth="1"/>
    <col min="4889" max="4889" width="7" style="952" bestFit="1" customWidth="1"/>
    <col min="4890" max="5127" width="9.140625" style="952"/>
    <col min="5128" max="5128" width="36.140625" style="952" customWidth="1"/>
    <col min="5129" max="5129" width="28.140625" style="952" bestFit="1" customWidth="1"/>
    <col min="5130" max="5130" width="10.7109375" style="952" bestFit="1" customWidth="1"/>
    <col min="5131" max="5131" width="8.7109375" style="952" bestFit="1" customWidth="1"/>
    <col min="5132" max="5132" width="10.140625" style="952" bestFit="1" customWidth="1"/>
    <col min="5133" max="5133" width="19.5703125" style="952" customWidth="1"/>
    <col min="5134" max="5134" width="9.140625" style="952"/>
    <col min="5135" max="5135" width="22.85546875" style="952" bestFit="1" customWidth="1"/>
    <col min="5136" max="5136" width="28.140625" style="952" bestFit="1" customWidth="1"/>
    <col min="5137" max="5137" width="10.7109375" style="952" bestFit="1" customWidth="1"/>
    <col min="5138" max="5138" width="7" style="952" bestFit="1" customWidth="1"/>
    <col min="5139" max="5139" width="9.140625" style="952"/>
    <col min="5140" max="5140" width="15.5703125" style="952" bestFit="1" customWidth="1"/>
    <col min="5141" max="5141" width="9.140625" style="952"/>
    <col min="5142" max="5142" width="22.85546875" style="952" bestFit="1" customWidth="1"/>
    <col min="5143" max="5143" width="28.140625" style="952" bestFit="1" customWidth="1"/>
    <col min="5144" max="5144" width="10.7109375" style="952" bestFit="1" customWidth="1"/>
    <col min="5145" max="5145" width="7" style="952" bestFit="1" customWidth="1"/>
    <col min="5146" max="5383" width="9.140625" style="952"/>
    <col min="5384" max="5384" width="36.140625" style="952" customWidth="1"/>
    <col min="5385" max="5385" width="28.140625" style="952" bestFit="1" customWidth="1"/>
    <col min="5386" max="5386" width="10.7109375" style="952" bestFit="1" customWidth="1"/>
    <col min="5387" max="5387" width="8.7109375" style="952" bestFit="1" customWidth="1"/>
    <col min="5388" max="5388" width="10.140625" style="952" bestFit="1" customWidth="1"/>
    <col min="5389" max="5389" width="19.5703125" style="952" customWidth="1"/>
    <col min="5390" max="5390" width="9.140625" style="952"/>
    <col min="5391" max="5391" width="22.85546875" style="952" bestFit="1" customWidth="1"/>
    <col min="5392" max="5392" width="28.140625" style="952" bestFit="1" customWidth="1"/>
    <col min="5393" max="5393" width="10.7109375" style="952" bestFit="1" customWidth="1"/>
    <col min="5394" max="5394" width="7" style="952" bestFit="1" customWidth="1"/>
    <col min="5395" max="5395" width="9.140625" style="952"/>
    <col min="5396" max="5396" width="15.5703125" style="952" bestFit="1" customWidth="1"/>
    <col min="5397" max="5397" width="9.140625" style="952"/>
    <col min="5398" max="5398" width="22.85546875" style="952" bestFit="1" customWidth="1"/>
    <col min="5399" max="5399" width="28.140625" style="952" bestFit="1" customWidth="1"/>
    <col min="5400" max="5400" width="10.7109375" style="952" bestFit="1" customWidth="1"/>
    <col min="5401" max="5401" width="7" style="952" bestFit="1" customWidth="1"/>
    <col min="5402" max="5639" width="9.140625" style="952"/>
    <col min="5640" max="5640" width="36.140625" style="952" customWidth="1"/>
    <col min="5641" max="5641" width="28.140625" style="952" bestFit="1" customWidth="1"/>
    <col min="5642" max="5642" width="10.7109375" style="952" bestFit="1" customWidth="1"/>
    <col min="5643" max="5643" width="8.7109375" style="952" bestFit="1" customWidth="1"/>
    <col min="5644" max="5644" width="10.140625" style="952" bestFit="1" customWidth="1"/>
    <col min="5645" max="5645" width="19.5703125" style="952" customWidth="1"/>
    <col min="5646" max="5646" width="9.140625" style="952"/>
    <col min="5647" max="5647" width="22.85546875" style="952" bestFit="1" customWidth="1"/>
    <col min="5648" max="5648" width="28.140625" style="952" bestFit="1" customWidth="1"/>
    <col min="5649" max="5649" width="10.7109375" style="952" bestFit="1" customWidth="1"/>
    <col min="5650" max="5650" width="7" style="952" bestFit="1" customWidth="1"/>
    <col min="5651" max="5651" width="9.140625" style="952"/>
    <col min="5652" max="5652" width="15.5703125" style="952" bestFit="1" customWidth="1"/>
    <col min="5653" max="5653" width="9.140625" style="952"/>
    <col min="5654" max="5654" width="22.85546875" style="952" bestFit="1" customWidth="1"/>
    <col min="5655" max="5655" width="28.140625" style="952" bestFit="1" customWidth="1"/>
    <col min="5656" max="5656" width="10.7109375" style="952" bestFit="1" customWidth="1"/>
    <col min="5657" max="5657" width="7" style="952" bestFit="1" customWidth="1"/>
    <col min="5658" max="5895" width="9.140625" style="952"/>
    <col min="5896" max="5896" width="36.140625" style="952" customWidth="1"/>
    <col min="5897" max="5897" width="28.140625" style="952" bestFit="1" customWidth="1"/>
    <col min="5898" max="5898" width="10.7109375" style="952" bestFit="1" customWidth="1"/>
    <col min="5899" max="5899" width="8.7109375" style="952" bestFit="1" customWidth="1"/>
    <col min="5900" max="5900" width="10.140625" style="952" bestFit="1" customWidth="1"/>
    <col min="5901" max="5901" width="19.5703125" style="952" customWidth="1"/>
    <col min="5902" max="5902" width="9.140625" style="952"/>
    <col min="5903" max="5903" width="22.85546875" style="952" bestFit="1" customWidth="1"/>
    <col min="5904" max="5904" width="28.140625" style="952" bestFit="1" customWidth="1"/>
    <col min="5905" max="5905" width="10.7109375" style="952" bestFit="1" customWidth="1"/>
    <col min="5906" max="5906" width="7" style="952" bestFit="1" customWidth="1"/>
    <col min="5907" max="5907" width="9.140625" style="952"/>
    <col min="5908" max="5908" width="15.5703125" style="952" bestFit="1" customWidth="1"/>
    <col min="5909" max="5909" width="9.140625" style="952"/>
    <col min="5910" max="5910" width="22.85546875" style="952" bestFit="1" customWidth="1"/>
    <col min="5911" max="5911" width="28.140625" style="952" bestFit="1" customWidth="1"/>
    <col min="5912" max="5912" width="10.7109375" style="952" bestFit="1" customWidth="1"/>
    <col min="5913" max="5913" width="7" style="952" bestFit="1" customWidth="1"/>
    <col min="5914" max="6151" width="9.140625" style="952"/>
    <col min="6152" max="6152" width="36.140625" style="952" customWidth="1"/>
    <col min="6153" max="6153" width="28.140625" style="952" bestFit="1" customWidth="1"/>
    <col min="6154" max="6154" width="10.7109375" style="952" bestFit="1" customWidth="1"/>
    <col min="6155" max="6155" width="8.7109375" style="952" bestFit="1" customWidth="1"/>
    <col min="6156" max="6156" width="10.140625" style="952" bestFit="1" customWidth="1"/>
    <col min="6157" max="6157" width="19.5703125" style="952" customWidth="1"/>
    <col min="6158" max="6158" width="9.140625" style="952"/>
    <col min="6159" max="6159" width="22.85546875" style="952" bestFit="1" customWidth="1"/>
    <col min="6160" max="6160" width="28.140625" style="952" bestFit="1" customWidth="1"/>
    <col min="6161" max="6161" width="10.7109375" style="952" bestFit="1" customWidth="1"/>
    <col min="6162" max="6162" width="7" style="952" bestFit="1" customWidth="1"/>
    <col min="6163" max="6163" width="9.140625" style="952"/>
    <col min="6164" max="6164" width="15.5703125" style="952" bestFit="1" customWidth="1"/>
    <col min="6165" max="6165" width="9.140625" style="952"/>
    <col min="6166" max="6166" width="22.85546875" style="952" bestFit="1" customWidth="1"/>
    <col min="6167" max="6167" width="28.140625" style="952" bestFit="1" customWidth="1"/>
    <col min="6168" max="6168" width="10.7109375" style="952" bestFit="1" customWidth="1"/>
    <col min="6169" max="6169" width="7" style="952" bestFit="1" customWidth="1"/>
    <col min="6170" max="6407" width="9.140625" style="952"/>
    <col min="6408" max="6408" width="36.140625" style="952" customWidth="1"/>
    <col min="6409" max="6409" width="28.140625" style="952" bestFit="1" customWidth="1"/>
    <col min="6410" max="6410" width="10.7109375" style="952" bestFit="1" customWidth="1"/>
    <col min="6411" max="6411" width="8.7109375" style="952" bestFit="1" customWidth="1"/>
    <col min="6412" max="6412" width="10.140625" style="952" bestFit="1" customWidth="1"/>
    <col min="6413" max="6413" width="19.5703125" style="952" customWidth="1"/>
    <col min="6414" max="6414" width="9.140625" style="952"/>
    <col min="6415" max="6415" width="22.85546875" style="952" bestFit="1" customWidth="1"/>
    <col min="6416" max="6416" width="28.140625" style="952" bestFit="1" customWidth="1"/>
    <col min="6417" max="6417" width="10.7109375" style="952" bestFit="1" customWidth="1"/>
    <col min="6418" max="6418" width="7" style="952" bestFit="1" customWidth="1"/>
    <col min="6419" max="6419" width="9.140625" style="952"/>
    <col min="6420" max="6420" width="15.5703125" style="952" bestFit="1" customWidth="1"/>
    <col min="6421" max="6421" width="9.140625" style="952"/>
    <col min="6422" max="6422" width="22.85546875" style="952" bestFit="1" customWidth="1"/>
    <col min="6423" max="6423" width="28.140625" style="952" bestFit="1" customWidth="1"/>
    <col min="6424" max="6424" width="10.7109375" style="952" bestFit="1" customWidth="1"/>
    <col min="6425" max="6425" width="7" style="952" bestFit="1" customWidth="1"/>
    <col min="6426" max="6663" width="9.140625" style="952"/>
    <col min="6664" max="6664" width="36.140625" style="952" customWidth="1"/>
    <col min="6665" max="6665" width="28.140625" style="952" bestFit="1" customWidth="1"/>
    <col min="6666" max="6666" width="10.7109375" style="952" bestFit="1" customWidth="1"/>
    <col min="6667" max="6667" width="8.7109375" style="952" bestFit="1" customWidth="1"/>
    <col min="6668" max="6668" width="10.140625" style="952" bestFit="1" customWidth="1"/>
    <col min="6669" max="6669" width="19.5703125" style="952" customWidth="1"/>
    <col min="6670" max="6670" width="9.140625" style="952"/>
    <col min="6671" max="6671" width="22.85546875" style="952" bestFit="1" customWidth="1"/>
    <col min="6672" max="6672" width="28.140625" style="952" bestFit="1" customWidth="1"/>
    <col min="6673" max="6673" width="10.7109375" style="952" bestFit="1" customWidth="1"/>
    <col min="6674" max="6674" width="7" style="952" bestFit="1" customWidth="1"/>
    <col min="6675" max="6675" width="9.140625" style="952"/>
    <col min="6676" max="6676" width="15.5703125" style="952" bestFit="1" customWidth="1"/>
    <col min="6677" max="6677" width="9.140625" style="952"/>
    <col min="6678" max="6678" width="22.85546875" style="952" bestFit="1" customWidth="1"/>
    <col min="6679" max="6679" width="28.140625" style="952" bestFit="1" customWidth="1"/>
    <col min="6680" max="6680" width="10.7109375" style="952" bestFit="1" customWidth="1"/>
    <col min="6681" max="6681" width="7" style="952" bestFit="1" customWidth="1"/>
    <col min="6682" max="6919" width="9.140625" style="952"/>
    <col min="6920" max="6920" width="36.140625" style="952" customWidth="1"/>
    <col min="6921" max="6921" width="28.140625" style="952" bestFit="1" customWidth="1"/>
    <col min="6922" max="6922" width="10.7109375" style="952" bestFit="1" customWidth="1"/>
    <col min="6923" max="6923" width="8.7109375" style="952" bestFit="1" customWidth="1"/>
    <col min="6924" max="6924" width="10.140625" style="952" bestFit="1" customWidth="1"/>
    <col min="6925" max="6925" width="19.5703125" style="952" customWidth="1"/>
    <col min="6926" max="6926" width="9.140625" style="952"/>
    <col min="6927" max="6927" width="22.85546875" style="952" bestFit="1" customWidth="1"/>
    <col min="6928" max="6928" width="28.140625" style="952" bestFit="1" customWidth="1"/>
    <col min="6929" max="6929" width="10.7109375" style="952" bestFit="1" customWidth="1"/>
    <col min="6930" max="6930" width="7" style="952" bestFit="1" customWidth="1"/>
    <col min="6931" max="6931" width="9.140625" style="952"/>
    <col min="6932" max="6932" width="15.5703125" style="952" bestFit="1" customWidth="1"/>
    <col min="6933" max="6933" width="9.140625" style="952"/>
    <col min="6934" max="6934" width="22.85546875" style="952" bestFit="1" customWidth="1"/>
    <col min="6935" max="6935" width="28.140625" style="952" bestFit="1" customWidth="1"/>
    <col min="6936" max="6936" width="10.7109375" style="952" bestFit="1" customWidth="1"/>
    <col min="6937" max="6937" width="7" style="952" bestFit="1" customWidth="1"/>
    <col min="6938" max="7175" width="9.140625" style="952"/>
    <col min="7176" max="7176" width="36.140625" style="952" customWidth="1"/>
    <col min="7177" max="7177" width="28.140625" style="952" bestFit="1" customWidth="1"/>
    <col min="7178" max="7178" width="10.7109375" style="952" bestFit="1" customWidth="1"/>
    <col min="7179" max="7179" width="8.7109375" style="952" bestFit="1" customWidth="1"/>
    <col min="7180" max="7180" width="10.140625" style="952" bestFit="1" customWidth="1"/>
    <col min="7181" max="7181" width="19.5703125" style="952" customWidth="1"/>
    <col min="7182" max="7182" width="9.140625" style="952"/>
    <col min="7183" max="7183" width="22.85546875" style="952" bestFit="1" customWidth="1"/>
    <col min="7184" max="7184" width="28.140625" style="952" bestFit="1" customWidth="1"/>
    <col min="7185" max="7185" width="10.7109375" style="952" bestFit="1" customWidth="1"/>
    <col min="7186" max="7186" width="7" style="952" bestFit="1" customWidth="1"/>
    <col min="7187" max="7187" width="9.140625" style="952"/>
    <col min="7188" max="7188" width="15.5703125" style="952" bestFit="1" customWidth="1"/>
    <col min="7189" max="7189" width="9.140625" style="952"/>
    <col min="7190" max="7190" width="22.85546875" style="952" bestFit="1" customWidth="1"/>
    <col min="7191" max="7191" width="28.140625" style="952" bestFit="1" customWidth="1"/>
    <col min="7192" max="7192" width="10.7109375" style="952" bestFit="1" customWidth="1"/>
    <col min="7193" max="7193" width="7" style="952" bestFit="1" customWidth="1"/>
    <col min="7194" max="7431" width="9.140625" style="952"/>
    <col min="7432" max="7432" width="36.140625" style="952" customWidth="1"/>
    <col min="7433" max="7433" width="28.140625" style="952" bestFit="1" customWidth="1"/>
    <col min="7434" max="7434" width="10.7109375" style="952" bestFit="1" customWidth="1"/>
    <col min="7435" max="7435" width="8.7109375" style="952" bestFit="1" customWidth="1"/>
    <col min="7436" max="7436" width="10.140625" style="952" bestFit="1" customWidth="1"/>
    <col min="7437" max="7437" width="19.5703125" style="952" customWidth="1"/>
    <col min="7438" max="7438" width="9.140625" style="952"/>
    <col min="7439" max="7439" width="22.85546875" style="952" bestFit="1" customWidth="1"/>
    <col min="7440" max="7440" width="28.140625" style="952" bestFit="1" customWidth="1"/>
    <col min="7441" max="7441" width="10.7109375" style="952" bestFit="1" customWidth="1"/>
    <col min="7442" max="7442" width="7" style="952" bestFit="1" customWidth="1"/>
    <col min="7443" max="7443" width="9.140625" style="952"/>
    <col min="7444" max="7444" width="15.5703125" style="952" bestFit="1" customWidth="1"/>
    <col min="7445" max="7445" width="9.140625" style="952"/>
    <col min="7446" max="7446" width="22.85546875" style="952" bestFit="1" customWidth="1"/>
    <col min="7447" max="7447" width="28.140625" style="952" bestFit="1" customWidth="1"/>
    <col min="7448" max="7448" width="10.7109375" style="952" bestFit="1" customWidth="1"/>
    <col min="7449" max="7449" width="7" style="952" bestFit="1" customWidth="1"/>
    <col min="7450" max="7687" width="9.140625" style="952"/>
    <col min="7688" max="7688" width="36.140625" style="952" customWidth="1"/>
    <col min="7689" max="7689" width="28.140625" style="952" bestFit="1" customWidth="1"/>
    <col min="7690" max="7690" width="10.7109375" style="952" bestFit="1" customWidth="1"/>
    <col min="7691" max="7691" width="8.7109375" style="952" bestFit="1" customWidth="1"/>
    <col min="7692" max="7692" width="10.140625" style="952" bestFit="1" customWidth="1"/>
    <col min="7693" max="7693" width="19.5703125" style="952" customWidth="1"/>
    <col min="7694" max="7694" width="9.140625" style="952"/>
    <col min="7695" max="7695" width="22.85546875" style="952" bestFit="1" customWidth="1"/>
    <col min="7696" max="7696" width="28.140625" style="952" bestFit="1" customWidth="1"/>
    <col min="7697" max="7697" width="10.7109375" style="952" bestFit="1" customWidth="1"/>
    <col min="7698" max="7698" width="7" style="952" bestFit="1" customWidth="1"/>
    <col min="7699" max="7699" width="9.140625" style="952"/>
    <col min="7700" max="7700" width="15.5703125" style="952" bestFit="1" customWidth="1"/>
    <col min="7701" max="7701" width="9.140625" style="952"/>
    <col min="7702" max="7702" width="22.85546875" style="952" bestFit="1" customWidth="1"/>
    <col min="7703" max="7703" width="28.140625" style="952" bestFit="1" customWidth="1"/>
    <col min="7704" max="7704" width="10.7109375" style="952" bestFit="1" customWidth="1"/>
    <col min="7705" max="7705" width="7" style="952" bestFit="1" customWidth="1"/>
    <col min="7706" max="7943" width="9.140625" style="952"/>
    <col min="7944" max="7944" width="36.140625" style="952" customWidth="1"/>
    <col min="7945" max="7945" width="28.140625" style="952" bestFit="1" customWidth="1"/>
    <col min="7946" max="7946" width="10.7109375" style="952" bestFit="1" customWidth="1"/>
    <col min="7947" max="7947" width="8.7109375" style="952" bestFit="1" customWidth="1"/>
    <col min="7948" max="7948" width="10.140625" style="952" bestFit="1" customWidth="1"/>
    <col min="7949" max="7949" width="19.5703125" style="952" customWidth="1"/>
    <col min="7950" max="7950" width="9.140625" style="952"/>
    <col min="7951" max="7951" width="22.85546875" style="952" bestFit="1" customWidth="1"/>
    <col min="7952" max="7952" width="28.140625" style="952" bestFit="1" customWidth="1"/>
    <col min="7953" max="7953" width="10.7109375" style="952" bestFit="1" customWidth="1"/>
    <col min="7954" max="7954" width="7" style="952" bestFit="1" customWidth="1"/>
    <col min="7955" max="7955" width="9.140625" style="952"/>
    <col min="7956" max="7956" width="15.5703125" style="952" bestFit="1" customWidth="1"/>
    <col min="7957" max="7957" width="9.140625" style="952"/>
    <col min="7958" max="7958" width="22.85546875" style="952" bestFit="1" customWidth="1"/>
    <col min="7959" max="7959" width="28.140625" style="952" bestFit="1" customWidth="1"/>
    <col min="7960" max="7960" width="10.7109375" style="952" bestFit="1" customWidth="1"/>
    <col min="7961" max="7961" width="7" style="952" bestFit="1" customWidth="1"/>
    <col min="7962" max="8199" width="9.140625" style="952"/>
    <col min="8200" max="8200" width="36.140625" style="952" customWidth="1"/>
    <col min="8201" max="8201" width="28.140625" style="952" bestFit="1" customWidth="1"/>
    <col min="8202" max="8202" width="10.7109375" style="952" bestFit="1" customWidth="1"/>
    <col min="8203" max="8203" width="8.7109375" style="952" bestFit="1" customWidth="1"/>
    <col min="8204" max="8204" width="10.140625" style="952" bestFit="1" customWidth="1"/>
    <col min="8205" max="8205" width="19.5703125" style="952" customWidth="1"/>
    <col min="8206" max="8206" width="9.140625" style="952"/>
    <col min="8207" max="8207" width="22.85546875" style="952" bestFit="1" customWidth="1"/>
    <col min="8208" max="8208" width="28.140625" style="952" bestFit="1" customWidth="1"/>
    <col min="8209" max="8209" width="10.7109375" style="952" bestFit="1" customWidth="1"/>
    <col min="8210" max="8210" width="7" style="952" bestFit="1" customWidth="1"/>
    <col min="8211" max="8211" width="9.140625" style="952"/>
    <col min="8212" max="8212" width="15.5703125" style="952" bestFit="1" customWidth="1"/>
    <col min="8213" max="8213" width="9.140625" style="952"/>
    <col min="8214" max="8214" width="22.85546875" style="952" bestFit="1" customWidth="1"/>
    <col min="8215" max="8215" width="28.140625" style="952" bestFit="1" customWidth="1"/>
    <col min="8216" max="8216" width="10.7109375" style="952" bestFit="1" customWidth="1"/>
    <col min="8217" max="8217" width="7" style="952" bestFit="1" customWidth="1"/>
    <col min="8218" max="8455" width="9.140625" style="952"/>
    <col min="8456" max="8456" width="36.140625" style="952" customWidth="1"/>
    <col min="8457" max="8457" width="28.140625" style="952" bestFit="1" customWidth="1"/>
    <col min="8458" max="8458" width="10.7109375" style="952" bestFit="1" customWidth="1"/>
    <col min="8459" max="8459" width="8.7109375" style="952" bestFit="1" customWidth="1"/>
    <col min="8460" max="8460" width="10.140625" style="952" bestFit="1" customWidth="1"/>
    <col min="8461" max="8461" width="19.5703125" style="952" customWidth="1"/>
    <col min="8462" max="8462" width="9.140625" style="952"/>
    <col min="8463" max="8463" width="22.85546875" style="952" bestFit="1" customWidth="1"/>
    <col min="8464" max="8464" width="28.140625" style="952" bestFit="1" customWidth="1"/>
    <col min="8465" max="8465" width="10.7109375" style="952" bestFit="1" customWidth="1"/>
    <col min="8466" max="8466" width="7" style="952" bestFit="1" customWidth="1"/>
    <col min="8467" max="8467" width="9.140625" style="952"/>
    <col min="8468" max="8468" width="15.5703125" style="952" bestFit="1" customWidth="1"/>
    <col min="8469" max="8469" width="9.140625" style="952"/>
    <col min="8470" max="8470" width="22.85546875" style="952" bestFit="1" customWidth="1"/>
    <col min="8471" max="8471" width="28.140625" style="952" bestFit="1" customWidth="1"/>
    <col min="8472" max="8472" width="10.7109375" style="952" bestFit="1" customWidth="1"/>
    <col min="8473" max="8473" width="7" style="952" bestFit="1" customWidth="1"/>
    <col min="8474" max="8711" width="9.140625" style="952"/>
    <col min="8712" max="8712" width="36.140625" style="952" customWidth="1"/>
    <col min="8713" max="8713" width="28.140625" style="952" bestFit="1" customWidth="1"/>
    <col min="8714" max="8714" width="10.7109375" style="952" bestFit="1" customWidth="1"/>
    <col min="8715" max="8715" width="8.7109375" style="952" bestFit="1" customWidth="1"/>
    <col min="8716" max="8716" width="10.140625" style="952" bestFit="1" customWidth="1"/>
    <col min="8717" max="8717" width="19.5703125" style="952" customWidth="1"/>
    <col min="8718" max="8718" width="9.140625" style="952"/>
    <col min="8719" max="8719" width="22.85546875" style="952" bestFit="1" customWidth="1"/>
    <col min="8720" max="8720" width="28.140625" style="952" bestFit="1" customWidth="1"/>
    <col min="8721" max="8721" width="10.7109375" style="952" bestFit="1" customWidth="1"/>
    <col min="8722" max="8722" width="7" style="952" bestFit="1" customWidth="1"/>
    <col min="8723" max="8723" width="9.140625" style="952"/>
    <col min="8724" max="8724" width="15.5703125" style="952" bestFit="1" customWidth="1"/>
    <col min="8725" max="8725" width="9.140625" style="952"/>
    <col min="8726" max="8726" width="22.85546875" style="952" bestFit="1" customWidth="1"/>
    <col min="8727" max="8727" width="28.140625" style="952" bestFit="1" customWidth="1"/>
    <col min="8728" max="8728" width="10.7109375" style="952" bestFit="1" customWidth="1"/>
    <col min="8729" max="8729" width="7" style="952" bestFit="1" customWidth="1"/>
    <col min="8730" max="8967" width="9.140625" style="952"/>
    <col min="8968" max="8968" width="36.140625" style="952" customWidth="1"/>
    <col min="8969" max="8969" width="28.140625" style="952" bestFit="1" customWidth="1"/>
    <col min="8970" max="8970" width="10.7109375" style="952" bestFit="1" customWidth="1"/>
    <col min="8971" max="8971" width="8.7109375" style="952" bestFit="1" customWidth="1"/>
    <col min="8972" max="8972" width="10.140625" style="952" bestFit="1" customWidth="1"/>
    <col min="8973" max="8973" width="19.5703125" style="952" customWidth="1"/>
    <col min="8974" max="8974" width="9.140625" style="952"/>
    <col min="8975" max="8975" width="22.85546875" style="952" bestFit="1" customWidth="1"/>
    <col min="8976" max="8976" width="28.140625" style="952" bestFit="1" customWidth="1"/>
    <col min="8977" max="8977" width="10.7109375" style="952" bestFit="1" customWidth="1"/>
    <col min="8978" max="8978" width="7" style="952" bestFit="1" customWidth="1"/>
    <col min="8979" max="8979" width="9.140625" style="952"/>
    <col min="8980" max="8980" width="15.5703125" style="952" bestFit="1" customWidth="1"/>
    <col min="8981" max="8981" width="9.140625" style="952"/>
    <col min="8982" max="8982" width="22.85546875" style="952" bestFit="1" customWidth="1"/>
    <col min="8983" max="8983" width="28.140625" style="952" bestFit="1" customWidth="1"/>
    <col min="8984" max="8984" width="10.7109375" style="952" bestFit="1" customWidth="1"/>
    <col min="8985" max="8985" width="7" style="952" bestFit="1" customWidth="1"/>
    <col min="8986" max="9223" width="9.140625" style="952"/>
    <col min="9224" max="9224" width="36.140625" style="952" customWidth="1"/>
    <col min="9225" max="9225" width="28.140625" style="952" bestFit="1" customWidth="1"/>
    <col min="9226" max="9226" width="10.7109375" style="952" bestFit="1" customWidth="1"/>
    <col min="9227" max="9227" width="8.7109375" style="952" bestFit="1" customWidth="1"/>
    <col min="9228" max="9228" width="10.140625" style="952" bestFit="1" customWidth="1"/>
    <col min="9229" max="9229" width="19.5703125" style="952" customWidth="1"/>
    <col min="9230" max="9230" width="9.140625" style="952"/>
    <col min="9231" max="9231" width="22.85546875" style="952" bestFit="1" customWidth="1"/>
    <col min="9232" max="9232" width="28.140625" style="952" bestFit="1" customWidth="1"/>
    <col min="9233" max="9233" width="10.7109375" style="952" bestFit="1" customWidth="1"/>
    <col min="9234" max="9234" width="7" style="952" bestFit="1" customWidth="1"/>
    <col min="9235" max="9235" width="9.140625" style="952"/>
    <col min="9236" max="9236" width="15.5703125" style="952" bestFit="1" customWidth="1"/>
    <col min="9237" max="9237" width="9.140625" style="952"/>
    <col min="9238" max="9238" width="22.85546875" style="952" bestFit="1" customWidth="1"/>
    <col min="9239" max="9239" width="28.140625" style="952" bestFit="1" customWidth="1"/>
    <col min="9240" max="9240" width="10.7109375" style="952" bestFit="1" customWidth="1"/>
    <col min="9241" max="9241" width="7" style="952" bestFit="1" customWidth="1"/>
    <col min="9242" max="9479" width="9.140625" style="952"/>
    <col min="9480" max="9480" width="36.140625" style="952" customWidth="1"/>
    <col min="9481" max="9481" width="28.140625" style="952" bestFit="1" customWidth="1"/>
    <col min="9482" max="9482" width="10.7109375" style="952" bestFit="1" customWidth="1"/>
    <col min="9483" max="9483" width="8.7109375" style="952" bestFit="1" customWidth="1"/>
    <col min="9484" max="9484" width="10.140625" style="952" bestFit="1" customWidth="1"/>
    <col min="9485" max="9485" width="19.5703125" style="952" customWidth="1"/>
    <col min="9486" max="9486" width="9.140625" style="952"/>
    <col min="9487" max="9487" width="22.85546875" style="952" bestFit="1" customWidth="1"/>
    <col min="9488" max="9488" width="28.140625" style="952" bestFit="1" customWidth="1"/>
    <col min="9489" max="9489" width="10.7109375" style="952" bestFit="1" customWidth="1"/>
    <col min="9490" max="9490" width="7" style="952" bestFit="1" customWidth="1"/>
    <col min="9491" max="9491" width="9.140625" style="952"/>
    <col min="9492" max="9492" width="15.5703125" style="952" bestFit="1" customWidth="1"/>
    <col min="9493" max="9493" width="9.140625" style="952"/>
    <col min="9494" max="9494" width="22.85546875" style="952" bestFit="1" customWidth="1"/>
    <col min="9495" max="9495" width="28.140625" style="952" bestFit="1" customWidth="1"/>
    <col min="9496" max="9496" width="10.7109375" style="952" bestFit="1" customWidth="1"/>
    <col min="9497" max="9497" width="7" style="952" bestFit="1" customWidth="1"/>
    <col min="9498" max="9735" width="9.140625" style="952"/>
    <col min="9736" max="9736" width="36.140625" style="952" customWidth="1"/>
    <col min="9737" max="9737" width="28.140625" style="952" bestFit="1" customWidth="1"/>
    <col min="9738" max="9738" width="10.7109375" style="952" bestFit="1" customWidth="1"/>
    <col min="9739" max="9739" width="8.7109375" style="952" bestFit="1" customWidth="1"/>
    <col min="9740" max="9740" width="10.140625" style="952" bestFit="1" customWidth="1"/>
    <col min="9741" max="9741" width="19.5703125" style="952" customWidth="1"/>
    <col min="9742" max="9742" width="9.140625" style="952"/>
    <col min="9743" max="9743" width="22.85546875" style="952" bestFit="1" customWidth="1"/>
    <col min="9744" max="9744" width="28.140625" style="952" bestFit="1" customWidth="1"/>
    <col min="9745" max="9745" width="10.7109375" style="952" bestFit="1" customWidth="1"/>
    <col min="9746" max="9746" width="7" style="952" bestFit="1" customWidth="1"/>
    <col min="9747" max="9747" width="9.140625" style="952"/>
    <col min="9748" max="9748" width="15.5703125" style="952" bestFit="1" customWidth="1"/>
    <col min="9749" max="9749" width="9.140625" style="952"/>
    <col min="9750" max="9750" width="22.85546875" style="952" bestFit="1" customWidth="1"/>
    <col min="9751" max="9751" width="28.140625" style="952" bestFit="1" customWidth="1"/>
    <col min="9752" max="9752" width="10.7109375" style="952" bestFit="1" customWidth="1"/>
    <col min="9753" max="9753" width="7" style="952" bestFit="1" customWidth="1"/>
    <col min="9754" max="9991" width="9.140625" style="952"/>
    <col min="9992" max="9992" width="36.140625" style="952" customWidth="1"/>
    <col min="9993" max="9993" width="28.140625" style="952" bestFit="1" customWidth="1"/>
    <col min="9994" max="9994" width="10.7109375" style="952" bestFit="1" customWidth="1"/>
    <col min="9995" max="9995" width="8.7109375" style="952" bestFit="1" customWidth="1"/>
    <col min="9996" max="9996" width="10.140625" style="952" bestFit="1" customWidth="1"/>
    <col min="9997" max="9997" width="19.5703125" style="952" customWidth="1"/>
    <col min="9998" max="9998" width="9.140625" style="952"/>
    <col min="9999" max="9999" width="22.85546875" style="952" bestFit="1" customWidth="1"/>
    <col min="10000" max="10000" width="28.140625" style="952" bestFit="1" customWidth="1"/>
    <col min="10001" max="10001" width="10.7109375" style="952" bestFit="1" customWidth="1"/>
    <col min="10002" max="10002" width="7" style="952" bestFit="1" customWidth="1"/>
    <col min="10003" max="10003" width="9.140625" style="952"/>
    <col min="10004" max="10004" width="15.5703125" style="952" bestFit="1" customWidth="1"/>
    <col min="10005" max="10005" width="9.140625" style="952"/>
    <col min="10006" max="10006" width="22.85546875" style="952" bestFit="1" customWidth="1"/>
    <col min="10007" max="10007" width="28.140625" style="952" bestFit="1" customWidth="1"/>
    <col min="10008" max="10008" width="10.7109375" style="952" bestFit="1" customWidth="1"/>
    <col min="10009" max="10009" width="7" style="952" bestFit="1" customWidth="1"/>
    <col min="10010" max="10247" width="9.140625" style="952"/>
    <col min="10248" max="10248" width="36.140625" style="952" customWidth="1"/>
    <col min="10249" max="10249" width="28.140625" style="952" bestFit="1" customWidth="1"/>
    <col min="10250" max="10250" width="10.7109375" style="952" bestFit="1" customWidth="1"/>
    <col min="10251" max="10251" width="8.7109375" style="952" bestFit="1" customWidth="1"/>
    <col min="10252" max="10252" width="10.140625" style="952" bestFit="1" customWidth="1"/>
    <col min="10253" max="10253" width="19.5703125" style="952" customWidth="1"/>
    <col min="10254" max="10254" width="9.140625" style="952"/>
    <col min="10255" max="10255" width="22.85546875" style="952" bestFit="1" customWidth="1"/>
    <col min="10256" max="10256" width="28.140625" style="952" bestFit="1" customWidth="1"/>
    <col min="10257" max="10257" width="10.7109375" style="952" bestFit="1" customWidth="1"/>
    <col min="10258" max="10258" width="7" style="952" bestFit="1" customWidth="1"/>
    <col min="10259" max="10259" width="9.140625" style="952"/>
    <col min="10260" max="10260" width="15.5703125" style="952" bestFit="1" customWidth="1"/>
    <col min="10261" max="10261" width="9.140625" style="952"/>
    <col min="10262" max="10262" width="22.85546875" style="952" bestFit="1" customWidth="1"/>
    <col min="10263" max="10263" width="28.140625" style="952" bestFit="1" customWidth="1"/>
    <col min="10264" max="10264" width="10.7109375" style="952" bestFit="1" customWidth="1"/>
    <col min="10265" max="10265" width="7" style="952" bestFit="1" customWidth="1"/>
    <col min="10266" max="10503" width="9.140625" style="952"/>
    <col min="10504" max="10504" width="36.140625" style="952" customWidth="1"/>
    <col min="10505" max="10505" width="28.140625" style="952" bestFit="1" customWidth="1"/>
    <col min="10506" max="10506" width="10.7109375" style="952" bestFit="1" customWidth="1"/>
    <col min="10507" max="10507" width="8.7109375" style="952" bestFit="1" customWidth="1"/>
    <col min="10508" max="10508" width="10.140625" style="952" bestFit="1" customWidth="1"/>
    <col min="10509" max="10509" width="19.5703125" style="952" customWidth="1"/>
    <col min="10510" max="10510" width="9.140625" style="952"/>
    <col min="10511" max="10511" width="22.85546875" style="952" bestFit="1" customWidth="1"/>
    <col min="10512" max="10512" width="28.140625" style="952" bestFit="1" customWidth="1"/>
    <col min="10513" max="10513" width="10.7109375" style="952" bestFit="1" customWidth="1"/>
    <col min="10514" max="10514" width="7" style="952" bestFit="1" customWidth="1"/>
    <col min="10515" max="10515" width="9.140625" style="952"/>
    <col min="10516" max="10516" width="15.5703125" style="952" bestFit="1" customWidth="1"/>
    <col min="10517" max="10517" width="9.140625" style="952"/>
    <col min="10518" max="10518" width="22.85546875" style="952" bestFit="1" customWidth="1"/>
    <col min="10519" max="10519" width="28.140625" style="952" bestFit="1" customWidth="1"/>
    <col min="10520" max="10520" width="10.7109375" style="952" bestFit="1" customWidth="1"/>
    <col min="10521" max="10521" width="7" style="952" bestFit="1" customWidth="1"/>
    <col min="10522" max="10759" width="9.140625" style="952"/>
    <col min="10760" max="10760" width="36.140625" style="952" customWidth="1"/>
    <col min="10761" max="10761" width="28.140625" style="952" bestFit="1" customWidth="1"/>
    <col min="10762" max="10762" width="10.7109375" style="952" bestFit="1" customWidth="1"/>
    <col min="10763" max="10763" width="8.7109375" style="952" bestFit="1" customWidth="1"/>
    <col min="10764" max="10764" width="10.140625" style="952" bestFit="1" customWidth="1"/>
    <col min="10765" max="10765" width="19.5703125" style="952" customWidth="1"/>
    <col min="10766" max="10766" width="9.140625" style="952"/>
    <col min="10767" max="10767" width="22.85546875" style="952" bestFit="1" customWidth="1"/>
    <col min="10768" max="10768" width="28.140625" style="952" bestFit="1" customWidth="1"/>
    <col min="10769" max="10769" width="10.7109375" style="952" bestFit="1" customWidth="1"/>
    <col min="10770" max="10770" width="7" style="952" bestFit="1" customWidth="1"/>
    <col min="10771" max="10771" width="9.140625" style="952"/>
    <col min="10772" max="10772" width="15.5703125" style="952" bestFit="1" customWidth="1"/>
    <col min="10773" max="10773" width="9.140625" style="952"/>
    <col min="10774" max="10774" width="22.85546875" style="952" bestFit="1" customWidth="1"/>
    <col min="10775" max="10775" width="28.140625" style="952" bestFit="1" customWidth="1"/>
    <col min="10776" max="10776" width="10.7109375" style="952" bestFit="1" customWidth="1"/>
    <col min="10777" max="10777" width="7" style="952" bestFit="1" customWidth="1"/>
    <col min="10778" max="11015" width="9.140625" style="952"/>
    <col min="11016" max="11016" width="36.140625" style="952" customWidth="1"/>
    <col min="11017" max="11017" width="28.140625" style="952" bestFit="1" customWidth="1"/>
    <col min="11018" max="11018" width="10.7109375" style="952" bestFit="1" customWidth="1"/>
    <col min="11019" max="11019" width="8.7109375" style="952" bestFit="1" customWidth="1"/>
    <col min="11020" max="11020" width="10.140625" style="952" bestFit="1" customWidth="1"/>
    <col min="11021" max="11021" width="19.5703125" style="952" customWidth="1"/>
    <col min="11022" max="11022" width="9.140625" style="952"/>
    <col min="11023" max="11023" width="22.85546875" style="952" bestFit="1" customWidth="1"/>
    <col min="11024" max="11024" width="28.140625" style="952" bestFit="1" customWidth="1"/>
    <col min="11025" max="11025" width="10.7109375" style="952" bestFit="1" customWidth="1"/>
    <col min="11026" max="11026" width="7" style="952" bestFit="1" customWidth="1"/>
    <col min="11027" max="11027" width="9.140625" style="952"/>
    <col min="11028" max="11028" width="15.5703125" style="952" bestFit="1" customWidth="1"/>
    <col min="11029" max="11029" width="9.140625" style="952"/>
    <col min="11030" max="11030" width="22.85546875" style="952" bestFit="1" customWidth="1"/>
    <col min="11031" max="11031" width="28.140625" style="952" bestFit="1" customWidth="1"/>
    <col min="11032" max="11032" width="10.7109375" style="952" bestFit="1" customWidth="1"/>
    <col min="11033" max="11033" width="7" style="952" bestFit="1" customWidth="1"/>
    <col min="11034" max="11271" width="9.140625" style="952"/>
    <col min="11272" max="11272" width="36.140625" style="952" customWidth="1"/>
    <col min="11273" max="11273" width="28.140625" style="952" bestFit="1" customWidth="1"/>
    <col min="11274" max="11274" width="10.7109375" style="952" bestFit="1" customWidth="1"/>
    <col min="11275" max="11275" width="8.7109375" style="952" bestFit="1" customWidth="1"/>
    <col min="11276" max="11276" width="10.140625" style="952" bestFit="1" customWidth="1"/>
    <col min="11277" max="11277" width="19.5703125" style="952" customWidth="1"/>
    <col min="11278" max="11278" width="9.140625" style="952"/>
    <col min="11279" max="11279" width="22.85546875" style="952" bestFit="1" customWidth="1"/>
    <col min="11280" max="11280" width="28.140625" style="952" bestFit="1" customWidth="1"/>
    <col min="11281" max="11281" width="10.7109375" style="952" bestFit="1" customWidth="1"/>
    <col min="11282" max="11282" width="7" style="952" bestFit="1" customWidth="1"/>
    <col min="11283" max="11283" width="9.140625" style="952"/>
    <col min="11284" max="11284" width="15.5703125" style="952" bestFit="1" customWidth="1"/>
    <col min="11285" max="11285" width="9.140625" style="952"/>
    <col min="11286" max="11286" width="22.85546875" style="952" bestFit="1" customWidth="1"/>
    <col min="11287" max="11287" width="28.140625" style="952" bestFit="1" customWidth="1"/>
    <col min="11288" max="11288" width="10.7109375" style="952" bestFit="1" customWidth="1"/>
    <col min="11289" max="11289" width="7" style="952" bestFit="1" customWidth="1"/>
    <col min="11290" max="11527" width="9.140625" style="952"/>
    <col min="11528" max="11528" width="36.140625" style="952" customWidth="1"/>
    <col min="11529" max="11529" width="28.140625" style="952" bestFit="1" customWidth="1"/>
    <col min="11530" max="11530" width="10.7109375" style="952" bestFit="1" customWidth="1"/>
    <col min="11531" max="11531" width="8.7109375" style="952" bestFit="1" customWidth="1"/>
    <col min="11532" max="11532" width="10.140625" style="952" bestFit="1" customWidth="1"/>
    <col min="11533" max="11533" width="19.5703125" style="952" customWidth="1"/>
    <col min="11534" max="11534" width="9.140625" style="952"/>
    <col min="11535" max="11535" width="22.85546875" style="952" bestFit="1" customWidth="1"/>
    <col min="11536" max="11536" width="28.140625" style="952" bestFit="1" customWidth="1"/>
    <col min="11537" max="11537" width="10.7109375" style="952" bestFit="1" customWidth="1"/>
    <col min="11538" max="11538" width="7" style="952" bestFit="1" customWidth="1"/>
    <col min="11539" max="11539" width="9.140625" style="952"/>
    <col min="11540" max="11540" width="15.5703125" style="952" bestFit="1" customWidth="1"/>
    <col min="11541" max="11541" width="9.140625" style="952"/>
    <col min="11542" max="11542" width="22.85546875" style="952" bestFit="1" customWidth="1"/>
    <col min="11543" max="11543" width="28.140625" style="952" bestFit="1" customWidth="1"/>
    <col min="11544" max="11544" width="10.7109375" style="952" bestFit="1" customWidth="1"/>
    <col min="11545" max="11545" width="7" style="952" bestFit="1" customWidth="1"/>
    <col min="11546" max="11783" width="9.140625" style="952"/>
    <col min="11784" max="11784" width="36.140625" style="952" customWidth="1"/>
    <col min="11785" max="11785" width="28.140625" style="952" bestFit="1" customWidth="1"/>
    <col min="11786" max="11786" width="10.7109375" style="952" bestFit="1" customWidth="1"/>
    <col min="11787" max="11787" width="8.7109375" style="952" bestFit="1" customWidth="1"/>
    <col min="11788" max="11788" width="10.140625" style="952" bestFit="1" customWidth="1"/>
    <col min="11789" max="11789" width="19.5703125" style="952" customWidth="1"/>
    <col min="11790" max="11790" width="9.140625" style="952"/>
    <col min="11791" max="11791" width="22.85546875" style="952" bestFit="1" customWidth="1"/>
    <col min="11792" max="11792" width="28.140625" style="952" bestFit="1" customWidth="1"/>
    <col min="11793" max="11793" width="10.7109375" style="952" bestFit="1" customWidth="1"/>
    <col min="11794" max="11794" width="7" style="952" bestFit="1" customWidth="1"/>
    <col min="11795" max="11795" width="9.140625" style="952"/>
    <col min="11796" max="11796" width="15.5703125" style="952" bestFit="1" customWidth="1"/>
    <col min="11797" max="11797" width="9.140625" style="952"/>
    <col min="11798" max="11798" width="22.85546875" style="952" bestFit="1" customWidth="1"/>
    <col min="11799" max="11799" width="28.140625" style="952" bestFit="1" customWidth="1"/>
    <col min="11800" max="11800" width="10.7109375" style="952" bestFit="1" customWidth="1"/>
    <col min="11801" max="11801" width="7" style="952" bestFit="1" customWidth="1"/>
    <col min="11802" max="12039" width="9.140625" style="952"/>
    <col min="12040" max="12040" width="36.140625" style="952" customWidth="1"/>
    <col min="12041" max="12041" width="28.140625" style="952" bestFit="1" customWidth="1"/>
    <col min="12042" max="12042" width="10.7109375" style="952" bestFit="1" customWidth="1"/>
    <col min="12043" max="12043" width="8.7109375" style="952" bestFit="1" customWidth="1"/>
    <col min="12044" max="12044" width="10.140625" style="952" bestFit="1" customWidth="1"/>
    <col min="12045" max="12045" width="19.5703125" style="952" customWidth="1"/>
    <col min="12046" max="12046" width="9.140625" style="952"/>
    <col min="12047" max="12047" width="22.85546875" style="952" bestFit="1" customWidth="1"/>
    <col min="12048" max="12048" width="28.140625" style="952" bestFit="1" customWidth="1"/>
    <col min="12049" max="12049" width="10.7109375" style="952" bestFit="1" customWidth="1"/>
    <col min="12050" max="12050" width="7" style="952" bestFit="1" customWidth="1"/>
    <col min="12051" max="12051" width="9.140625" style="952"/>
    <col min="12052" max="12052" width="15.5703125" style="952" bestFit="1" customWidth="1"/>
    <col min="12053" max="12053" width="9.140625" style="952"/>
    <col min="12054" max="12054" width="22.85546875" style="952" bestFit="1" customWidth="1"/>
    <col min="12055" max="12055" width="28.140625" style="952" bestFit="1" customWidth="1"/>
    <col min="12056" max="12056" width="10.7109375" style="952" bestFit="1" customWidth="1"/>
    <col min="12057" max="12057" width="7" style="952" bestFit="1" customWidth="1"/>
    <col min="12058" max="12295" width="9.140625" style="952"/>
    <col min="12296" max="12296" width="36.140625" style="952" customWidth="1"/>
    <col min="12297" max="12297" width="28.140625" style="952" bestFit="1" customWidth="1"/>
    <col min="12298" max="12298" width="10.7109375" style="952" bestFit="1" customWidth="1"/>
    <col min="12299" max="12299" width="8.7109375" style="952" bestFit="1" customWidth="1"/>
    <col min="12300" max="12300" width="10.140625" style="952" bestFit="1" customWidth="1"/>
    <col min="12301" max="12301" width="19.5703125" style="952" customWidth="1"/>
    <col min="12302" max="12302" width="9.140625" style="952"/>
    <col min="12303" max="12303" width="22.85546875" style="952" bestFit="1" customWidth="1"/>
    <col min="12304" max="12304" width="28.140625" style="952" bestFit="1" customWidth="1"/>
    <col min="12305" max="12305" width="10.7109375" style="952" bestFit="1" customWidth="1"/>
    <col min="12306" max="12306" width="7" style="952" bestFit="1" customWidth="1"/>
    <col min="12307" max="12307" width="9.140625" style="952"/>
    <col min="12308" max="12308" width="15.5703125" style="952" bestFit="1" customWidth="1"/>
    <col min="12309" max="12309" width="9.140625" style="952"/>
    <col min="12310" max="12310" width="22.85546875" style="952" bestFit="1" customWidth="1"/>
    <col min="12311" max="12311" width="28.140625" style="952" bestFit="1" customWidth="1"/>
    <col min="12312" max="12312" width="10.7109375" style="952" bestFit="1" customWidth="1"/>
    <col min="12313" max="12313" width="7" style="952" bestFit="1" customWidth="1"/>
    <col min="12314" max="12551" width="9.140625" style="952"/>
    <col min="12552" max="12552" width="36.140625" style="952" customWidth="1"/>
    <col min="12553" max="12553" width="28.140625" style="952" bestFit="1" customWidth="1"/>
    <col min="12554" max="12554" width="10.7109375" style="952" bestFit="1" customWidth="1"/>
    <col min="12555" max="12555" width="8.7109375" style="952" bestFit="1" customWidth="1"/>
    <col min="12556" max="12556" width="10.140625" style="952" bestFit="1" customWidth="1"/>
    <col min="12557" max="12557" width="19.5703125" style="952" customWidth="1"/>
    <col min="12558" max="12558" width="9.140625" style="952"/>
    <col min="12559" max="12559" width="22.85546875" style="952" bestFit="1" customWidth="1"/>
    <col min="12560" max="12560" width="28.140625" style="952" bestFit="1" customWidth="1"/>
    <col min="12561" max="12561" width="10.7109375" style="952" bestFit="1" customWidth="1"/>
    <col min="12562" max="12562" width="7" style="952" bestFit="1" customWidth="1"/>
    <col min="12563" max="12563" width="9.140625" style="952"/>
    <col min="12564" max="12564" width="15.5703125" style="952" bestFit="1" customWidth="1"/>
    <col min="12565" max="12565" width="9.140625" style="952"/>
    <col min="12566" max="12566" width="22.85546875" style="952" bestFit="1" customWidth="1"/>
    <col min="12567" max="12567" width="28.140625" style="952" bestFit="1" customWidth="1"/>
    <col min="12568" max="12568" width="10.7109375" style="952" bestFit="1" customWidth="1"/>
    <col min="12569" max="12569" width="7" style="952" bestFit="1" customWidth="1"/>
    <col min="12570" max="12807" width="9.140625" style="952"/>
    <col min="12808" max="12808" width="36.140625" style="952" customWidth="1"/>
    <col min="12809" max="12809" width="28.140625" style="952" bestFit="1" customWidth="1"/>
    <col min="12810" max="12810" width="10.7109375" style="952" bestFit="1" customWidth="1"/>
    <col min="12811" max="12811" width="8.7109375" style="952" bestFit="1" customWidth="1"/>
    <col min="12812" max="12812" width="10.140625" style="952" bestFit="1" customWidth="1"/>
    <col min="12813" max="12813" width="19.5703125" style="952" customWidth="1"/>
    <col min="12814" max="12814" width="9.140625" style="952"/>
    <col min="12815" max="12815" width="22.85546875" style="952" bestFit="1" customWidth="1"/>
    <col min="12816" max="12816" width="28.140625" style="952" bestFit="1" customWidth="1"/>
    <col min="12817" max="12817" width="10.7109375" style="952" bestFit="1" customWidth="1"/>
    <col min="12818" max="12818" width="7" style="952" bestFit="1" customWidth="1"/>
    <col min="12819" max="12819" width="9.140625" style="952"/>
    <col min="12820" max="12820" width="15.5703125" style="952" bestFit="1" customWidth="1"/>
    <col min="12821" max="12821" width="9.140625" style="952"/>
    <col min="12822" max="12822" width="22.85546875" style="952" bestFit="1" customWidth="1"/>
    <col min="12823" max="12823" width="28.140625" style="952" bestFit="1" customWidth="1"/>
    <col min="12824" max="12824" width="10.7109375" style="952" bestFit="1" customWidth="1"/>
    <col min="12825" max="12825" width="7" style="952" bestFit="1" customWidth="1"/>
    <col min="12826" max="13063" width="9.140625" style="952"/>
    <col min="13064" max="13064" width="36.140625" style="952" customWidth="1"/>
    <col min="13065" max="13065" width="28.140625" style="952" bestFit="1" customWidth="1"/>
    <col min="13066" max="13066" width="10.7109375" style="952" bestFit="1" customWidth="1"/>
    <col min="13067" max="13067" width="8.7109375" style="952" bestFit="1" customWidth="1"/>
    <col min="13068" max="13068" width="10.140625" style="952" bestFit="1" customWidth="1"/>
    <col min="13069" max="13069" width="19.5703125" style="952" customWidth="1"/>
    <col min="13070" max="13070" width="9.140625" style="952"/>
    <col min="13071" max="13071" width="22.85546875" style="952" bestFit="1" customWidth="1"/>
    <col min="13072" max="13072" width="28.140625" style="952" bestFit="1" customWidth="1"/>
    <col min="13073" max="13073" width="10.7109375" style="952" bestFit="1" customWidth="1"/>
    <col min="13074" max="13074" width="7" style="952" bestFit="1" customWidth="1"/>
    <col min="13075" max="13075" width="9.140625" style="952"/>
    <col min="13076" max="13076" width="15.5703125" style="952" bestFit="1" customWidth="1"/>
    <col min="13077" max="13077" width="9.140625" style="952"/>
    <col min="13078" max="13078" width="22.85546875" style="952" bestFit="1" customWidth="1"/>
    <col min="13079" max="13079" width="28.140625" style="952" bestFit="1" customWidth="1"/>
    <col min="13080" max="13080" width="10.7109375" style="952" bestFit="1" customWidth="1"/>
    <col min="13081" max="13081" width="7" style="952" bestFit="1" customWidth="1"/>
    <col min="13082" max="13319" width="9.140625" style="952"/>
    <col min="13320" max="13320" width="36.140625" style="952" customWidth="1"/>
    <col min="13321" max="13321" width="28.140625" style="952" bestFit="1" customWidth="1"/>
    <col min="13322" max="13322" width="10.7109375" style="952" bestFit="1" customWidth="1"/>
    <col min="13323" max="13323" width="8.7109375" style="952" bestFit="1" customWidth="1"/>
    <col min="13324" max="13324" width="10.140625" style="952" bestFit="1" customWidth="1"/>
    <col min="13325" max="13325" width="19.5703125" style="952" customWidth="1"/>
    <col min="13326" max="13326" width="9.140625" style="952"/>
    <col min="13327" max="13327" width="22.85546875" style="952" bestFit="1" customWidth="1"/>
    <col min="13328" max="13328" width="28.140625" style="952" bestFit="1" customWidth="1"/>
    <col min="13329" max="13329" width="10.7109375" style="952" bestFit="1" customWidth="1"/>
    <col min="13330" max="13330" width="7" style="952" bestFit="1" customWidth="1"/>
    <col min="13331" max="13331" width="9.140625" style="952"/>
    <col min="13332" max="13332" width="15.5703125" style="952" bestFit="1" customWidth="1"/>
    <col min="13333" max="13333" width="9.140625" style="952"/>
    <col min="13334" max="13334" width="22.85546875" style="952" bestFit="1" customWidth="1"/>
    <col min="13335" max="13335" width="28.140625" style="952" bestFit="1" customWidth="1"/>
    <col min="13336" max="13336" width="10.7109375" style="952" bestFit="1" customWidth="1"/>
    <col min="13337" max="13337" width="7" style="952" bestFit="1" customWidth="1"/>
    <col min="13338" max="13575" width="9.140625" style="952"/>
    <col min="13576" max="13576" width="36.140625" style="952" customWidth="1"/>
    <col min="13577" max="13577" width="28.140625" style="952" bestFit="1" customWidth="1"/>
    <col min="13578" max="13578" width="10.7109375" style="952" bestFit="1" customWidth="1"/>
    <col min="13579" max="13579" width="8.7109375" style="952" bestFit="1" customWidth="1"/>
    <col min="13580" max="13580" width="10.140625" style="952" bestFit="1" customWidth="1"/>
    <col min="13581" max="13581" width="19.5703125" style="952" customWidth="1"/>
    <col min="13582" max="13582" width="9.140625" style="952"/>
    <col min="13583" max="13583" width="22.85546875" style="952" bestFit="1" customWidth="1"/>
    <col min="13584" max="13584" width="28.140625" style="952" bestFit="1" customWidth="1"/>
    <col min="13585" max="13585" width="10.7109375" style="952" bestFit="1" customWidth="1"/>
    <col min="13586" max="13586" width="7" style="952" bestFit="1" customWidth="1"/>
    <col min="13587" max="13587" width="9.140625" style="952"/>
    <col min="13588" max="13588" width="15.5703125" style="952" bestFit="1" customWidth="1"/>
    <col min="13589" max="13589" width="9.140625" style="952"/>
    <col min="13590" max="13590" width="22.85546875" style="952" bestFit="1" customWidth="1"/>
    <col min="13591" max="13591" width="28.140625" style="952" bestFit="1" customWidth="1"/>
    <col min="13592" max="13592" width="10.7109375" style="952" bestFit="1" customWidth="1"/>
    <col min="13593" max="13593" width="7" style="952" bestFit="1" customWidth="1"/>
    <col min="13594" max="13831" width="9.140625" style="952"/>
    <col min="13832" max="13832" width="36.140625" style="952" customWidth="1"/>
    <col min="13833" max="13833" width="28.140625" style="952" bestFit="1" customWidth="1"/>
    <col min="13834" max="13834" width="10.7109375" style="952" bestFit="1" customWidth="1"/>
    <col min="13835" max="13835" width="8.7109375" style="952" bestFit="1" customWidth="1"/>
    <col min="13836" max="13836" width="10.140625" style="952" bestFit="1" customWidth="1"/>
    <col min="13837" max="13837" width="19.5703125" style="952" customWidth="1"/>
    <col min="13838" max="13838" width="9.140625" style="952"/>
    <col min="13839" max="13839" width="22.85546875" style="952" bestFit="1" customWidth="1"/>
    <col min="13840" max="13840" width="28.140625" style="952" bestFit="1" customWidth="1"/>
    <col min="13841" max="13841" width="10.7109375" style="952" bestFit="1" customWidth="1"/>
    <col min="13842" max="13842" width="7" style="952" bestFit="1" customWidth="1"/>
    <col min="13843" max="13843" width="9.140625" style="952"/>
    <col min="13844" max="13844" width="15.5703125" style="952" bestFit="1" customWidth="1"/>
    <col min="13845" max="13845" width="9.140625" style="952"/>
    <col min="13846" max="13846" width="22.85546875" style="952" bestFit="1" customWidth="1"/>
    <col min="13847" max="13847" width="28.140625" style="952" bestFit="1" customWidth="1"/>
    <col min="13848" max="13848" width="10.7109375" style="952" bestFit="1" customWidth="1"/>
    <col min="13849" max="13849" width="7" style="952" bestFit="1" customWidth="1"/>
    <col min="13850" max="14087" width="9.140625" style="952"/>
    <col min="14088" max="14088" width="36.140625" style="952" customWidth="1"/>
    <col min="14089" max="14089" width="28.140625" style="952" bestFit="1" customWidth="1"/>
    <col min="14090" max="14090" width="10.7109375" style="952" bestFit="1" customWidth="1"/>
    <col min="14091" max="14091" width="8.7109375" style="952" bestFit="1" customWidth="1"/>
    <col min="14092" max="14092" width="10.140625" style="952" bestFit="1" customWidth="1"/>
    <col min="14093" max="14093" width="19.5703125" style="952" customWidth="1"/>
    <col min="14094" max="14094" width="9.140625" style="952"/>
    <col min="14095" max="14095" width="22.85546875" style="952" bestFit="1" customWidth="1"/>
    <col min="14096" max="14096" width="28.140625" style="952" bestFit="1" customWidth="1"/>
    <col min="14097" max="14097" width="10.7109375" style="952" bestFit="1" customWidth="1"/>
    <col min="14098" max="14098" width="7" style="952" bestFit="1" customWidth="1"/>
    <col min="14099" max="14099" width="9.140625" style="952"/>
    <col min="14100" max="14100" width="15.5703125" style="952" bestFit="1" customWidth="1"/>
    <col min="14101" max="14101" width="9.140625" style="952"/>
    <col min="14102" max="14102" width="22.85546875" style="952" bestFit="1" customWidth="1"/>
    <col min="14103" max="14103" width="28.140625" style="952" bestFit="1" customWidth="1"/>
    <col min="14104" max="14104" width="10.7109375" style="952" bestFit="1" customWidth="1"/>
    <col min="14105" max="14105" width="7" style="952" bestFit="1" customWidth="1"/>
    <col min="14106" max="14343" width="9.140625" style="952"/>
    <col min="14344" max="14344" width="36.140625" style="952" customWidth="1"/>
    <col min="14345" max="14345" width="28.140625" style="952" bestFit="1" customWidth="1"/>
    <col min="14346" max="14346" width="10.7109375" style="952" bestFit="1" customWidth="1"/>
    <col min="14347" max="14347" width="8.7109375" style="952" bestFit="1" customWidth="1"/>
    <col min="14348" max="14348" width="10.140625" style="952" bestFit="1" customWidth="1"/>
    <col min="14349" max="14349" width="19.5703125" style="952" customWidth="1"/>
    <col min="14350" max="14350" width="9.140625" style="952"/>
    <col min="14351" max="14351" width="22.85546875" style="952" bestFit="1" customWidth="1"/>
    <col min="14352" max="14352" width="28.140625" style="952" bestFit="1" customWidth="1"/>
    <col min="14353" max="14353" width="10.7109375" style="952" bestFit="1" customWidth="1"/>
    <col min="14354" max="14354" width="7" style="952" bestFit="1" customWidth="1"/>
    <col min="14355" max="14355" width="9.140625" style="952"/>
    <col min="14356" max="14356" width="15.5703125" style="952" bestFit="1" customWidth="1"/>
    <col min="14357" max="14357" width="9.140625" style="952"/>
    <col min="14358" max="14358" width="22.85546875" style="952" bestFit="1" customWidth="1"/>
    <col min="14359" max="14359" width="28.140625" style="952" bestFit="1" customWidth="1"/>
    <col min="14360" max="14360" width="10.7109375" style="952" bestFit="1" customWidth="1"/>
    <col min="14361" max="14361" width="7" style="952" bestFit="1" customWidth="1"/>
    <col min="14362" max="14599" width="9.140625" style="952"/>
    <col min="14600" max="14600" width="36.140625" style="952" customWidth="1"/>
    <col min="14601" max="14601" width="28.140625" style="952" bestFit="1" customWidth="1"/>
    <col min="14602" max="14602" width="10.7109375" style="952" bestFit="1" customWidth="1"/>
    <col min="14603" max="14603" width="8.7109375" style="952" bestFit="1" customWidth="1"/>
    <col min="14604" max="14604" width="10.140625" style="952" bestFit="1" customWidth="1"/>
    <col min="14605" max="14605" width="19.5703125" style="952" customWidth="1"/>
    <col min="14606" max="14606" width="9.140625" style="952"/>
    <col min="14607" max="14607" width="22.85546875" style="952" bestFit="1" customWidth="1"/>
    <col min="14608" max="14608" width="28.140625" style="952" bestFit="1" customWidth="1"/>
    <col min="14609" max="14609" width="10.7109375" style="952" bestFit="1" customWidth="1"/>
    <col min="14610" max="14610" width="7" style="952" bestFit="1" customWidth="1"/>
    <col min="14611" max="14611" width="9.140625" style="952"/>
    <col min="14612" max="14612" width="15.5703125" style="952" bestFit="1" customWidth="1"/>
    <col min="14613" max="14613" width="9.140625" style="952"/>
    <col min="14614" max="14614" width="22.85546875" style="952" bestFit="1" customWidth="1"/>
    <col min="14615" max="14615" width="28.140625" style="952" bestFit="1" customWidth="1"/>
    <col min="14616" max="14616" width="10.7109375" style="952" bestFit="1" customWidth="1"/>
    <col min="14617" max="14617" width="7" style="952" bestFit="1" customWidth="1"/>
    <col min="14618" max="14855" width="9.140625" style="952"/>
    <col min="14856" max="14856" width="36.140625" style="952" customWidth="1"/>
    <col min="14857" max="14857" width="28.140625" style="952" bestFit="1" customWidth="1"/>
    <col min="14858" max="14858" width="10.7109375" style="952" bestFit="1" customWidth="1"/>
    <col min="14859" max="14859" width="8.7109375" style="952" bestFit="1" customWidth="1"/>
    <col min="14860" max="14860" width="10.140625" style="952" bestFit="1" customWidth="1"/>
    <col min="14861" max="14861" width="19.5703125" style="952" customWidth="1"/>
    <col min="14862" max="14862" width="9.140625" style="952"/>
    <col min="14863" max="14863" width="22.85546875" style="952" bestFit="1" customWidth="1"/>
    <col min="14864" max="14864" width="28.140625" style="952" bestFit="1" customWidth="1"/>
    <col min="14865" max="14865" width="10.7109375" style="952" bestFit="1" customWidth="1"/>
    <col min="14866" max="14866" width="7" style="952" bestFit="1" customWidth="1"/>
    <col min="14867" max="14867" width="9.140625" style="952"/>
    <col min="14868" max="14868" width="15.5703125" style="952" bestFit="1" customWidth="1"/>
    <col min="14869" max="14869" width="9.140625" style="952"/>
    <col min="14870" max="14870" width="22.85546875" style="952" bestFit="1" customWidth="1"/>
    <col min="14871" max="14871" width="28.140625" style="952" bestFit="1" customWidth="1"/>
    <col min="14872" max="14872" width="10.7109375" style="952" bestFit="1" customWidth="1"/>
    <col min="14873" max="14873" width="7" style="952" bestFit="1" customWidth="1"/>
    <col min="14874" max="15111" width="9.140625" style="952"/>
    <col min="15112" max="15112" width="36.140625" style="952" customWidth="1"/>
    <col min="15113" max="15113" width="28.140625" style="952" bestFit="1" customWidth="1"/>
    <col min="15114" max="15114" width="10.7109375" style="952" bestFit="1" customWidth="1"/>
    <col min="15115" max="15115" width="8.7109375" style="952" bestFit="1" customWidth="1"/>
    <col min="15116" max="15116" width="10.140625" style="952" bestFit="1" customWidth="1"/>
    <col min="15117" max="15117" width="19.5703125" style="952" customWidth="1"/>
    <col min="15118" max="15118" width="9.140625" style="952"/>
    <col min="15119" max="15119" width="22.85546875" style="952" bestFit="1" customWidth="1"/>
    <col min="15120" max="15120" width="28.140625" style="952" bestFit="1" customWidth="1"/>
    <col min="15121" max="15121" width="10.7109375" style="952" bestFit="1" customWidth="1"/>
    <col min="15122" max="15122" width="7" style="952" bestFit="1" customWidth="1"/>
    <col min="15123" max="15123" width="9.140625" style="952"/>
    <col min="15124" max="15124" width="15.5703125" style="952" bestFit="1" customWidth="1"/>
    <col min="15125" max="15125" width="9.140625" style="952"/>
    <col min="15126" max="15126" width="22.85546875" style="952" bestFit="1" customWidth="1"/>
    <col min="15127" max="15127" width="28.140625" style="952" bestFit="1" customWidth="1"/>
    <col min="15128" max="15128" width="10.7109375" style="952" bestFit="1" customWidth="1"/>
    <col min="15129" max="15129" width="7" style="952" bestFit="1" customWidth="1"/>
    <col min="15130" max="15367" width="9.140625" style="952"/>
    <col min="15368" max="15368" width="36.140625" style="952" customWidth="1"/>
    <col min="15369" max="15369" width="28.140625" style="952" bestFit="1" customWidth="1"/>
    <col min="15370" max="15370" width="10.7109375" style="952" bestFit="1" customWidth="1"/>
    <col min="15371" max="15371" width="8.7109375" style="952" bestFit="1" customWidth="1"/>
    <col min="15372" max="15372" width="10.140625" style="952" bestFit="1" customWidth="1"/>
    <col min="15373" max="15373" width="19.5703125" style="952" customWidth="1"/>
    <col min="15374" max="15374" width="9.140625" style="952"/>
    <col min="15375" max="15375" width="22.85546875" style="952" bestFit="1" customWidth="1"/>
    <col min="15376" max="15376" width="28.140625" style="952" bestFit="1" customWidth="1"/>
    <col min="15377" max="15377" width="10.7109375" style="952" bestFit="1" customWidth="1"/>
    <col min="15378" max="15378" width="7" style="952" bestFit="1" customWidth="1"/>
    <col min="15379" max="15379" width="9.140625" style="952"/>
    <col min="15380" max="15380" width="15.5703125" style="952" bestFit="1" customWidth="1"/>
    <col min="15381" max="15381" width="9.140625" style="952"/>
    <col min="15382" max="15382" width="22.85546875" style="952" bestFit="1" customWidth="1"/>
    <col min="15383" max="15383" width="28.140625" style="952" bestFit="1" customWidth="1"/>
    <col min="15384" max="15384" width="10.7109375" style="952" bestFit="1" customWidth="1"/>
    <col min="15385" max="15385" width="7" style="952" bestFit="1" customWidth="1"/>
    <col min="15386" max="15623" width="9.140625" style="952"/>
    <col min="15624" max="15624" width="36.140625" style="952" customWidth="1"/>
    <col min="15625" max="15625" width="28.140625" style="952" bestFit="1" customWidth="1"/>
    <col min="15626" max="15626" width="10.7109375" style="952" bestFit="1" customWidth="1"/>
    <col min="15627" max="15627" width="8.7109375" style="952" bestFit="1" customWidth="1"/>
    <col min="15628" max="15628" width="10.140625" style="952" bestFit="1" customWidth="1"/>
    <col min="15629" max="15629" width="19.5703125" style="952" customWidth="1"/>
    <col min="15630" max="15630" width="9.140625" style="952"/>
    <col min="15631" max="15631" width="22.85546875" style="952" bestFit="1" customWidth="1"/>
    <col min="15632" max="15632" width="28.140625" style="952" bestFit="1" customWidth="1"/>
    <col min="15633" max="15633" width="10.7109375" style="952" bestFit="1" customWidth="1"/>
    <col min="15634" max="15634" width="7" style="952" bestFit="1" customWidth="1"/>
    <col min="15635" max="15635" width="9.140625" style="952"/>
    <col min="15636" max="15636" width="15.5703125" style="952" bestFit="1" customWidth="1"/>
    <col min="15637" max="15637" width="9.140625" style="952"/>
    <col min="15638" max="15638" width="22.85546875" style="952" bestFit="1" customWidth="1"/>
    <col min="15639" max="15639" width="28.140625" style="952" bestFit="1" customWidth="1"/>
    <col min="15640" max="15640" width="10.7109375" style="952" bestFit="1" customWidth="1"/>
    <col min="15641" max="15641" width="7" style="952" bestFit="1" customWidth="1"/>
    <col min="15642" max="15879" width="9.140625" style="952"/>
    <col min="15880" max="15880" width="36.140625" style="952" customWidth="1"/>
    <col min="15881" max="15881" width="28.140625" style="952" bestFit="1" customWidth="1"/>
    <col min="15882" max="15882" width="10.7109375" style="952" bestFit="1" customWidth="1"/>
    <col min="15883" max="15883" width="8.7109375" style="952" bestFit="1" customWidth="1"/>
    <col min="15884" max="15884" width="10.140625" style="952" bestFit="1" customWidth="1"/>
    <col min="15885" max="15885" width="19.5703125" style="952" customWidth="1"/>
    <col min="15886" max="15886" width="9.140625" style="952"/>
    <col min="15887" max="15887" width="22.85546875" style="952" bestFit="1" customWidth="1"/>
    <col min="15888" max="15888" width="28.140625" style="952" bestFit="1" customWidth="1"/>
    <col min="15889" max="15889" width="10.7109375" style="952" bestFit="1" customWidth="1"/>
    <col min="15890" max="15890" width="7" style="952" bestFit="1" customWidth="1"/>
    <col min="15891" max="15891" width="9.140625" style="952"/>
    <col min="15892" max="15892" width="15.5703125" style="952" bestFit="1" customWidth="1"/>
    <col min="15893" max="15893" width="9.140625" style="952"/>
    <col min="15894" max="15894" width="22.85546875" style="952" bestFit="1" customWidth="1"/>
    <col min="15895" max="15895" width="28.140625" style="952" bestFit="1" customWidth="1"/>
    <col min="15896" max="15896" width="10.7109375" style="952" bestFit="1" customWidth="1"/>
    <col min="15897" max="15897" width="7" style="952" bestFit="1" customWidth="1"/>
    <col min="15898" max="16135" width="9.140625" style="952"/>
    <col min="16136" max="16136" width="36.140625" style="952" customWidth="1"/>
    <col min="16137" max="16137" width="28.140625" style="952" bestFit="1" customWidth="1"/>
    <col min="16138" max="16138" width="10.7109375" style="952" bestFit="1" customWidth="1"/>
    <col min="16139" max="16139" width="8.7109375" style="952" bestFit="1" customWidth="1"/>
    <col min="16140" max="16140" width="10.140625" style="952" bestFit="1" customWidth="1"/>
    <col min="16141" max="16141" width="19.5703125" style="952" customWidth="1"/>
    <col min="16142" max="16142" width="9.140625" style="952"/>
    <col min="16143" max="16143" width="22.85546875" style="952" bestFit="1" customWidth="1"/>
    <col min="16144" max="16144" width="28.140625" style="952" bestFit="1" customWidth="1"/>
    <col min="16145" max="16145" width="10.7109375" style="952" bestFit="1" customWidth="1"/>
    <col min="16146" max="16146" width="7" style="952" bestFit="1" customWidth="1"/>
    <col min="16147" max="16147" width="9.140625" style="952"/>
    <col min="16148" max="16148" width="15.5703125" style="952" bestFit="1" customWidth="1"/>
    <col min="16149" max="16149" width="9.140625" style="952"/>
    <col min="16150" max="16150" width="22.85546875" style="952" bestFit="1" customWidth="1"/>
    <col min="16151" max="16151" width="28.140625" style="952" bestFit="1" customWidth="1"/>
    <col min="16152" max="16152" width="10.7109375" style="952" bestFit="1" customWidth="1"/>
    <col min="16153" max="16153" width="7" style="952" bestFit="1" customWidth="1"/>
    <col min="16154" max="16384" width="9.140625" style="952"/>
  </cols>
  <sheetData>
    <row r="1" spans="1:28">
      <c r="A1" s="637" t="s">
        <v>464</v>
      </c>
      <c r="O1" s="3307" t="s">
        <v>714</v>
      </c>
      <c r="P1" s="3307"/>
      <c r="Q1" s="3307"/>
      <c r="R1" s="3307"/>
      <c r="S1" s="3307"/>
      <c r="T1" s="3307"/>
      <c r="U1" s="3307"/>
      <c r="V1" s="3307"/>
    </row>
    <row r="2" spans="1:28" ht="18.75" thickBot="1">
      <c r="A2" s="954" t="s">
        <v>336</v>
      </c>
      <c r="L2" s="1661"/>
      <c r="M2" s="1661"/>
      <c r="N2" s="1661"/>
      <c r="O2" s="3307"/>
      <c r="P2" s="3307"/>
      <c r="Q2" s="3307"/>
      <c r="R2" s="3307"/>
      <c r="S2" s="3307"/>
      <c r="T2" s="3307"/>
      <c r="U2" s="3307"/>
      <c r="V2" s="3307"/>
      <c r="W2" s="1661"/>
      <c r="X2" s="1661"/>
      <c r="Y2" s="1661"/>
      <c r="Z2" s="1661"/>
      <c r="AA2" s="1661"/>
      <c r="AB2" s="1661"/>
    </row>
    <row r="3" spans="1:28" ht="18.75" thickBot="1">
      <c r="A3" s="955" t="s">
        <v>465</v>
      </c>
      <c r="B3" s="956"/>
      <c r="C3" s="956"/>
      <c r="D3" s="956"/>
      <c r="E3" s="956"/>
      <c r="F3" s="957"/>
      <c r="G3" s="951"/>
      <c r="H3" s="951"/>
      <c r="I3" s="951"/>
      <c r="J3" s="951"/>
      <c r="K3" s="951"/>
      <c r="L3" s="1676"/>
      <c r="M3" s="1661"/>
      <c r="N3" s="1661"/>
      <c r="O3" s="1661"/>
      <c r="P3" s="1661"/>
      <c r="Q3" s="1661"/>
      <c r="R3" s="1661"/>
      <c r="S3" s="1661"/>
      <c r="T3" s="1695"/>
      <c r="U3" s="1676"/>
      <c r="V3" s="1661"/>
      <c r="W3" s="1661"/>
      <c r="X3" s="1661"/>
      <c r="Y3" s="1661"/>
      <c r="Z3" s="1661"/>
      <c r="AA3" s="1661"/>
      <c r="AB3" s="1661"/>
    </row>
    <row r="4" spans="1:28" ht="18.75" thickBot="1">
      <c r="A4" s="958" t="s">
        <v>279</v>
      </c>
      <c r="B4" s="959"/>
      <c r="C4" s="960" t="s">
        <v>420</v>
      </c>
      <c r="D4" s="961" t="s">
        <v>421</v>
      </c>
      <c r="E4" s="962" t="s">
        <v>422</v>
      </c>
      <c r="F4" s="963"/>
      <c r="G4" s="964"/>
      <c r="H4" s="964"/>
      <c r="I4" s="964"/>
      <c r="J4" s="964"/>
      <c r="K4" s="964"/>
      <c r="L4" s="1549"/>
      <c r="M4" s="1661"/>
      <c r="N4" s="1661"/>
      <c r="O4" s="3304" t="s">
        <v>331</v>
      </c>
      <c r="P4" s="3305"/>
      <c r="Q4" s="3305"/>
      <c r="R4" s="3305"/>
      <c r="S4" s="3305"/>
      <c r="T4" s="3305"/>
      <c r="U4" s="3305"/>
      <c r="V4" s="3306"/>
      <c r="W4" s="1661"/>
      <c r="X4" s="1661"/>
      <c r="Y4" s="1661"/>
      <c r="Z4" s="1661"/>
      <c r="AA4" s="1661"/>
      <c r="AB4" s="1661"/>
    </row>
    <row r="5" spans="1:28" ht="18.75" thickBot="1">
      <c r="A5" s="965" t="s">
        <v>282</v>
      </c>
      <c r="B5" s="966"/>
      <c r="C5" s="967"/>
      <c r="D5" s="968"/>
      <c r="E5" s="969"/>
      <c r="F5" s="970"/>
      <c r="G5" s="964"/>
      <c r="H5" s="964"/>
      <c r="I5" s="964"/>
      <c r="J5" s="964"/>
      <c r="K5" s="964"/>
      <c r="L5" s="1549"/>
      <c r="M5" s="1661"/>
      <c r="N5" s="1661"/>
      <c r="O5" s="3302" t="s">
        <v>227</v>
      </c>
      <c r="P5" s="3303"/>
      <c r="Q5" s="3300" t="s">
        <v>228</v>
      </c>
      <c r="R5" s="3300"/>
      <c r="S5" s="3300"/>
      <c r="T5" s="3300"/>
      <c r="U5" s="3300"/>
      <c r="V5" s="3301"/>
      <c r="W5" s="1661"/>
      <c r="X5" s="1661"/>
      <c r="Y5" s="1661"/>
      <c r="Z5" s="1661"/>
      <c r="AA5" s="1661"/>
      <c r="AB5" s="1661"/>
    </row>
    <row r="6" spans="1:28">
      <c r="A6" s="965"/>
      <c r="B6" s="971" t="s">
        <v>466</v>
      </c>
      <c r="C6" s="972">
        <f>'[8]FY 09 UFR Salary Data'!$F$36</f>
        <v>33751.15474941882</v>
      </c>
      <c r="D6" s="973">
        <v>0.15</v>
      </c>
      <c r="E6" s="974">
        <f>C6*D6</f>
        <v>5062.673212412823</v>
      </c>
      <c r="F6" s="975"/>
      <c r="G6" s="964"/>
      <c r="H6" s="964"/>
      <c r="I6" s="964"/>
      <c r="J6" s="964"/>
      <c r="K6" s="964"/>
      <c r="L6" s="1549"/>
      <c r="M6" s="1661"/>
      <c r="N6" s="1661"/>
      <c r="O6" s="1696" t="str">
        <f>'Master Look Up'!K28</f>
        <v xml:space="preserve">Case Worker </v>
      </c>
      <c r="P6" s="1697">
        <v>40107</v>
      </c>
      <c r="Q6" s="1687" t="s">
        <v>832</v>
      </c>
      <c r="R6" s="1698"/>
      <c r="S6" s="1698"/>
      <c r="T6" s="1698"/>
      <c r="U6" s="1698"/>
      <c r="V6" s="1688"/>
      <c r="W6" s="1661"/>
      <c r="X6" s="1661"/>
      <c r="Y6" s="1661"/>
      <c r="Z6" s="1661"/>
      <c r="AA6" s="1661"/>
      <c r="AB6" s="1661"/>
    </row>
    <row r="7" spans="1:28">
      <c r="A7" s="976" t="s">
        <v>286</v>
      </c>
      <c r="B7" s="977"/>
      <c r="C7" s="972"/>
      <c r="D7" s="973">
        <f>SUM(D6:D6)</f>
        <v>0.15</v>
      </c>
      <c r="E7" s="974">
        <f>SUM(E6:E6)</f>
        <v>5062.673212412823</v>
      </c>
      <c r="F7" s="975"/>
      <c r="G7" s="964"/>
      <c r="H7" s="964"/>
      <c r="I7" s="964"/>
      <c r="J7" s="964"/>
      <c r="K7" s="964"/>
      <c r="L7" s="1549"/>
      <c r="M7" s="1661"/>
      <c r="N7" s="1661"/>
      <c r="O7" s="1699"/>
      <c r="P7" s="1700"/>
      <c r="Q7" s="1701"/>
      <c r="R7" s="1679"/>
      <c r="S7" s="1679"/>
      <c r="T7" s="1679"/>
      <c r="U7" s="1679"/>
      <c r="V7" s="1702"/>
      <c r="W7" s="1661"/>
      <c r="X7" s="1661"/>
      <c r="Y7" s="1661"/>
      <c r="Z7" s="1661"/>
      <c r="AA7" s="1661"/>
      <c r="AB7" s="1661"/>
    </row>
    <row r="8" spans="1:28">
      <c r="A8" s="978" t="s">
        <v>288</v>
      </c>
      <c r="B8" s="979" t="s">
        <v>289</v>
      </c>
      <c r="C8" s="980">
        <v>0.22</v>
      </c>
      <c r="D8" s="973"/>
      <c r="E8" s="974">
        <f>E7*C8</f>
        <v>1113.788106730821</v>
      </c>
      <c r="F8" s="975"/>
      <c r="G8" s="964"/>
      <c r="H8" s="964"/>
      <c r="I8" s="964"/>
      <c r="J8" s="964"/>
      <c r="K8" s="964"/>
      <c r="L8" s="1549"/>
      <c r="M8" s="1661"/>
      <c r="N8" s="1661"/>
      <c r="O8" s="1699"/>
      <c r="P8" s="1700"/>
      <c r="Q8" s="1701"/>
      <c r="R8" s="1679"/>
      <c r="S8" s="1679"/>
      <c r="T8" s="1679"/>
      <c r="U8" s="1679"/>
      <c r="V8" s="1702"/>
      <c r="W8" s="1661"/>
      <c r="X8" s="1661"/>
      <c r="Y8" s="3096"/>
      <c r="Z8" s="1661"/>
      <c r="AA8" s="1661"/>
      <c r="AB8" s="1661"/>
    </row>
    <row r="9" spans="1:28">
      <c r="A9" s="981" t="s">
        <v>467</v>
      </c>
      <c r="B9" s="982"/>
      <c r="C9" s="982"/>
      <c r="D9" s="982"/>
      <c r="E9" s="983">
        <f>+SUM(E7:E8)</f>
        <v>6176.4613191436438</v>
      </c>
      <c r="F9" s="984" t="e">
        <f>E9/#REF!</f>
        <v>#REF!</v>
      </c>
      <c r="G9" s="951"/>
      <c r="H9" s="951"/>
      <c r="I9" s="951"/>
      <c r="J9" s="951"/>
      <c r="K9" s="951"/>
      <c r="L9" s="1676"/>
      <c r="M9" s="1661"/>
      <c r="N9" s="1661"/>
      <c r="O9" s="1699" t="s">
        <v>533</v>
      </c>
      <c r="P9" s="1700">
        <f>21600* (1+2.72%)</f>
        <v>22187.520000000004</v>
      </c>
      <c r="Q9" s="1701" t="s">
        <v>1055</v>
      </c>
      <c r="R9" s="1679"/>
      <c r="S9" s="1679"/>
      <c r="T9" s="1679"/>
      <c r="U9" s="1679"/>
      <c r="V9" s="1702"/>
      <c r="X9" s="1661"/>
      <c r="Y9" s="3096"/>
      <c r="Z9" s="1661"/>
      <c r="AA9" s="1661"/>
      <c r="AB9" s="1661"/>
    </row>
    <row r="10" spans="1:28">
      <c r="A10" s="985" t="s">
        <v>468</v>
      </c>
      <c r="B10" s="986"/>
      <c r="C10" s="987"/>
      <c r="D10" s="968"/>
      <c r="E10" s="969">
        <v>5500</v>
      </c>
      <c r="F10" s="975" t="e">
        <f>E10/#REF!</f>
        <v>#REF!</v>
      </c>
      <c r="G10" s="964"/>
      <c r="H10" s="964"/>
      <c r="I10" s="964"/>
      <c r="J10" s="964"/>
      <c r="K10" s="964"/>
      <c r="L10" s="1549"/>
      <c r="M10" s="1661"/>
      <c r="N10" s="1661"/>
      <c r="O10" s="1699" t="s">
        <v>534</v>
      </c>
      <c r="P10" s="1700">
        <f>29455* (1+2.72%)</f>
        <v>30256.176000000003</v>
      </c>
      <c r="Q10" s="1701" t="s">
        <v>1055</v>
      </c>
      <c r="R10" s="1679"/>
      <c r="S10" s="1679"/>
      <c r="T10" s="1679"/>
      <c r="U10" s="1679"/>
      <c r="V10" s="1702"/>
      <c r="W10" s="1682"/>
      <c r="X10" s="1661"/>
      <c r="Y10" s="3096"/>
      <c r="Z10" s="1661"/>
      <c r="AA10" s="1661"/>
      <c r="AB10" s="1661"/>
    </row>
    <row r="11" spans="1:28">
      <c r="A11" s="985" t="s">
        <v>469</v>
      </c>
      <c r="B11" s="986" t="s">
        <v>470</v>
      </c>
      <c r="C11" s="967"/>
      <c r="D11" s="968"/>
      <c r="E11" s="969">
        <f>55*365</f>
        <v>20075</v>
      </c>
      <c r="F11" s="988" t="e">
        <f>E11/#REF!</f>
        <v>#REF!</v>
      </c>
      <c r="G11" s="964"/>
      <c r="H11" s="964"/>
      <c r="I11" s="964"/>
      <c r="J11" s="964"/>
      <c r="K11" s="964"/>
      <c r="L11" s="1549"/>
      <c r="M11" s="1661"/>
      <c r="N11" s="1661"/>
      <c r="O11" s="1699" t="s">
        <v>535</v>
      </c>
      <c r="P11" s="1700">
        <f>37309* (1+2.72%)</f>
        <v>38323.804800000005</v>
      </c>
      <c r="Q11" s="1701" t="s">
        <v>1055</v>
      </c>
      <c r="R11" s="1679"/>
      <c r="S11" s="1679"/>
      <c r="T11" s="1679"/>
      <c r="U11" s="1679"/>
      <c r="V11" s="1702"/>
      <c r="W11" s="1682"/>
      <c r="X11" s="1661"/>
      <c r="Y11" s="1661"/>
      <c r="Z11" s="1661"/>
      <c r="AA11" s="1661"/>
      <c r="AB11" s="1661"/>
    </row>
    <row r="12" spans="1:28" ht="18.75">
      <c r="A12" s="989" t="s">
        <v>471</v>
      </c>
      <c r="B12" s="990"/>
      <c r="C12" s="991"/>
      <c r="D12" s="992"/>
      <c r="E12" s="993">
        <f>SUM(E11:E11)</f>
        <v>20075</v>
      </c>
      <c r="F12" s="984" t="e">
        <f>E12/#REF!</f>
        <v>#REF!</v>
      </c>
      <c r="G12" s="964"/>
      <c r="H12" s="964"/>
      <c r="I12" s="964"/>
      <c r="J12" s="964"/>
      <c r="K12" s="964"/>
      <c r="L12" s="1549"/>
      <c r="M12" s="1661"/>
      <c r="N12" s="1661"/>
      <c r="O12" s="2630"/>
      <c r="P12" s="951"/>
      <c r="Q12" s="951"/>
      <c r="R12" s="951"/>
      <c r="S12" s="951"/>
      <c r="T12" s="951"/>
      <c r="U12" s="951"/>
      <c r="V12" s="2631"/>
      <c r="W12" s="1661"/>
      <c r="X12" s="1661"/>
      <c r="Y12" s="1661"/>
      <c r="Z12" s="1661"/>
      <c r="AA12" s="1661"/>
      <c r="AB12" s="1661"/>
    </row>
    <row r="13" spans="1:28" ht="18.75">
      <c r="A13" s="2411"/>
      <c r="B13" s="2412"/>
      <c r="C13" s="2413"/>
      <c r="D13" s="2414"/>
      <c r="E13" s="2415"/>
      <c r="F13" s="975"/>
      <c r="G13" s="964"/>
      <c r="H13" s="964"/>
      <c r="I13" s="964"/>
      <c r="J13" s="964"/>
      <c r="K13" s="964"/>
      <c r="L13" s="1549"/>
      <c r="M13" s="1661"/>
      <c r="N13" s="1661"/>
      <c r="O13" s="1699" t="s">
        <v>845</v>
      </c>
      <c r="P13" s="2435">
        <v>596.88798545698035</v>
      </c>
      <c r="Q13" s="1701" t="s">
        <v>868</v>
      </c>
      <c r="R13" s="1679"/>
      <c r="S13" s="1679"/>
      <c r="T13" s="1679"/>
      <c r="U13" s="1679"/>
      <c r="V13" s="1702"/>
      <c r="W13" s="1661"/>
      <c r="X13" s="1661"/>
      <c r="Y13" s="1661"/>
      <c r="Z13" s="1661"/>
      <c r="AA13" s="1661"/>
      <c r="AB13" s="1661"/>
    </row>
    <row r="14" spans="1:28" ht="18.75">
      <c r="A14" s="2411"/>
      <c r="B14" s="2412"/>
      <c r="C14" s="2413"/>
      <c r="D14" s="2414"/>
      <c r="E14" s="2415"/>
      <c r="F14" s="975"/>
      <c r="G14" s="964"/>
      <c r="H14" s="964"/>
      <c r="I14" s="964"/>
      <c r="J14" s="964"/>
      <c r="K14" s="964"/>
      <c r="L14" s="1549"/>
      <c r="M14" s="1661"/>
      <c r="N14" s="1661"/>
      <c r="O14" s="1699" t="s">
        <v>660</v>
      </c>
      <c r="P14" s="2435">
        <v>5155.4902174195804</v>
      </c>
      <c r="Q14" s="1701" t="s">
        <v>868</v>
      </c>
      <c r="R14" s="1679"/>
      <c r="S14" s="1679"/>
      <c r="T14" s="1679"/>
      <c r="U14" s="1679"/>
      <c r="V14" s="1702"/>
      <c r="W14" s="1661"/>
      <c r="X14" s="1661"/>
      <c r="Y14" s="1661"/>
      <c r="Z14" s="1661"/>
      <c r="AA14" s="1661"/>
      <c r="AB14" s="1661"/>
    </row>
    <row r="15" spans="1:28" ht="18.75">
      <c r="A15" s="2411"/>
      <c r="B15" s="2412"/>
      <c r="C15" s="2413"/>
      <c r="D15" s="2414"/>
      <c r="E15" s="2415"/>
      <c r="F15" s="975"/>
      <c r="G15" s="964"/>
      <c r="H15" s="964"/>
      <c r="I15" s="964"/>
      <c r="J15" s="964"/>
      <c r="K15" s="964"/>
      <c r="L15" s="1549"/>
      <c r="M15" s="1661"/>
      <c r="N15" s="1661"/>
      <c r="O15" s="1699"/>
      <c r="P15" s="2436"/>
      <c r="Q15" s="1701"/>
      <c r="R15" s="1679"/>
      <c r="S15" s="1679"/>
      <c r="T15" s="1679"/>
      <c r="U15" s="1679"/>
      <c r="V15" s="1702"/>
      <c r="W15" s="1661"/>
      <c r="X15" s="1661"/>
      <c r="Y15" s="1661"/>
      <c r="Z15" s="1661"/>
      <c r="AA15" s="1661"/>
      <c r="AB15" s="1661"/>
    </row>
    <row r="16" spans="1:28" ht="18.75">
      <c r="A16" s="2411"/>
      <c r="B16" s="2412"/>
      <c r="C16" s="2413"/>
      <c r="D16" s="2414"/>
      <c r="E16" s="2415"/>
      <c r="F16" s="975"/>
      <c r="G16" s="964"/>
      <c r="H16" s="964"/>
      <c r="I16" s="964"/>
      <c r="J16" s="964"/>
      <c r="K16" s="964"/>
      <c r="L16" s="1549"/>
      <c r="M16" s="1661"/>
      <c r="N16" s="1661"/>
      <c r="O16" s="1699"/>
      <c r="P16" s="1672"/>
      <c r="Q16" s="1701"/>
      <c r="R16" s="1679"/>
      <c r="S16" s="1679"/>
      <c r="T16" s="1679"/>
      <c r="U16" s="1679"/>
      <c r="V16" s="1702"/>
      <c r="W16" s="1661"/>
      <c r="X16" s="1661"/>
      <c r="Y16" s="1661"/>
      <c r="Z16" s="1661"/>
      <c r="AA16" s="1661"/>
      <c r="AB16" s="1661"/>
    </row>
    <row r="17" spans="1:28">
      <c r="A17" s="978" t="s">
        <v>295</v>
      </c>
      <c r="B17" s="979"/>
      <c r="C17" s="972"/>
      <c r="D17" s="973"/>
      <c r="E17" s="974">
        <f>SUM(E7,E8,E10:E11)</f>
        <v>31751.461319143644</v>
      </c>
      <c r="F17" s="975" t="e">
        <f>E17/#REF!</f>
        <v>#REF!</v>
      </c>
      <c r="G17" s="964"/>
      <c r="H17" s="964"/>
      <c r="I17" s="964"/>
      <c r="J17" s="964"/>
      <c r="K17" s="964"/>
      <c r="L17" s="1549"/>
      <c r="M17" s="1661"/>
      <c r="N17" s="1661"/>
      <c r="O17" s="1699" t="s">
        <v>196</v>
      </c>
      <c r="P17" s="1672">
        <v>0.22</v>
      </c>
      <c r="Q17" s="1701" t="s">
        <v>524</v>
      </c>
      <c r="R17" s="1679"/>
      <c r="S17" s="1679"/>
      <c r="T17" s="1679"/>
      <c r="U17" s="1679"/>
      <c r="V17" s="1702"/>
      <c r="W17" s="1661"/>
      <c r="X17" s="1661"/>
      <c r="Y17" s="1661"/>
      <c r="Z17" s="1661"/>
      <c r="AA17" s="1661"/>
      <c r="AB17" s="1661"/>
    </row>
    <row r="18" spans="1:28">
      <c r="A18" s="985"/>
      <c r="B18" s="986"/>
      <c r="C18" s="967"/>
      <c r="D18" s="968"/>
      <c r="E18" s="969"/>
      <c r="F18" s="975"/>
      <c r="G18" s="964"/>
      <c r="H18" s="964"/>
      <c r="I18" s="964"/>
      <c r="J18" s="964"/>
      <c r="K18" s="964"/>
      <c r="L18" s="1549"/>
      <c r="M18" s="1661"/>
      <c r="N18" s="1661"/>
      <c r="O18" s="1699" t="s">
        <v>201</v>
      </c>
      <c r="P18" s="1672">
        <v>0.11</v>
      </c>
      <c r="Q18" s="1701" t="s">
        <v>524</v>
      </c>
      <c r="R18" s="1679"/>
      <c r="S18" s="1679"/>
      <c r="T18" s="1679"/>
      <c r="U18" s="1679"/>
      <c r="V18" s="1702"/>
      <c r="W18" s="1661"/>
      <c r="X18" s="1661"/>
      <c r="Y18" s="1661"/>
      <c r="Z18" s="1661"/>
      <c r="AA18" s="1661"/>
      <c r="AB18" s="1661"/>
    </row>
    <row r="19" spans="1:28">
      <c r="A19" s="985"/>
      <c r="B19" s="986"/>
      <c r="C19" s="967"/>
      <c r="D19" s="968"/>
      <c r="E19" s="969"/>
      <c r="F19" s="975"/>
      <c r="G19" s="964"/>
      <c r="H19" s="964"/>
      <c r="I19" s="964"/>
      <c r="J19" s="964"/>
      <c r="K19" s="964"/>
      <c r="L19" s="1549"/>
      <c r="M19" s="1661"/>
      <c r="N19" s="1661"/>
      <c r="O19" s="1723" t="s">
        <v>653</v>
      </c>
      <c r="P19" s="1685">
        <v>6.3E-3</v>
      </c>
      <c r="Q19" s="1684" t="s">
        <v>860</v>
      </c>
      <c r="R19" s="1679"/>
      <c r="S19" s="1679"/>
      <c r="T19" s="1679"/>
      <c r="U19" s="1679"/>
      <c r="V19" s="1702"/>
      <c r="W19" s="1661"/>
      <c r="X19" s="1661"/>
      <c r="Y19" s="1661"/>
      <c r="Z19" s="1661"/>
      <c r="AA19" s="1661"/>
      <c r="AB19" s="1661"/>
    </row>
    <row r="20" spans="1:28" ht="18.75" thickBot="1">
      <c r="A20" s="994" t="s">
        <v>297</v>
      </c>
      <c r="B20" s="995" t="s">
        <v>298</v>
      </c>
      <c r="C20" s="996">
        <v>0.11</v>
      </c>
      <c r="D20" s="997"/>
      <c r="E20" s="998">
        <f>C20*E17</f>
        <v>3492.6607451058007</v>
      </c>
      <c r="F20" s="975" t="e">
        <f>E20/#REF!</f>
        <v>#REF!</v>
      </c>
      <c r="G20" s="964"/>
      <c r="H20" s="964"/>
      <c r="I20" s="964"/>
      <c r="J20" s="964"/>
      <c r="K20" s="964"/>
      <c r="L20" s="1549"/>
      <c r="M20" s="1661"/>
      <c r="N20" s="1661"/>
      <c r="O20" s="2632" t="s">
        <v>256</v>
      </c>
      <c r="P20" s="2633">
        <f>'Spring 2019 CAF'!BU25</f>
        <v>1.8120393120392975E-2</v>
      </c>
      <c r="Q20" s="2634" t="s">
        <v>652</v>
      </c>
      <c r="R20" s="2635"/>
      <c r="S20" s="2635"/>
      <c r="T20" s="2635"/>
      <c r="U20" s="2635"/>
      <c r="V20" s="2636"/>
      <c r="W20" s="1661"/>
      <c r="X20" s="1661"/>
      <c r="Y20" s="1661"/>
      <c r="Z20" s="1661"/>
      <c r="AA20" s="1661"/>
      <c r="AB20" s="1661"/>
    </row>
    <row r="21" spans="1:28" ht="18.75" hidden="1" thickBot="1">
      <c r="A21" s="999" t="s">
        <v>299</v>
      </c>
      <c r="B21" s="1000"/>
      <c r="C21" s="1001"/>
      <c r="D21" s="997"/>
      <c r="E21" s="998">
        <f>E20</f>
        <v>3492.6607451058007</v>
      </c>
      <c r="F21" s="975" t="e">
        <f>E21/#REF!</f>
        <v>#REF!</v>
      </c>
      <c r="G21" s="964"/>
      <c r="H21" s="964"/>
      <c r="I21" s="964"/>
      <c r="J21" s="964"/>
      <c r="K21" s="964"/>
      <c r="L21" s="1549"/>
      <c r="M21" s="1661"/>
      <c r="N21" s="1661"/>
      <c r="O21" s="1716" t="s">
        <v>711</v>
      </c>
      <c r="P21" s="1680">
        <f>'CAF Spring17'!BK27</f>
        <v>2.7235921972764018E-2</v>
      </c>
      <c r="Q21" s="1717" t="s">
        <v>523</v>
      </c>
      <c r="R21" s="1718"/>
      <c r="S21" s="1718"/>
      <c r="T21" s="1718"/>
      <c r="U21" s="1718"/>
      <c r="V21" s="1719"/>
      <c r="W21" s="1661"/>
      <c r="X21" s="1661"/>
      <c r="Y21" s="1676"/>
      <c r="Z21" s="1661"/>
      <c r="AA21" s="1661"/>
      <c r="AB21" s="1676"/>
    </row>
    <row r="22" spans="1:28" ht="18.75" thickBot="1">
      <c r="A22" s="1002"/>
      <c r="B22" s="1003"/>
      <c r="C22" s="1004"/>
      <c r="D22" s="1005"/>
      <c r="E22" s="1006"/>
      <c r="F22" s="975"/>
      <c r="G22" s="964"/>
      <c r="H22" s="964"/>
      <c r="I22" s="964"/>
      <c r="J22" s="964"/>
      <c r="K22" s="964"/>
      <c r="L22" s="1549"/>
      <c r="M22" s="1549"/>
      <c r="N22" s="1549"/>
      <c r="O22" s="1549"/>
      <c r="P22" s="1549"/>
      <c r="Q22" s="1549"/>
      <c r="R22" s="1549"/>
      <c r="S22" s="1661"/>
      <c r="T22" s="1661"/>
      <c r="U22" s="1661"/>
      <c r="V22" s="1695"/>
      <c r="W22" s="1661"/>
      <c r="X22" s="1661"/>
      <c r="Y22" s="1661"/>
      <c r="Z22" s="1661"/>
      <c r="AA22" s="1661"/>
      <c r="AB22" s="1676"/>
    </row>
    <row r="23" spans="1:28" ht="18.75" thickBot="1">
      <c r="A23" s="955" t="s">
        <v>474</v>
      </c>
      <c r="B23" s="956"/>
      <c r="C23" s="956"/>
      <c r="D23" s="956"/>
      <c r="E23" s="956"/>
      <c r="F23" s="957"/>
      <c r="L23" s="1661"/>
      <c r="M23" s="1661"/>
      <c r="N23" s="1661"/>
      <c r="O23" s="1661"/>
      <c r="P23" s="1661"/>
      <c r="Q23" s="1661"/>
      <c r="R23" s="1661"/>
      <c r="S23" s="1661"/>
      <c r="T23" s="1695"/>
      <c r="U23" s="1661"/>
      <c r="V23" s="1661"/>
      <c r="W23" s="1661"/>
      <c r="X23" s="1661"/>
      <c r="Y23" s="1661"/>
      <c r="Z23" s="1661"/>
      <c r="AA23" s="1661"/>
      <c r="AB23" s="1661"/>
    </row>
    <row r="24" spans="1:28" ht="18.75" thickBot="1">
      <c r="A24" s="958" t="s">
        <v>279</v>
      </c>
      <c r="B24" s="959"/>
      <c r="C24" s="960" t="s">
        <v>420</v>
      </c>
      <c r="D24" s="961" t="s">
        <v>421</v>
      </c>
      <c r="E24" s="962" t="s">
        <v>422</v>
      </c>
      <c r="F24" s="963"/>
      <c r="L24" s="1703" t="s">
        <v>529</v>
      </c>
      <c r="M24" s="1704"/>
      <c r="N24" s="1704"/>
      <c r="O24" s="1705"/>
      <c r="P24" s="1661"/>
      <c r="Q24" s="1706" t="s">
        <v>530</v>
      </c>
      <c r="R24" s="1707"/>
      <c r="S24" s="1707"/>
      <c r="T24" s="1708"/>
      <c r="U24" s="1661"/>
      <c r="V24" s="1706" t="s">
        <v>531</v>
      </c>
      <c r="W24" s="1707"/>
      <c r="X24" s="1707"/>
      <c r="Y24" s="1708"/>
      <c r="Z24" s="1661"/>
      <c r="AA24" s="1661"/>
      <c r="AB24" s="1661"/>
    </row>
    <row r="25" spans="1:28">
      <c r="A25" s="965" t="s">
        <v>282</v>
      </c>
      <c r="B25" s="966"/>
      <c r="C25" s="967"/>
      <c r="D25" s="968"/>
      <c r="E25" s="969"/>
      <c r="F25" s="970"/>
      <c r="L25" s="1686"/>
      <c r="M25" s="1709" t="s">
        <v>379</v>
      </c>
      <c r="N25" s="1709">
        <v>365</v>
      </c>
      <c r="O25" s="1710"/>
      <c r="P25" s="1661"/>
      <c r="Q25" s="1686"/>
      <c r="R25" s="1709" t="s">
        <v>379</v>
      </c>
      <c r="S25" s="1709">
        <v>365</v>
      </c>
      <c r="T25" s="1710"/>
      <c r="U25" s="1661"/>
      <c r="V25" s="1686"/>
      <c r="W25" s="1709" t="s">
        <v>379</v>
      </c>
      <c r="X25" s="1709">
        <v>365</v>
      </c>
      <c r="Y25" s="1710"/>
      <c r="Z25" s="1661"/>
      <c r="AA25" s="1661"/>
      <c r="AB25" s="1661"/>
    </row>
    <row r="26" spans="1:28" ht="18.75" thickBot="1">
      <c r="A26" s="965"/>
      <c r="B26" s="971" t="s">
        <v>466</v>
      </c>
      <c r="C26" s="972">
        <f>'[8]FY 09 UFR Salary Data'!$F$36</f>
        <v>33751.15474941882</v>
      </c>
      <c r="D26" s="973">
        <v>0.15</v>
      </c>
      <c r="E26" s="974">
        <f>C26*D26</f>
        <v>5062.673212412823</v>
      </c>
      <c r="F26" s="975"/>
      <c r="L26" s="1666"/>
      <c r="M26" s="2416" t="s">
        <v>209</v>
      </c>
      <c r="N26" s="2416" t="s">
        <v>190</v>
      </c>
      <c r="O26" s="1724" t="s">
        <v>210</v>
      </c>
      <c r="P26" s="1661"/>
      <c r="Q26" s="1669"/>
      <c r="R26" s="1711" t="s">
        <v>209</v>
      </c>
      <c r="S26" s="1711" t="s">
        <v>190</v>
      </c>
      <c r="T26" s="1712" t="s">
        <v>210</v>
      </c>
      <c r="U26" s="1661"/>
      <c r="V26" s="1669"/>
      <c r="W26" s="1711" t="s">
        <v>209</v>
      </c>
      <c r="X26" s="1711" t="s">
        <v>190</v>
      </c>
      <c r="Y26" s="1712" t="s">
        <v>210</v>
      </c>
      <c r="Z26" s="1661"/>
      <c r="AA26" s="1661"/>
      <c r="AB26" s="1661"/>
    </row>
    <row r="27" spans="1:28" ht="18.75" thickBot="1">
      <c r="A27" s="976" t="s">
        <v>286</v>
      </c>
      <c r="B27" s="977"/>
      <c r="C27" s="972"/>
      <c r="D27" s="973">
        <f>SUM(D26:D26)</f>
        <v>0.15</v>
      </c>
      <c r="E27" s="974">
        <f>SUM(E26:E26)</f>
        <v>5062.673212412823</v>
      </c>
      <c r="F27" s="975"/>
      <c r="L27" s="1662" t="str">
        <f>O6</f>
        <v xml:space="preserve">Case Worker </v>
      </c>
      <c r="M27" s="2417">
        <v>40107</v>
      </c>
      <c r="N27" s="1990">
        <v>0.15</v>
      </c>
      <c r="O27" s="2421">
        <f>M27*N27</f>
        <v>6016.05</v>
      </c>
      <c r="P27" s="1661"/>
      <c r="Q27" s="1662" t="str">
        <f>O6</f>
        <v xml:space="preserve">Case Worker </v>
      </c>
      <c r="R27" s="2417">
        <f>P6</f>
        <v>40107</v>
      </c>
      <c r="S27" s="1990">
        <v>0.15</v>
      </c>
      <c r="T27" s="2421">
        <f>R27*S27</f>
        <v>6016.05</v>
      </c>
      <c r="U27" s="1661"/>
      <c r="V27" s="1662" t="str">
        <f>O6</f>
        <v xml:space="preserve">Case Worker </v>
      </c>
      <c r="W27" s="2417">
        <f>P6</f>
        <v>40107</v>
      </c>
      <c r="X27" s="1990">
        <v>0.15</v>
      </c>
      <c r="Y27" s="2421">
        <f>W27*X27</f>
        <v>6016.05</v>
      </c>
      <c r="Z27" s="1661"/>
      <c r="AA27" s="1661"/>
      <c r="AB27" s="1661"/>
    </row>
    <row r="28" spans="1:28">
      <c r="A28" s="965" t="s">
        <v>467</v>
      </c>
      <c r="B28" s="1021"/>
      <c r="C28" s="1021"/>
      <c r="D28" s="1021"/>
      <c r="E28" s="1022">
        <f>+SUM(E27:E27)</f>
        <v>5062.673212412823</v>
      </c>
      <c r="F28" s="1023" t="e">
        <f t="shared" ref="F28:F38" si="0">E28/$E$42</f>
        <v>#REF!</v>
      </c>
      <c r="L28" s="1667" t="s">
        <v>334</v>
      </c>
      <c r="M28" s="1668"/>
      <c r="N28" s="1676"/>
      <c r="O28" s="2419">
        <f>SUM(O27:O27)</f>
        <v>6016.05</v>
      </c>
      <c r="P28" s="1661"/>
      <c r="Q28" s="1667" t="s">
        <v>334</v>
      </c>
      <c r="R28" s="1668"/>
      <c r="S28" s="1676"/>
      <c r="T28" s="2419">
        <f>SUM(T27:T27)</f>
        <v>6016.05</v>
      </c>
      <c r="U28" s="1661"/>
      <c r="V28" s="1667" t="s">
        <v>334</v>
      </c>
      <c r="W28" s="1668"/>
      <c r="X28" s="1676"/>
      <c r="Y28" s="2419">
        <f>SUM(Y27:Y27)</f>
        <v>6016.05</v>
      </c>
      <c r="Z28" s="1661"/>
      <c r="AA28" s="1661"/>
      <c r="AB28" s="1661"/>
    </row>
    <row r="29" spans="1:28" ht="18.75" thickBot="1">
      <c r="A29" s="985" t="s">
        <v>475</v>
      </c>
      <c r="B29" s="986"/>
      <c r="C29" s="987"/>
      <c r="D29" s="968"/>
      <c r="E29" s="969">
        <v>5500</v>
      </c>
      <c r="F29" s="975" t="e">
        <f t="shared" si="0"/>
        <v>#REF!</v>
      </c>
      <c r="L29" s="1667" t="s">
        <v>196</v>
      </c>
      <c r="M29" s="2423">
        <f>P17</f>
        <v>0.22</v>
      </c>
      <c r="N29" s="1676"/>
      <c r="O29" s="2422">
        <f>M29*O28</f>
        <v>1323.5309999999999</v>
      </c>
      <c r="P29" s="1661"/>
      <c r="Q29" s="1667" t="s">
        <v>196</v>
      </c>
      <c r="R29" s="2423">
        <f>P17</f>
        <v>0.22</v>
      </c>
      <c r="S29" s="1676"/>
      <c r="T29" s="2422">
        <f>R29*T28</f>
        <v>1323.5309999999999</v>
      </c>
      <c r="U29" s="1661"/>
      <c r="V29" s="1667" t="s">
        <v>196</v>
      </c>
      <c r="W29" s="2423">
        <f>P17</f>
        <v>0.22</v>
      </c>
      <c r="X29" s="1676"/>
      <c r="Y29" s="2422">
        <f>W29*Y28</f>
        <v>1323.5309999999999</v>
      </c>
      <c r="Z29" s="1661"/>
      <c r="AA29" s="1661"/>
      <c r="AB29" s="1661"/>
    </row>
    <row r="30" spans="1:28" ht="19.5" thickTop="1" thickBot="1">
      <c r="A30" s="985" t="s">
        <v>469</v>
      </c>
      <c r="B30" s="986" t="s">
        <v>476</v>
      </c>
      <c r="C30" s="967"/>
      <c r="D30" s="968"/>
      <c r="E30" s="969">
        <f>75*365</f>
        <v>27375</v>
      </c>
      <c r="F30" s="988" t="e">
        <f t="shared" si="0"/>
        <v>#REF!</v>
      </c>
      <c r="L30" s="1667" t="s">
        <v>198</v>
      </c>
      <c r="M30" s="1668"/>
      <c r="N30" s="1676"/>
      <c r="O30" s="2419">
        <f>O28+O29</f>
        <v>7339.5810000000001</v>
      </c>
      <c r="P30" s="1661"/>
      <c r="Q30" s="1667" t="s">
        <v>198</v>
      </c>
      <c r="R30" s="1668"/>
      <c r="S30" s="1676"/>
      <c r="T30" s="2419">
        <f>T28+T29</f>
        <v>7339.5810000000001</v>
      </c>
      <c r="U30" s="1661"/>
      <c r="V30" s="1667" t="s">
        <v>198</v>
      </c>
      <c r="W30" s="1668"/>
      <c r="X30" s="1676"/>
      <c r="Y30" s="2419">
        <f>Y28+Y29</f>
        <v>7339.5810000000001</v>
      </c>
      <c r="Z30" s="1661"/>
      <c r="AA30" s="1661"/>
      <c r="AB30" s="1661"/>
    </row>
    <row r="31" spans="1:28" ht="18.75">
      <c r="A31" s="989" t="s">
        <v>471</v>
      </c>
      <c r="B31" s="990"/>
      <c r="C31" s="991"/>
      <c r="D31" s="992"/>
      <c r="E31" s="993">
        <f>SUM(E30:E30)</f>
        <v>27375</v>
      </c>
      <c r="F31" s="1024" t="e">
        <f>E31/$E$42</f>
        <v>#REF!</v>
      </c>
      <c r="L31" s="1662" t="s">
        <v>844</v>
      </c>
      <c r="M31" s="2424"/>
      <c r="N31" s="1990"/>
      <c r="O31" s="2418"/>
      <c r="P31" s="1661"/>
      <c r="Q31" s="1662" t="s">
        <v>844</v>
      </c>
      <c r="R31" s="2424"/>
      <c r="S31" s="1990"/>
      <c r="T31" s="2418"/>
      <c r="U31" s="1661"/>
      <c r="V31" s="1662" t="s">
        <v>844</v>
      </c>
      <c r="W31" s="2424"/>
      <c r="X31" s="1990"/>
      <c r="Y31" s="2418"/>
      <c r="Z31" s="1661"/>
      <c r="AA31" s="1661"/>
      <c r="AB31" s="1661"/>
    </row>
    <row r="32" spans="1:28">
      <c r="A32" s="976" t="s">
        <v>295</v>
      </c>
      <c r="B32" s="979"/>
      <c r="C32" s="972"/>
      <c r="D32" s="973"/>
      <c r="E32" s="974" t="e">
        <f>SUM(E27,#REF!,E29:E30)</f>
        <v>#REF!</v>
      </c>
      <c r="F32" s="975" t="e">
        <f t="shared" si="0"/>
        <v>#REF!</v>
      </c>
      <c r="L32" s="2425" t="s">
        <v>676</v>
      </c>
      <c r="M32" s="1668"/>
      <c r="N32" s="1676"/>
      <c r="O32" s="2419">
        <f>P13</f>
        <v>596.88798545698035</v>
      </c>
      <c r="P32" s="1661"/>
      <c r="Q32" s="2425" t="s">
        <v>676</v>
      </c>
      <c r="R32" s="1668"/>
      <c r="S32" s="1676"/>
      <c r="T32" s="2419">
        <f>P13</f>
        <v>596.88798545698035</v>
      </c>
      <c r="U32" s="1661"/>
      <c r="V32" s="2425" t="s">
        <v>676</v>
      </c>
      <c r="W32" s="1668"/>
      <c r="X32" s="1676"/>
      <c r="Y32" s="2419">
        <f>P13</f>
        <v>596.88798545698035</v>
      </c>
      <c r="Z32" s="1661"/>
      <c r="AA32" s="1661"/>
      <c r="AB32" s="1661"/>
    </row>
    <row r="33" spans="1:28">
      <c r="A33" s="985"/>
      <c r="B33" s="986"/>
      <c r="C33" s="967"/>
      <c r="D33" s="968"/>
      <c r="E33" s="969"/>
      <c r="F33" s="975"/>
      <c r="L33" s="2425" t="s">
        <v>660</v>
      </c>
      <c r="M33" s="1668"/>
      <c r="N33" s="1676"/>
      <c r="O33" s="2419">
        <f>P14</f>
        <v>5155.4902174195804</v>
      </c>
      <c r="P33" s="1661"/>
      <c r="Q33" s="2425" t="s">
        <v>660</v>
      </c>
      <c r="R33" s="1668"/>
      <c r="S33" s="1676"/>
      <c r="T33" s="2419">
        <f>P14</f>
        <v>5155.4902174195804</v>
      </c>
      <c r="U33" s="1661"/>
      <c r="V33" s="2425" t="s">
        <v>660</v>
      </c>
      <c r="W33" s="1668"/>
      <c r="X33" s="1676"/>
      <c r="Y33" s="2419">
        <f>P14</f>
        <v>5155.4902174195804</v>
      </c>
      <c r="Z33" s="1661"/>
      <c r="AA33" s="1661"/>
      <c r="AB33" s="1661"/>
    </row>
    <row r="34" spans="1:28">
      <c r="A34" s="985"/>
      <c r="B34" s="986"/>
      <c r="C34" s="967"/>
      <c r="D34" s="968"/>
      <c r="E34" s="969"/>
      <c r="F34" s="975"/>
      <c r="L34" s="2425"/>
      <c r="M34" s="1668"/>
      <c r="N34" s="1676"/>
      <c r="O34" s="2419"/>
      <c r="P34" s="1661"/>
      <c r="Q34" s="2425"/>
      <c r="R34" s="1668"/>
      <c r="S34" s="1676"/>
      <c r="T34" s="2419"/>
      <c r="U34" s="1661"/>
      <c r="V34" s="2425"/>
      <c r="W34" s="1668"/>
      <c r="X34" s="1676"/>
      <c r="Y34" s="2419"/>
      <c r="Z34" s="1661"/>
      <c r="AA34" s="1661"/>
      <c r="AB34" s="1661"/>
    </row>
    <row r="35" spans="1:28" ht="18.75" thickBot="1">
      <c r="A35" s="985"/>
      <c r="B35" s="986"/>
      <c r="C35" s="967"/>
      <c r="D35" s="968"/>
      <c r="E35" s="969"/>
      <c r="F35" s="975" t="e">
        <f t="shared" si="0"/>
        <v>#REF!</v>
      </c>
      <c r="L35" s="1667" t="s">
        <v>532</v>
      </c>
      <c r="M35" s="1668"/>
      <c r="N35" s="1676"/>
      <c r="O35" s="2422">
        <f>P9</f>
        <v>22187.520000000004</v>
      </c>
      <c r="P35" s="1661"/>
      <c r="Q35" s="1667" t="str">
        <f>O10</f>
        <v>Stipend - Level 2</v>
      </c>
      <c r="R35" s="1668"/>
      <c r="S35" s="1676"/>
      <c r="T35" s="2422">
        <f>P10</f>
        <v>30256.176000000003</v>
      </c>
      <c r="U35" s="1661"/>
      <c r="V35" s="1667" t="str">
        <f>O11</f>
        <v>Stipend - Level 3</v>
      </c>
      <c r="W35" s="1668"/>
      <c r="X35" s="1676"/>
      <c r="Y35" s="2422">
        <f>P11</f>
        <v>38323.804800000005</v>
      </c>
      <c r="Z35" s="1661"/>
      <c r="AA35" s="1661"/>
      <c r="AB35" s="1661"/>
    </row>
    <row r="36" spans="1:28" ht="19.5" thickTop="1" thickBot="1">
      <c r="A36" s="994" t="s">
        <v>297</v>
      </c>
      <c r="B36" s="995" t="s">
        <v>298</v>
      </c>
      <c r="C36" s="996">
        <v>0.11</v>
      </c>
      <c r="D36" s="997"/>
      <c r="E36" s="998" t="e">
        <f>C36*E32</f>
        <v>#REF!</v>
      </c>
      <c r="F36" s="975" t="e">
        <f t="shared" si="0"/>
        <v>#REF!</v>
      </c>
      <c r="L36" s="1673" t="s">
        <v>525</v>
      </c>
      <c r="M36" s="1674"/>
      <c r="N36" s="1675"/>
      <c r="O36" s="2422">
        <f>SUM(O32:O35)</f>
        <v>27939.898202876564</v>
      </c>
      <c r="P36" s="1661"/>
      <c r="Q36" s="1673" t="s">
        <v>525</v>
      </c>
      <c r="R36" s="1674"/>
      <c r="S36" s="1675"/>
      <c r="T36" s="2422">
        <f>SUM(T32:T35)</f>
        <v>36008.554202876563</v>
      </c>
      <c r="U36" s="1661"/>
      <c r="V36" s="1673" t="s">
        <v>525</v>
      </c>
      <c r="W36" s="1674"/>
      <c r="X36" s="1675"/>
      <c r="Y36" s="2422">
        <f>SUM(Y32:Y35)</f>
        <v>44076.183002876569</v>
      </c>
      <c r="Z36" s="1661"/>
      <c r="AA36" s="1661"/>
      <c r="AB36" s="1661"/>
    </row>
    <row r="37" spans="1:28" ht="18.75" thickTop="1">
      <c r="A37" s="994"/>
      <c r="B37" s="995"/>
      <c r="C37" s="996"/>
      <c r="D37" s="997"/>
      <c r="E37" s="998"/>
      <c r="F37" s="975"/>
      <c r="L37" s="1667" t="s">
        <v>203</v>
      </c>
      <c r="M37" s="1668"/>
      <c r="N37" s="1676"/>
      <c r="O37" s="2419">
        <f>O36+O30</f>
        <v>35279.479202876566</v>
      </c>
      <c r="P37" s="1661"/>
      <c r="Q37" s="1667" t="s">
        <v>203</v>
      </c>
      <c r="R37" s="1668"/>
      <c r="S37" s="1676"/>
      <c r="T37" s="2419">
        <f>T36+T30</f>
        <v>43348.135202876561</v>
      </c>
      <c r="U37" s="1661"/>
      <c r="V37" s="1667" t="s">
        <v>203</v>
      </c>
      <c r="W37" s="1668"/>
      <c r="X37" s="1676"/>
      <c r="Y37" s="2419">
        <f>Y36+Y30</f>
        <v>51415.764002876567</v>
      </c>
      <c r="Z37" s="1661"/>
      <c r="AA37" s="1661"/>
      <c r="AB37" s="1661"/>
    </row>
    <row r="38" spans="1:28">
      <c r="A38" s="999" t="s">
        <v>299</v>
      </c>
      <c r="B38" s="1000"/>
      <c r="C38" s="1001"/>
      <c r="D38" s="997"/>
      <c r="E38" s="998" t="e">
        <f>E36</f>
        <v>#REF!</v>
      </c>
      <c r="F38" s="975" t="e">
        <f t="shared" si="0"/>
        <v>#REF!</v>
      </c>
      <c r="L38" s="1667" t="s">
        <v>526</v>
      </c>
      <c r="M38" s="1681">
        <v>0.11</v>
      </c>
      <c r="N38" s="1676"/>
      <c r="O38" s="2419">
        <f>M38*O37</f>
        <v>3880.7427123164221</v>
      </c>
      <c r="P38" s="1661"/>
      <c r="Q38" s="1667" t="s">
        <v>526</v>
      </c>
      <c r="R38" s="1681">
        <v>0.11</v>
      </c>
      <c r="S38" s="1676"/>
      <c r="T38" s="2419">
        <f>R38*T36</f>
        <v>3960.940962316422</v>
      </c>
      <c r="U38" s="1661"/>
      <c r="V38" s="1667" t="s">
        <v>526</v>
      </c>
      <c r="W38" s="1681">
        <v>0.11</v>
      </c>
      <c r="X38" s="1676"/>
      <c r="Y38" s="2419">
        <f>W38*Y36</f>
        <v>4848.3801303164228</v>
      </c>
      <c r="Z38" s="1661"/>
      <c r="AA38" s="1661"/>
      <c r="AB38" s="1661"/>
    </row>
    <row r="39" spans="1:28" ht="18.75" thickBot="1">
      <c r="A39" s="1720"/>
      <c r="B39" s="1721"/>
      <c r="C39" s="1721"/>
      <c r="D39" s="1722"/>
      <c r="E39" s="1006"/>
      <c r="F39" s="975"/>
      <c r="L39" s="2431" t="str">
        <f>O19</f>
        <v>PFMLA</v>
      </c>
      <c r="M39" s="2432">
        <f>P19</f>
        <v>6.3E-3</v>
      </c>
      <c r="N39" s="2433"/>
      <c r="O39" s="2434">
        <f>O28*M39</f>
        <v>37.901115000000004</v>
      </c>
      <c r="P39" s="1661"/>
      <c r="Q39" s="2431" t="str">
        <f>O19</f>
        <v>PFMLA</v>
      </c>
      <c r="R39" s="2432">
        <f>P19</f>
        <v>6.3E-3</v>
      </c>
      <c r="S39" s="2433"/>
      <c r="T39" s="2434">
        <f>T28*R39</f>
        <v>37.901115000000004</v>
      </c>
      <c r="U39" s="1661"/>
      <c r="V39" s="2431" t="str">
        <f>O19</f>
        <v>PFMLA</v>
      </c>
      <c r="W39" s="2432">
        <f>P19</f>
        <v>6.3E-3</v>
      </c>
      <c r="X39" s="2433"/>
      <c r="Y39" s="2434">
        <f>Y28*W39</f>
        <v>37.901115000000004</v>
      </c>
      <c r="Z39" s="1661"/>
      <c r="AA39" s="1661"/>
      <c r="AB39" s="1661"/>
    </row>
    <row r="40" spans="1:28">
      <c r="A40" s="1720"/>
      <c r="B40" s="1721"/>
      <c r="C40" s="1721"/>
      <c r="D40" s="1722"/>
      <c r="E40" s="1006"/>
      <c r="F40" s="975"/>
      <c r="L40" s="1683"/>
      <c r="M40" s="1690"/>
      <c r="N40" s="1691"/>
      <c r="O40" s="2429">
        <f>SUM(O37:O39)</f>
        <v>39198.12303019299</v>
      </c>
      <c r="P40" s="1661"/>
      <c r="Q40" s="1683"/>
      <c r="R40" s="1690"/>
      <c r="S40" s="1691"/>
      <c r="T40" s="2429">
        <f>SUM(T37:T39)</f>
        <v>47346.977280192987</v>
      </c>
      <c r="U40" s="1661"/>
      <c r="V40" s="1683"/>
      <c r="W40" s="1690"/>
      <c r="X40" s="1691"/>
      <c r="Y40" s="2429">
        <f>SUM(Y37:Y39)</f>
        <v>56302.04524819299</v>
      </c>
      <c r="Z40" s="1661"/>
      <c r="AA40" s="1661"/>
      <c r="AB40" s="1661"/>
    </row>
    <row r="41" spans="1:28" ht="18.75" thickBot="1">
      <c r="A41" s="1002"/>
      <c r="B41" s="1003"/>
      <c r="C41" s="1004"/>
      <c r="D41" s="1005"/>
      <c r="E41" s="1006"/>
      <c r="F41" s="975"/>
      <c r="L41" s="1663" t="s">
        <v>205</v>
      </c>
      <c r="M41" s="2430">
        <f>P20</f>
        <v>1.8120393120392975E-2</v>
      </c>
      <c r="N41" s="1664"/>
      <c r="O41" s="2420">
        <f>O40*(1+M41)</f>
        <v>39908.408429081617</v>
      </c>
      <c r="P41" s="1661"/>
      <c r="Q41" s="1663" t="s">
        <v>205</v>
      </c>
      <c r="R41" s="2430">
        <f>P20</f>
        <v>1.8120393120392975E-2</v>
      </c>
      <c r="S41" s="1664"/>
      <c r="T41" s="2420">
        <f>T40*(1+R41)</f>
        <v>48204.923121572399</v>
      </c>
      <c r="U41" s="1661"/>
      <c r="V41" s="1663" t="s">
        <v>205</v>
      </c>
      <c r="W41" s="2430">
        <f>P20</f>
        <v>1.8120393120392975E-2</v>
      </c>
      <c r="X41" s="1664"/>
      <c r="Y41" s="2420">
        <f>Y40*(1+W41)</f>
        <v>57322.260441572405</v>
      </c>
      <c r="Z41" s="1661"/>
      <c r="AA41" s="1661"/>
      <c r="AB41" s="1661"/>
    </row>
    <row r="42" spans="1:28" ht="18.75" thickBot="1">
      <c r="A42" s="1007" t="s">
        <v>300</v>
      </c>
      <c r="B42" s="1008"/>
      <c r="C42" s="1009"/>
      <c r="D42" s="1010"/>
      <c r="E42" s="998" t="e">
        <f>SUM(E32,E38)</f>
        <v>#REF!</v>
      </c>
      <c r="F42" s="975" t="e">
        <f>E42/$E$42</f>
        <v>#REF!</v>
      </c>
      <c r="L42" s="2426" t="s">
        <v>527</v>
      </c>
      <c r="M42" s="2427"/>
      <c r="N42" s="2427"/>
      <c r="O42" s="2428">
        <f>O38+O41</f>
        <v>43789.151141398041</v>
      </c>
      <c r="P42" s="1661"/>
      <c r="Q42" s="2426" t="s">
        <v>527</v>
      </c>
      <c r="R42" s="2427"/>
      <c r="S42" s="2427"/>
      <c r="T42" s="2428">
        <f>T38+T41</f>
        <v>52165.864083888824</v>
      </c>
      <c r="U42" s="1661"/>
      <c r="V42" s="2426" t="s">
        <v>527</v>
      </c>
      <c r="W42" s="2427"/>
      <c r="X42" s="2427"/>
      <c r="Y42" s="2428">
        <f>Y38+Y41</f>
        <v>62170.640571888827</v>
      </c>
      <c r="Z42" s="1661"/>
      <c r="AA42" s="1661"/>
      <c r="AB42" s="1661"/>
    </row>
    <row r="43" spans="1:28" ht="18.75" thickBot="1">
      <c r="A43" s="1011"/>
      <c r="B43" s="1012"/>
      <c r="C43" s="964"/>
      <c r="D43" s="1013"/>
      <c r="E43" s="1014"/>
      <c r="F43" s="970"/>
      <c r="L43" s="1713" t="s">
        <v>528</v>
      </c>
      <c r="M43" s="1714"/>
      <c r="N43" s="1714"/>
      <c r="O43" s="1715">
        <f>O42/N25</f>
        <v>119.97027709972066</v>
      </c>
      <c r="P43" s="1661"/>
      <c r="Q43" s="1713" t="s">
        <v>528</v>
      </c>
      <c r="R43" s="1714"/>
      <c r="S43" s="1714"/>
      <c r="T43" s="1715">
        <f>T42/S25</f>
        <v>142.92017557229815</v>
      </c>
      <c r="U43" s="1661"/>
      <c r="V43" s="1713" t="s">
        <v>528</v>
      </c>
      <c r="W43" s="1714"/>
      <c r="X43" s="1714"/>
      <c r="Y43" s="1715">
        <f>Y42/X25</f>
        <v>170.33052211476391</v>
      </c>
      <c r="Z43" s="1661"/>
      <c r="AA43" s="1661"/>
      <c r="AB43" s="1661"/>
    </row>
    <row r="44" spans="1:28" ht="18.75">
      <c r="A44" s="1015" t="e">
        <f>E42/365</f>
        <v>#REF!</v>
      </c>
      <c r="B44" s="1016" t="s">
        <v>472</v>
      </c>
      <c r="C44" s="964"/>
      <c r="D44" s="1013"/>
      <c r="E44" s="1014"/>
      <c r="F44" s="970"/>
      <c r="L44" s="1661"/>
      <c r="M44" s="1661"/>
      <c r="N44" s="1661"/>
      <c r="O44" s="1692"/>
      <c r="P44" s="1661"/>
      <c r="Q44" s="1661"/>
      <c r="R44" s="1661"/>
      <c r="S44" s="1661"/>
      <c r="T44" s="1692"/>
      <c r="U44" s="1661"/>
      <c r="V44" s="1661"/>
      <c r="W44" s="1661"/>
      <c r="X44" s="1661"/>
      <c r="Y44" s="1692"/>
      <c r="Z44" s="1661"/>
      <c r="AA44" s="1661"/>
      <c r="AB44" s="1661"/>
    </row>
    <row r="45" spans="1:28" ht="18.75" thickBot="1">
      <c r="A45" s="1017" t="s">
        <v>473</v>
      </c>
      <c r="B45" s="1025" t="e">
        <f>A44*(1+0.0327)</f>
        <v>#REF!</v>
      </c>
      <c r="C45" s="1018"/>
      <c r="D45" s="1018"/>
      <c r="E45" s="1019" t="e">
        <f>#REF!</f>
        <v>#REF!</v>
      </c>
      <c r="F45" s="1020" t="e">
        <f>B45*(E45+1)</f>
        <v>#REF!</v>
      </c>
      <c r="L45" s="1661"/>
      <c r="M45" s="1661"/>
      <c r="N45" s="1661"/>
      <c r="O45" s="1694"/>
      <c r="P45" s="1693"/>
      <c r="Q45" s="1693"/>
      <c r="R45" s="1693"/>
      <c r="S45" s="1693"/>
      <c r="T45" s="1694"/>
      <c r="U45" s="1693"/>
      <c r="V45" s="1693"/>
      <c r="W45" s="1693"/>
      <c r="X45" s="1693"/>
      <c r="Y45" s="1694"/>
      <c r="Z45" s="1661"/>
      <c r="AA45" s="1661"/>
      <c r="AB45" s="1661"/>
    </row>
    <row r="46" spans="1:28">
      <c r="A46" s="955" t="s">
        <v>477</v>
      </c>
      <c r="B46" s="956"/>
      <c r="C46" s="956"/>
      <c r="D46" s="956"/>
      <c r="E46" s="956"/>
      <c r="F46" s="957"/>
    </row>
    <row r="47" spans="1:28">
      <c r="A47" s="958" t="s">
        <v>279</v>
      </c>
      <c r="B47" s="959"/>
      <c r="C47" s="960" t="s">
        <v>420</v>
      </c>
      <c r="D47" s="961" t="s">
        <v>421</v>
      </c>
      <c r="E47" s="962" t="s">
        <v>422</v>
      </c>
      <c r="F47" s="963"/>
      <c r="T47" s="3036"/>
    </row>
    <row r="48" spans="1:28">
      <c r="A48" s="965" t="s">
        <v>282</v>
      </c>
      <c r="B48" s="966"/>
      <c r="C48" s="967"/>
      <c r="D48" s="968"/>
      <c r="E48" s="969"/>
      <c r="F48" s="970"/>
    </row>
    <row r="49" spans="1:6">
      <c r="A49" s="965"/>
      <c r="B49" s="971" t="s">
        <v>466</v>
      </c>
      <c r="C49" s="972">
        <f>'[8]FY 09 UFR Salary Data'!$F$36</f>
        <v>33751.15474941882</v>
      </c>
      <c r="D49" s="973">
        <v>0.15</v>
      </c>
      <c r="E49" s="974">
        <f>C49*D49</f>
        <v>5062.673212412823</v>
      </c>
      <c r="F49" s="975"/>
    </row>
    <row r="50" spans="1:6">
      <c r="A50" s="976" t="s">
        <v>286</v>
      </c>
      <c r="B50" s="977"/>
      <c r="C50" s="972"/>
      <c r="D50" s="973">
        <f>SUM(D49:D49)</f>
        <v>0.15</v>
      </c>
      <c r="E50" s="974">
        <f>SUM(E49:E49)</f>
        <v>5062.673212412823</v>
      </c>
      <c r="F50" s="975"/>
    </row>
    <row r="51" spans="1:6">
      <c r="A51" s="976" t="s">
        <v>288</v>
      </c>
      <c r="B51" s="979" t="s">
        <v>289</v>
      </c>
      <c r="C51" s="980">
        <v>0.22</v>
      </c>
      <c r="D51" s="973"/>
      <c r="E51" s="974">
        <f>E50*C51</f>
        <v>1113.788106730821</v>
      </c>
      <c r="F51" s="975"/>
    </row>
    <row r="52" spans="1:6">
      <c r="A52" s="965" t="s">
        <v>467</v>
      </c>
      <c r="B52" s="1021"/>
      <c r="C52" s="1021"/>
      <c r="D52" s="1021"/>
      <c r="E52" s="1022">
        <f>+SUM(E50:E51)</f>
        <v>6176.4613191436438</v>
      </c>
      <c r="F52" s="1023">
        <f t="shared" ref="F52:F59" si="1">E52/$E$61</f>
        <v>0.12004755423963144</v>
      </c>
    </row>
    <row r="53" spans="1:6">
      <c r="A53" s="985" t="s">
        <v>468</v>
      </c>
      <c r="B53" s="986"/>
      <c r="C53" s="987"/>
      <c r="D53" s="968"/>
      <c r="E53" s="969">
        <v>5500</v>
      </c>
      <c r="F53" s="975">
        <f t="shared" si="1"/>
        <v>0.10689964920067162</v>
      </c>
    </row>
    <row r="54" spans="1:6">
      <c r="A54" s="985" t="s">
        <v>469</v>
      </c>
      <c r="B54" s="986" t="s">
        <v>478</v>
      </c>
      <c r="C54" s="967"/>
      <c r="D54" s="968"/>
      <c r="E54" s="969">
        <f>95*365</f>
        <v>34675</v>
      </c>
      <c r="F54" s="988">
        <f t="shared" si="1"/>
        <v>0.67395369746059786</v>
      </c>
    </row>
    <row r="55" spans="1:6" ht="18.75">
      <c r="A55" s="989" t="s">
        <v>471</v>
      </c>
      <c r="B55" s="990"/>
      <c r="C55" s="991"/>
      <c r="D55" s="992"/>
      <c r="E55" s="993">
        <f>SUM(E54:E54)</f>
        <v>34675</v>
      </c>
      <c r="F55" s="1024">
        <f t="shared" si="1"/>
        <v>0.67395369746059786</v>
      </c>
    </row>
    <row r="56" spans="1:6">
      <c r="A56" s="1026" t="s">
        <v>479</v>
      </c>
      <c r="B56" s="1027"/>
      <c r="C56" s="1028"/>
      <c r="D56" s="1029"/>
      <c r="E56" s="1030">
        <f>SUM(E50,E51,E53:E54)</f>
        <v>46351.461319143644</v>
      </c>
      <c r="F56" s="1031">
        <f t="shared" si="1"/>
        <v>0.90090090090090091</v>
      </c>
    </row>
    <row r="57" spans="1:6">
      <c r="A57" s="985"/>
      <c r="B57" s="986"/>
      <c r="C57" s="967"/>
      <c r="D57" s="968"/>
      <c r="E57" s="969"/>
      <c r="F57" s="975">
        <f t="shared" si="1"/>
        <v>0</v>
      </c>
    </row>
    <row r="58" spans="1:6">
      <c r="A58" s="994" t="s">
        <v>297</v>
      </c>
      <c r="B58" s="995" t="s">
        <v>298</v>
      </c>
      <c r="C58" s="996">
        <v>0.11</v>
      </c>
      <c r="D58" s="997"/>
      <c r="E58" s="998">
        <f>C58*E56</f>
        <v>5098.6607451058007</v>
      </c>
      <c r="F58" s="975">
        <f t="shared" si="1"/>
        <v>9.90990990990991E-2</v>
      </c>
    </row>
    <row r="59" spans="1:6">
      <c r="A59" s="999" t="s">
        <v>299</v>
      </c>
      <c r="B59" s="1000"/>
      <c r="C59" s="1001"/>
      <c r="D59" s="997"/>
      <c r="E59" s="998">
        <f>E58</f>
        <v>5098.6607451058007</v>
      </c>
      <c r="F59" s="975">
        <f t="shared" si="1"/>
        <v>9.90990990990991E-2</v>
      </c>
    </row>
    <row r="60" spans="1:6">
      <c r="A60" s="1002"/>
      <c r="B60" s="1003"/>
      <c r="C60" s="1004"/>
      <c r="D60" s="1005"/>
      <c r="E60" s="1006"/>
      <c r="F60" s="975"/>
    </row>
    <row r="61" spans="1:6">
      <c r="A61" s="1007" t="s">
        <v>300</v>
      </c>
      <c r="B61" s="1008"/>
      <c r="C61" s="1009"/>
      <c r="D61" s="1010"/>
      <c r="E61" s="998">
        <f>SUM(E56,E59)</f>
        <v>51450.122064249445</v>
      </c>
      <c r="F61" s="975">
        <f>E61/$E$61</f>
        <v>1</v>
      </c>
    </row>
    <row r="62" spans="1:6">
      <c r="A62" s="1011"/>
      <c r="B62" s="1012"/>
      <c r="C62" s="964"/>
      <c r="D62" s="1013"/>
      <c r="E62" s="1014"/>
      <c r="F62" s="970"/>
    </row>
    <row r="63" spans="1:6" ht="18.75">
      <c r="A63" s="1015">
        <f>E61/365</f>
        <v>140.95923853219026</v>
      </c>
      <c r="B63" s="1016" t="s">
        <v>472</v>
      </c>
      <c r="C63" s="964"/>
      <c r="D63" s="1013"/>
      <c r="E63" s="1014"/>
      <c r="F63" s="970"/>
    </row>
    <row r="64" spans="1:6" ht="18.75" thickBot="1">
      <c r="A64" s="1017" t="s">
        <v>473</v>
      </c>
      <c r="B64" s="1025">
        <f>A63*(1+0.0327)</f>
        <v>145.56860563219286</v>
      </c>
      <c r="C64" s="1018"/>
      <c r="D64" s="1018"/>
      <c r="E64" s="1019" t="e">
        <f>E45</f>
        <v>#REF!</v>
      </c>
      <c r="F64" s="1032" t="e">
        <f>B64*(E64+1)</f>
        <v>#REF!</v>
      </c>
    </row>
  </sheetData>
  <customSheetViews>
    <customSheetView guid="{4C1AD9FE-DB97-4D30-8CF1-D476DD376A5A}" scale="80" fitToPage="1" hiddenColumns="1" topLeftCell="G1">
      <selection activeCell="P19" sqref="P19"/>
      <pageMargins left="0.17" right="0.2" top="1" bottom="0.72" header="0.5" footer="0.5"/>
      <printOptions gridLines="1"/>
      <pageSetup orientation="portrait" verticalDpi="300" r:id="rId1"/>
      <headerFooter alignWithMargins="0">
        <oddHeader>&amp;F</oddHeader>
        <oddFooter>&amp;L&amp;"Arial,Bold"DRAFT&amp;RPage 6</oddFooter>
      </headerFooter>
    </customSheetView>
    <customSheetView guid="{6A16E15D-0E79-4250-8AEC-339F57F63027}" scale="80" showPageBreaks="1" fitToPage="1" printArea="1" hiddenColumns="1" topLeftCell="G1">
      <selection activeCell="M10" sqref="M10"/>
      <pageMargins left="0.17" right="0.2" top="1" bottom="0.72" header="0.5" footer="0.5"/>
      <printOptions gridLines="1"/>
      <pageSetup orientation="portrait" verticalDpi="300" r:id="rId2"/>
      <headerFooter alignWithMargins="0">
        <oddHeader>&amp;F</oddHeader>
        <oddFooter>&amp;L&amp;"Arial,Bold"DRAFT&amp;RPage 6</oddFooter>
      </headerFooter>
    </customSheetView>
  </customSheetViews>
  <mergeCells count="4">
    <mergeCell ref="Q5:V5"/>
    <mergeCell ref="O5:P5"/>
    <mergeCell ref="O4:V4"/>
    <mergeCell ref="O1:V2"/>
  </mergeCells>
  <pageMargins left="0.17" right="0.2" top="1" bottom="0.72" header="0.5" footer="0.5"/>
  <pageSetup scale="61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2"/>
  <sheetViews>
    <sheetView topLeftCell="AT1" workbookViewId="0">
      <selection activeCell="AV34" sqref="AV34"/>
    </sheetView>
  </sheetViews>
  <sheetFormatPr defaultRowHeight="12.75"/>
  <cols>
    <col min="1" max="1" width="38.42578125" style="4" customWidth="1"/>
    <col min="2" max="2" width="12.85546875" style="5" customWidth="1"/>
    <col min="3" max="74" width="10.28515625" style="4" customWidth="1"/>
    <col min="75" max="256" width="9.140625" style="4"/>
    <col min="257" max="257" width="38.42578125" style="4" customWidth="1"/>
    <col min="258" max="258" width="12.85546875" style="4" customWidth="1"/>
    <col min="259" max="330" width="10.28515625" style="4" customWidth="1"/>
    <col min="331" max="512" width="9.140625" style="4"/>
    <col min="513" max="513" width="38.42578125" style="4" customWidth="1"/>
    <col min="514" max="514" width="12.85546875" style="4" customWidth="1"/>
    <col min="515" max="586" width="10.28515625" style="4" customWidth="1"/>
    <col min="587" max="768" width="9.140625" style="4"/>
    <col min="769" max="769" width="38.42578125" style="4" customWidth="1"/>
    <col min="770" max="770" width="12.85546875" style="4" customWidth="1"/>
    <col min="771" max="842" width="10.28515625" style="4" customWidth="1"/>
    <col min="843" max="1024" width="9.140625" style="4"/>
    <col min="1025" max="1025" width="38.42578125" style="4" customWidth="1"/>
    <col min="1026" max="1026" width="12.85546875" style="4" customWidth="1"/>
    <col min="1027" max="1098" width="10.28515625" style="4" customWidth="1"/>
    <col min="1099" max="1280" width="9.140625" style="4"/>
    <col min="1281" max="1281" width="38.42578125" style="4" customWidth="1"/>
    <col min="1282" max="1282" width="12.85546875" style="4" customWidth="1"/>
    <col min="1283" max="1354" width="10.28515625" style="4" customWidth="1"/>
    <col min="1355" max="1536" width="9.140625" style="4"/>
    <col min="1537" max="1537" width="38.42578125" style="4" customWidth="1"/>
    <col min="1538" max="1538" width="12.85546875" style="4" customWidth="1"/>
    <col min="1539" max="1610" width="10.28515625" style="4" customWidth="1"/>
    <col min="1611" max="1792" width="9.140625" style="4"/>
    <col min="1793" max="1793" width="38.42578125" style="4" customWidth="1"/>
    <col min="1794" max="1794" width="12.85546875" style="4" customWidth="1"/>
    <col min="1795" max="1866" width="10.28515625" style="4" customWidth="1"/>
    <col min="1867" max="2048" width="9.140625" style="4"/>
    <col min="2049" max="2049" width="38.42578125" style="4" customWidth="1"/>
    <col min="2050" max="2050" width="12.85546875" style="4" customWidth="1"/>
    <col min="2051" max="2122" width="10.28515625" style="4" customWidth="1"/>
    <col min="2123" max="2304" width="9.140625" style="4"/>
    <col min="2305" max="2305" width="38.42578125" style="4" customWidth="1"/>
    <col min="2306" max="2306" width="12.85546875" style="4" customWidth="1"/>
    <col min="2307" max="2378" width="10.28515625" style="4" customWidth="1"/>
    <col min="2379" max="2560" width="9.140625" style="4"/>
    <col min="2561" max="2561" width="38.42578125" style="4" customWidth="1"/>
    <col min="2562" max="2562" width="12.85546875" style="4" customWidth="1"/>
    <col min="2563" max="2634" width="10.28515625" style="4" customWidth="1"/>
    <col min="2635" max="2816" width="9.140625" style="4"/>
    <col min="2817" max="2817" width="38.42578125" style="4" customWidth="1"/>
    <col min="2818" max="2818" width="12.85546875" style="4" customWidth="1"/>
    <col min="2819" max="2890" width="10.28515625" style="4" customWidth="1"/>
    <col min="2891" max="3072" width="9.140625" style="4"/>
    <col min="3073" max="3073" width="38.42578125" style="4" customWidth="1"/>
    <col min="3074" max="3074" width="12.85546875" style="4" customWidth="1"/>
    <col min="3075" max="3146" width="10.28515625" style="4" customWidth="1"/>
    <col min="3147" max="3328" width="9.140625" style="4"/>
    <col min="3329" max="3329" width="38.42578125" style="4" customWidth="1"/>
    <col min="3330" max="3330" width="12.85546875" style="4" customWidth="1"/>
    <col min="3331" max="3402" width="10.28515625" style="4" customWidth="1"/>
    <col min="3403" max="3584" width="9.140625" style="4"/>
    <col min="3585" max="3585" width="38.42578125" style="4" customWidth="1"/>
    <col min="3586" max="3586" width="12.85546875" style="4" customWidth="1"/>
    <col min="3587" max="3658" width="10.28515625" style="4" customWidth="1"/>
    <col min="3659" max="3840" width="9.140625" style="4"/>
    <col min="3841" max="3841" width="38.42578125" style="4" customWidth="1"/>
    <col min="3842" max="3842" width="12.85546875" style="4" customWidth="1"/>
    <col min="3843" max="3914" width="10.28515625" style="4" customWidth="1"/>
    <col min="3915" max="4096" width="9.140625" style="4"/>
    <col min="4097" max="4097" width="38.42578125" style="4" customWidth="1"/>
    <col min="4098" max="4098" width="12.85546875" style="4" customWidth="1"/>
    <col min="4099" max="4170" width="10.28515625" style="4" customWidth="1"/>
    <col min="4171" max="4352" width="9.140625" style="4"/>
    <col min="4353" max="4353" width="38.42578125" style="4" customWidth="1"/>
    <col min="4354" max="4354" width="12.85546875" style="4" customWidth="1"/>
    <col min="4355" max="4426" width="10.28515625" style="4" customWidth="1"/>
    <col min="4427" max="4608" width="9.140625" style="4"/>
    <col min="4609" max="4609" width="38.42578125" style="4" customWidth="1"/>
    <col min="4610" max="4610" width="12.85546875" style="4" customWidth="1"/>
    <col min="4611" max="4682" width="10.28515625" style="4" customWidth="1"/>
    <col min="4683" max="4864" width="9.140625" style="4"/>
    <col min="4865" max="4865" width="38.42578125" style="4" customWidth="1"/>
    <col min="4866" max="4866" width="12.85546875" style="4" customWidth="1"/>
    <col min="4867" max="4938" width="10.28515625" style="4" customWidth="1"/>
    <col min="4939" max="5120" width="9.140625" style="4"/>
    <col min="5121" max="5121" width="38.42578125" style="4" customWidth="1"/>
    <col min="5122" max="5122" width="12.85546875" style="4" customWidth="1"/>
    <col min="5123" max="5194" width="10.28515625" style="4" customWidth="1"/>
    <col min="5195" max="5376" width="9.140625" style="4"/>
    <col min="5377" max="5377" width="38.42578125" style="4" customWidth="1"/>
    <col min="5378" max="5378" width="12.85546875" style="4" customWidth="1"/>
    <col min="5379" max="5450" width="10.28515625" style="4" customWidth="1"/>
    <col min="5451" max="5632" width="9.140625" style="4"/>
    <col min="5633" max="5633" width="38.42578125" style="4" customWidth="1"/>
    <col min="5634" max="5634" width="12.85546875" style="4" customWidth="1"/>
    <col min="5635" max="5706" width="10.28515625" style="4" customWidth="1"/>
    <col min="5707" max="5888" width="9.140625" style="4"/>
    <col min="5889" max="5889" width="38.42578125" style="4" customWidth="1"/>
    <col min="5890" max="5890" width="12.85546875" style="4" customWidth="1"/>
    <col min="5891" max="5962" width="10.28515625" style="4" customWidth="1"/>
    <col min="5963" max="6144" width="9.140625" style="4"/>
    <col min="6145" max="6145" width="38.42578125" style="4" customWidth="1"/>
    <col min="6146" max="6146" width="12.85546875" style="4" customWidth="1"/>
    <col min="6147" max="6218" width="10.28515625" style="4" customWidth="1"/>
    <col min="6219" max="6400" width="9.140625" style="4"/>
    <col min="6401" max="6401" width="38.42578125" style="4" customWidth="1"/>
    <col min="6402" max="6402" width="12.85546875" style="4" customWidth="1"/>
    <col min="6403" max="6474" width="10.28515625" style="4" customWidth="1"/>
    <col min="6475" max="6656" width="9.140625" style="4"/>
    <col min="6657" max="6657" width="38.42578125" style="4" customWidth="1"/>
    <col min="6658" max="6658" width="12.85546875" style="4" customWidth="1"/>
    <col min="6659" max="6730" width="10.28515625" style="4" customWidth="1"/>
    <col min="6731" max="6912" width="9.140625" style="4"/>
    <col min="6913" max="6913" width="38.42578125" style="4" customWidth="1"/>
    <col min="6914" max="6914" width="12.85546875" style="4" customWidth="1"/>
    <col min="6915" max="6986" width="10.28515625" style="4" customWidth="1"/>
    <col min="6987" max="7168" width="9.140625" style="4"/>
    <col min="7169" max="7169" width="38.42578125" style="4" customWidth="1"/>
    <col min="7170" max="7170" width="12.85546875" style="4" customWidth="1"/>
    <col min="7171" max="7242" width="10.28515625" style="4" customWidth="1"/>
    <col min="7243" max="7424" width="9.140625" style="4"/>
    <col min="7425" max="7425" width="38.42578125" style="4" customWidth="1"/>
    <col min="7426" max="7426" width="12.85546875" style="4" customWidth="1"/>
    <col min="7427" max="7498" width="10.28515625" style="4" customWidth="1"/>
    <col min="7499" max="7680" width="9.140625" style="4"/>
    <col min="7681" max="7681" width="38.42578125" style="4" customWidth="1"/>
    <col min="7682" max="7682" width="12.85546875" style="4" customWidth="1"/>
    <col min="7683" max="7754" width="10.28515625" style="4" customWidth="1"/>
    <col min="7755" max="7936" width="9.140625" style="4"/>
    <col min="7937" max="7937" width="38.42578125" style="4" customWidth="1"/>
    <col min="7938" max="7938" width="12.85546875" style="4" customWidth="1"/>
    <col min="7939" max="8010" width="10.28515625" style="4" customWidth="1"/>
    <col min="8011" max="8192" width="9.140625" style="4"/>
    <col min="8193" max="8193" width="38.42578125" style="4" customWidth="1"/>
    <col min="8194" max="8194" width="12.85546875" style="4" customWidth="1"/>
    <col min="8195" max="8266" width="10.28515625" style="4" customWidth="1"/>
    <col min="8267" max="8448" width="9.140625" style="4"/>
    <col min="8449" max="8449" width="38.42578125" style="4" customWidth="1"/>
    <col min="8450" max="8450" width="12.85546875" style="4" customWidth="1"/>
    <col min="8451" max="8522" width="10.28515625" style="4" customWidth="1"/>
    <col min="8523" max="8704" width="9.140625" style="4"/>
    <col min="8705" max="8705" width="38.42578125" style="4" customWidth="1"/>
    <col min="8706" max="8706" width="12.85546875" style="4" customWidth="1"/>
    <col min="8707" max="8778" width="10.28515625" style="4" customWidth="1"/>
    <col min="8779" max="8960" width="9.140625" style="4"/>
    <col min="8961" max="8961" width="38.42578125" style="4" customWidth="1"/>
    <col min="8962" max="8962" width="12.85546875" style="4" customWidth="1"/>
    <col min="8963" max="9034" width="10.28515625" style="4" customWidth="1"/>
    <col min="9035" max="9216" width="9.140625" style="4"/>
    <col min="9217" max="9217" width="38.42578125" style="4" customWidth="1"/>
    <col min="9218" max="9218" width="12.85546875" style="4" customWidth="1"/>
    <col min="9219" max="9290" width="10.28515625" style="4" customWidth="1"/>
    <col min="9291" max="9472" width="9.140625" style="4"/>
    <col min="9473" max="9473" width="38.42578125" style="4" customWidth="1"/>
    <col min="9474" max="9474" width="12.85546875" style="4" customWidth="1"/>
    <col min="9475" max="9546" width="10.28515625" style="4" customWidth="1"/>
    <col min="9547" max="9728" width="9.140625" style="4"/>
    <col min="9729" max="9729" width="38.42578125" style="4" customWidth="1"/>
    <col min="9730" max="9730" width="12.85546875" style="4" customWidth="1"/>
    <col min="9731" max="9802" width="10.28515625" style="4" customWidth="1"/>
    <col min="9803" max="9984" width="9.140625" style="4"/>
    <col min="9985" max="9985" width="38.42578125" style="4" customWidth="1"/>
    <col min="9986" max="9986" width="12.85546875" style="4" customWidth="1"/>
    <col min="9987" max="10058" width="10.28515625" style="4" customWidth="1"/>
    <col min="10059" max="10240" width="9.140625" style="4"/>
    <col min="10241" max="10241" width="38.42578125" style="4" customWidth="1"/>
    <col min="10242" max="10242" width="12.85546875" style="4" customWidth="1"/>
    <col min="10243" max="10314" width="10.28515625" style="4" customWidth="1"/>
    <col min="10315" max="10496" width="9.140625" style="4"/>
    <col min="10497" max="10497" width="38.42578125" style="4" customWidth="1"/>
    <col min="10498" max="10498" width="12.85546875" style="4" customWidth="1"/>
    <col min="10499" max="10570" width="10.28515625" style="4" customWidth="1"/>
    <col min="10571" max="10752" width="9.140625" style="4"/>
    <col min="10753" max="10753" width="38.42578125" style="4" customWidth="1"/>
    <col min="10754" max="10754" width="12.85546875" style="4" customWidth="1"/>
    <col min="10755" max="10826" width="10.28515625" style="4" customWidth="1"/>
    <col min="10827" max="11008" width="9.140625" style="4"/>
    <col min="11009" max="11009" width="38.42578125" style="4" customWidth="1"/>
    <col min="11010" max="11010" width="12.85546875" style="4" customWidth="1"/>
    <col min="11011" max="11082" width="10.28515625" style="4" customWidth="1"/>
    <col min="11083" max="11264" width="9.140625" style="4"/>
    <col min="11265" max="11265" width="38.42578125" style="4" customWidth="1"/>
    <col min="11266" max="11266" width="12.85546875" style="4" customWidth="1"/>
    <col min="11267" max="11338" width="10.28515625" style="4" customWidth="1"/>
    <col min="11339" max="11520" width="9.140625" style="4"/>
    <col min="11521" max="11521" width="38.42578125" style="4" customWidth="1"/>
    <col min="11522" max="11522" width="12.85546875" style="4" customWidth="1"/>
    <col min="11523" max="11594" width="10.28515625" style="4" customWidth="1"/>
    <col min="11595" max="11776" width="9.140625" style="4"/>
    <col min="11777" max="11777" width="38.42578125" style="4" customWidth="1"/>
    <col min="11778" max="11778" width="12.85546875" style="4" customWidth="1"/>
    <col min="11779" max="11850" width="10.28515625" style="4" customWidth="1"/>
    <col min="11851" max="12032" width="9.140625" style="4"/>
    <col min="12033" max="12033" width="38.42578125" style="4" customWidth="1"/>
    <col min="12034" max="12034" width="12.85546875" style="4" customWidth="1"/>
    <col min="12035" max="12106" width="10.28515625" style="4" customWidth="1"/>
    <col min="12107" max="12288" width="9.140625" style="4"/>
    <col min="12289" max="12289" width="38.42578125" style="4" customWidth="1"/>
    <col min="12290" max="12290" width="12.85546875" style="4" customWidth="1"/>
    <col min="12291" max="12362" width="10.28515625" style="4" customWidth="1"/>
    <col min="12363" max="12544" width="9.140625" style="4"/>
    <col min="12545" max="12545" width="38.42578125" style="4" customWidth="1"/>
    <col min="12546" max="12546" width="12.85546875" style="4" customWidth="1"/>
    <col min="12547" max="12618" width="10.28515625" style="4" customWidth="1"/>
    <col min="12619" max="12800" width="9.140625" style="4"/>
    <col min="12801" max="12801" width="38.42578125" style="4" customWidth="1"/>
    <col min="12802" max="12802" width="12.85546875" style="4" customWidth="1"/>
    <col min="12803" max="12874" width="10.28515625" style="4" customWidth="1"/>
    <col min="12875" max="13056" width="9.140625" style="4"/>
    <col min="13057" max="13057" width="38.42578125" style="4" customWidth="1"/>
    <col min="13058" max="13058" width="12.85546875" style="4" customWidth="1"/>
    <col min="13059" max="13130" width="10.28515625" style="4" customWidth="1"/>
    <col min="13131" max="13312" width="9.140625" style="4"/>
    <col min="13313" max="13313" width="38.42578125" style="4" customWidth="1"/>
    <col min="13314" max="13314" width="12.85546875" style="4" customWidth="1"/>
    <col min="13315" max="13386" width="10.28515625" style="4" customWidth="1"/>
    <col min="13387" max="13568" width="9.140625" style="4"/>
    <col min="13569" max="13569" width="38.42578125" style="4" customWidth="1"/>
    <col min="13570" max="13570" width="12.85546875" style="4" customWidth="1"/>
    <col min="13571" max="13642" width="10.28515625" style="4" customWidth="1"/>
    <col min="13643" max="13824" width="9.140625" style="4"/>
    <col min="13825" max="13825" width="38.42578125" style="4" customWidth="1"/>
    <col min="13826" max="13826" width="12.85546875" style="4" customWidth="1"/>
    <col min="13827" max="13898" width="10.28515625" style="4" customWidth="1"/>
    <col min="13899" max="14080" width="9.140625" style="4"/>
    <col min="14081" max="14081" width="38.42578125" style="4" customWidth="1"/>
    <col min="14082" max="14082" width="12.85546875" style="4" customWidth="1"/>
    <col min="14083" max="14154" width="10.28515625" style="4" customWidth="1"/>
    <col min="14155" max="14336" width="9.140625" style="4"/>
    <col min="14337" max="14337" width="38.42578125" style="4" customWidth="1"/>
    <col min="14338" max="14338" width="12.85546875" style="4" customWidth="1"/>
    <col min="14339" max="14410" width="10.28515625" style="4" customWidth="1"/>
    <col min="14411" max="14592" width="9.140625" style="4"/>
    <col min="14593" max="14593" width="38.42578125" style="4" customWidth="1"/>
    <col min="14594" max="14594" width="12.85546875" style="4" customWidth="1"/>
    <col min="14595" max="14666" width="10.28515625" style="4" customWidth="1"/>
    <col min="14667" max="14848" width="9.140625" style="4"/>
    <col min="14849" max="14849" width="38.42578125" style="4" customWidth="1"/>
    <col min="14850" max="14850" width="12.85546875" style="4" customWidth="1"/>
    <col min="14851" max="14922" width="10.28515625" style="4" customWidth="1"/>
    <col min="14923" max="15104" width="9.140625" style="4"/>
    <col min="15105" max="15105" width="38.42578125" style="4" customWidth="1"/>
    <col min="15106" max="15106" width="12.85546875" style="4" customWidth="1"/>
    <col min="15107" max="15178" width="10.28515625" style="4" customWidth="1"/>
    <col min="15179" max="15360" width="9.140625" style="4"/>
    <col min="15361" max="15361" width="38.42578125" style="4" customWidth="1"/>
    <col min="15362" max="15362" width="12.85546875" style="4" customWidth="1"/>
    <col min="15363" max="15434" width="10.28515625" style="4" customWidth="1"/>
    <col min="15435" max="15616" width="9.140625" style="4"/>
    <col min="15617" max="15617" width="38.42578125" style="4" customWidth="1"/>
    <col min="15618" max="15618" width="12.85546875" style="4" customWidth="1"/>
    <col min="15619" max="15690" width="10.28515625" style="4" customWidth="1"/>
    <col min="15691" max="15872" width="9.140625" style="4"/>
    <col min="15873" max="15873" width="38.42578125" style="4" customWidth="1"/>
    <col min="15874" max="15874" width="12.85546875" style="4" customWidth="1"/>
    <col min="15875" max="15946" width="10.28515625" style="4" customWidth="1"/>
    <col min="15947" max="16128" width="9.140625" style="4"/>
    <col min="16129" max="16129" width="38.42578125" style="4" customWidth="1"/>
    <col min="16130" max="16130" width="12.85546875" style="4" customWidth="1"/>
    <col min="16131" max="16202" width="10.28515625" style="4" customWidth="1"/>
    <col min="16203" max="16384" width="9.140625" style="4"/>
  </cols>
  <sheetData>
    <row r="1" spans="1:75" ht="18">
      <c r="A1" s="3115" t="s">
        <v>95</v>
      </c>
      <c r="B1" s="3116"/>
    </row>
    <row r="2" spans="1:75" ht="15.75">
      <c r="A2" s="3117" t="s">
        <v>635</v>
      </c>
      <c r="B2" s="3118"/>
    </row>
    <row r="3" spans="1:75" ht="15.75" thickBot="1">
      <c r="A3" s="3119" t="s">
        <v>96</v>
      </c>
      <c r="B3" s="3120"/>
    </row>
    <row r="6" spans="1:75">
      <c r="AW6" s="900" t="s">
        <v>98</v>
      </c>
      <c r="AX6" s="901" t="s">
        <v>98</v>
      </c>
      <c r="AY6" s="901" t="s">
        <v>98</v>
      </c>
      <c r="AZ6" s="901" t="s">
        <v>98</v>
      </c>
      <c r="BA6" s="902" t="s">
        <v>99</v>
      </c>
      <c r="BB6" s="902" t="s">
        <v>99</v>
      </c>
      <c r="BC6" s="902" t="s">
        <v>99</v>
      </c>
      <c r="BD6" s="902" t="s">
        <v>99</v>
      </c>
      <c r="BE6" s="903" t="s">
        <v>100</v>
      </c>
      <c r="BF6" s="903" t="s">
        <v>100</v>
      </c>
      <c r="BG6" s="903" t="s">
        <v>100</v>
      </c>
      <c r="BH6" s="903" t="s">
        <v>100</v>
      </c>
      <c r="BI6" s="904" t="s">
        <v>101</v>
      </c>
      <c r="BJ6" s="904" t="s">
        <v>101</v>
      </c>
      <c r="BK6" s="904" t="s">
        <v>101</v>
      </c>
      <c r="BL6" s="904" t="s">
        <v>101</v>
      </c>
      <c r="BM6" s="905" t="s">
        <v>501</v>
      </c>
      <c r="BN6" s="905" t="s">
        <v>501</v>
      </c>
      <c r="BO6" s="905" t="s">
        <v>501</v>
      </c>
      <c r="BP6" s="905" t="s">
        <v>501</v>
      </c>
      <c r="BQ6" s="906" t="s">
        <v>502</v>
      </c>
      <c r="BR6" s="906" t="s">
        <v>502</v>
      </c>
      <c r="BS6" s="906" t="s">
        <v>502</v>
      </c>
      <c r="BT6" s="906" t="s">
        <v>502</v>
      </c>
    </row>
    <row r="7" spans="1:75" s="5" customFormat="1">
      <c r="B7" s="5" t="s">
        <v>102</v>
      </c>
      <c r="C7" s="7" t="s">
        <v>103</v>
      </c>
      <c r="D7" s="7" t="s">
        <v>104</v>
      </c>
      <c r="E7" s="7" t="s">
        <v>105</v>
      </c>
      <c r="F7" s="7" t="s">
        <v>106</v>
      </c>
      <c r="G7" s="7" t="s">
        <v>107</v>
      </c>
      <c r="H7" s="7" t="s">
        <v>108</v>
      </c>
      <c r="I7" s="7" t="s">
        <v>109</v>
      </c>
      <c r="J7" s="7" t="s">
        <v>110</v>
      </c>
      <c r="K7" s="7" t="s">
        <v>111</v>
      </c>
      <c r="L7" s="7" t="s">
        <v>112</v>
      </c>
      <c r="M7" s="7" t="s">
        <v>113</v>
      </c>
      <c r="N7" s="7" t="s">
        <v>114</v>
      </c>
      <c r="O7" s="7" t="s">
        <v>115</v>
      </c>
      <c r="P7" s="7" t="s">
        <v>116</v>
      </c>
      <c r="Q7" s="7" t="s">
        <v>117</v>
      </c>
      <c r="R7" s="7" t="s">
        <v>118</v>
      </c>
      <c r="S7" s="7" t="s">
        <v>119</v>
      </c>
      <c r="T7" s="7" t="s">
        <v>120</v>
      </c>
      <c r="U7" s="7" t="s">
        <v>121</v>
      </c>
      <c r="V7" s="7" t="s">
        <v>122</v>
      </c>
      <c r="W7" s="7" t="s">
        <v>123</v>
      </c>
      <c r="X7" s="7" t="s">
        <v>124</v>
      </c>
      <c r="Y7" s="7" t="s">
        <v>125</v>
      </c>
      <c r="Z7" s="7" t="s">
        <v>126</v>
      </c>
      <c r="AA7" s="7" t="s">
        <v>127</v>
      </c>
      <c r="AB7" s="7" t="s">
        <v>128</v>
      </c>
      <c r="AC7" s="7" t="s">
        <v>129</v>
      </c>
      <c r="AD7" s="7" t="s">
        <v>130</v>
      </c>
      <c r="AE7" s="7" t="s">
        <v>131</v>
      </c>
      <c r="AF7" s="7" t="s">
        <v>132</v>
      </c>
      <c r="AG7" s="7" t="s">
        <v>133</v>
      </c>
      <c r="AH7" s="7" t="s">
        <v>134</v>
      </c>
      <c r="AI7" s="7" t="s">
        <v>135</v>
      </c>
      <c r="AJ7" s="7" t="s">
        <v>136</v>
      </c>
      <c r="AK7" s="7" t="s">
        <v>137</v>
      </c>
      <c r="AL7" s="7" t="s">
        <v>138</v>
      </c>
      <c r="AM7" s="7" t="s">
        <v>139</v>
      </c>
      <c r="AN7" s="7" t="s">
        <v>140</v>
      </c>
      <c r="AO7" s="7" t="s">
        <v>141</v>
      </c>
      <c r="AP7" s="7" t="s">
        <v>142</v>
      </c>
      <c r="AQ7" s="7" t="s">
        <v>143</v>
      </c>
      <c r="AR7" s="7" t="s">
        <v>144</v>
      </c>
      <c r="AS7" s="7" t="s">
        <v>145</v>
      </c>
      <c r="AT7" s="7" t="s">
        <v>146</v>
      </c>
      <c r="AU7" s="5" t="s">
        <v>147</v>
      </c>
      <c r="AV7" s="5" t="s">
        <v>148</v>
      </c>
      <c r="AW7" s="5" t="s">
        <v>149</v>
      </c>
      <c r="AX7" s="5" t="s">
        <v>150</v>
      </c>
      <c r="AY7" s="5" t="s">
        <v>151</v>
      </c>
      <c r="AZ7" s="5" t="s">
        <v>152</v>
      </c>
      <c r="BA7" s="5" t="s">
        <v>153</v>
      </c>
      <c r="BB7" s="5" t="s">
        <v>154</v>
      </c>
      <c r="BC7" s="5" t="s">
        <v>155</v>
      </c>
      <c r="BD7" s="5" t="s">
        <v>156</v>
      </c>
      <c r="BE7" s="5" t="s">
        <v>157</v>
      </c>
      <c r="BF7" s="5" t="s">
        <v>158</v>
      </c>
      <c r="BG7" s="5" t="s">
        <v>159</v>
      </c>
      <c r="BH7" s="5" t="s">
        <v>160</v>
      </c>
      <c r="BI7" s="5" t="s">
        <v>161</v>
      </c>
      <c r="BJ7" s="5" t="s">
        <v>162</v>
      </c>
      <c r="BK7" s="5" t="s">
        <v>163</v>
      </c>
      <c r="BL7" s="5" t="s">
        <v>164</v>
      </c>
      <c r="BM7" s="5" t="s">
        <v>165</v>
      </c>
      <c r="BN7" s="5" t="s">
        <v>166</v>
      </c>
      <c r="BO7" s="5" t="s">
        <v>167</v>
      </c>
      <c r="BP7" s="5" t="s">
        <v>168</v>
      </c>
      <c r="BQ7" s="5" t="s">
        <v>169</v>
      </c>
      <c r="BR7" s="5" t="s">
        <v>170</v>
      </c>
      <c r="BS7" s="5" t="s">
        <v>171</v>
      </c>
      <c r="BT7" s="5" t="s">
        <v>172</v>
      </c>
      <c r="BU7" s="5" t="s">
        <v>173</v>
      </c>
      <c r="BV7" s="5" t="s">
        <v>174</v>
      </c>
      <c r="BW7" s="5" t="s">
        <v>175</v>
      </c>
    </row>
    <row r="8" spans="1:75">
      <c r="A8" s="5" t="s">
        <v>176</v>
      </c>
      <c r="B8" s="5" t="s">
        <v>177</v>
      </c>
      <c r="C8" s="8">
        <v>2.036</v>
      </c>
      <c r="D8" s="8">
        <v>2.0609999999999999</v>
      </c>
      <c r="E8" s="8">
        <v>2.0659999999999998</v>
      </c>
      <c r="F8" s="8">
        <v>2.0880000000000001</v>
      </c>
      <c r="G8" s="8">
        <v>2.105</v>
      </c>
      <c r="H8" s="8">
        <v>2.1160000000000001</v>
      </c>
      <c r="I8" s="8">
        <v>2.15</v>
      </c>
      <c r="J8" s="8">
        <v>2.17</v>
      </c>
      <c r="K8" s="8">
        <v>2.1880000000000002</v>
      </c>
      <c r="L8" s="8">
        <v>2.2149999999999999</v>
      </c>
      <c r="M8" s="8">
        <v>2.2349999999999999</v>
      </c>
      <c r="N8" s="8">
        <v>2.222</v>
      </c>
      <c r="O8" s="8">
        <v>2.2349999999999999</v>
      </c>
      <c r="P8" s="8">
        <v>2.262</v>
      </c>
      <c r="Q8" s="8">
        <v>2.2749999999999999</v>
      </c>
      <c r="R8" s="8">
        <v>2.3029999999999999</v>
      </c>
      <c r="S8" s="8">
        <v>2.3220000000000001</v>
      </c>
      <c r="T8" s="8">
        <v>2.363</v>
      </c>
      <c r="U8" s="8">
        <v>2.403</v>
      </c>
      <c r="V8" s="8">
        <v>2.3519999999999999</v>
      </c>
      <c r="W8" s="8">
        <v>2.3460000000000001</v>
      </c>
      <c r="X8" s="8">
        <v>2.351</v>
      </c>
      <c r="Y8" s="8">
        <v>2.371</v>
      </c>
      <c r="Z8" s="8">
        <v>2.3849999999999998</v>
      </c>
      <c r="AA8" s="8">
        <v>2.3849999999999998</v>
      </c>
      <c r="AB8" s="8">
        <v>2.3860000000000001</v>
      </c>
      <c r="AC8" s="8">
        <v>2.4009999999999998</v>
      </c>
      <c r="AD8" s="8">
        <v>2.4239999999999999</v>
      </c>
      <c r="AE8" s="8">
        <v>2.4369999999999998</v>
      </c>
      <c r="AF8" s="8">
        <v>2.4809999999999999</v>
      </c>
      <c r="AG8" s="8">
        <v>2.492</v>
      </c>
      <c r="AH8" s="8">
        <v>2.4990000000000001</v>
      </c>
      <c r="AI8" s="8">
        <v>2.52</v>
      </c>
      <c r="AJ8" s="8">
        <v>2.524</v>
      </c>
      <c r="AK8" s="8">
        <v>2.5329999999999999</v>
      </c>
      <c r="AL8" s="8">
        <v>2.5499999999999998</v>
      </c>
      <c r="AM8" s="8">
        <v>2.5630000000000002</v>
      </c>
      <c r="AN8" s="8">
        <v>2.5590000000000002</v>
      </c>
      <c r="AO8" s="8">
        <v>2.5750000000000002</v>
      </c>
      <c r="AP8" s="8">
        <v>2.589</v>
      </c>
      <c r="AQ8" s="8">
        <v>2.6059999999999999</v>
      </c>
      <c r="AR8" s="8">
        <v>2.6139999999999999</v>
      </c>
      <c r="AS8" s="8">
        <v>2.6160000000000001</v>
      </c>
      <c r="AT8" s="8">
        <v>2.6190000000000002</v>
      </c>
      <c r="AU8" s="8">
        <v>2.6219999999999999</v>
      </c>
      <c r="AV8" s="8">
        <v>2.63</v>
      </c>
      <c r="AW8" s="8">
        <v>2.6240000000000001</v>
      </c>
      <c r="AX8" s="8">
        <v>2.6259999999999999</v>
      </c>
      <c r="AY8" s="8">
        <v>2.6240000000000001</v>
      </c>
      <c r="AZ8" s="8">
        <v>2.6269999999999998</v>
      </c>
      <c r="BA8" s="8">
        <v>2.6429999999999998</v>
      </c>
      <c r="BB8" s="8">
        <v>2.6669999999999998</v>
      </c>
      <c r="BC8" s="8">
        <v>2.6749999999999998</v>
      </c>
      <c r="BD8" s="8">
        <v>2.6920000000000002</v>
      </c>
      <c r="BE8" s="8">
        <v>2.7130000000000001</v>
      </c>
      <c r="BF8" s="8">
        <v>2.7250000000000001</v>
      </c>
      <c r="BG8" s="8">
        <v>2.7440000000000002</v>
      </c>
      <c r="BH8" s="8">
        <v>2.7639999999999998</v>
      </c>
      <c r="BI8" s="8">
        <v>2.7829999999999999</v>
      </c>
      <c r="BJ8" s="8">
        <v>2.802</v>
      </c>
      <c r="BK8" s="8">
        <v>2.82</v>
      </c>
      <c r="BL8" s="8">
        <v>2.8380000000000001</v>
      </c>
      <c r="BM8" s="8">
        <v>2.8559999999999999</v>
      </c>
      <c r="BN8" s="8">
        <v>2.875</v>
      </c>
      <c r="BO8" s="8">
        <v>2.8940000000000001</v>
      </c>
      <c r="BP8" s="8">
        <v>2.9129999999999998</v>
      </c>
      <c r="BQ8" s="8">
        <v>2.9329999999999998</v>
      </c>
      <c r="BR8" s="8">
        <v>2.9529999999999998</v>
      </c>
      <c r="BS8" s="8">
        <v>2.972</v>
      </c>
      <c r="BT8" s="8">
        <v>2.9929999999999999</v>
      </c>
      <c r="BU8" s="8">
        <v>3.0150000000000001</v>
      </c>
      <c r="BV8" s="8">
        <v>3.0339999999999998</v>
      </c>
    </row>
    <row r="9" spans="1:75">
      <c r="A9" s="5" t="s">
        <v>178</v>
      </c>
      <c r="B9" s="5" t="s">
        <v>179</v>
      </c>
      <c r="C9" s="8">
        <v>2.036</v>
      </c>
      <c r="D9" s="8">
        <v>2.0609999999999999</v>
      </c>
      <c r="E9" s="8">
        <v>2.0659999999999998</v>
      </c>
      <c r="F9" s="8">
        <v>2.0880000000000001</v>
      </c>
      <c r="G9" s="8">
        <v>2.105</v>
      </c>
      <c r="H9" s="8">
        <v>2.1160000000000001</v>
      </c>
      <c r="I9" s="8">
        <v>2.15</v>
      </c>
      <c r="J9" s="8">
        <v>2.17</v>
      </c>
      <c r="K9" s="8">
        <v>2.1880000000000002</v>
      </c>
      <c r="L9" s="8">
        <v>2.2149999999999999</v>
      </c>
      <c r="M9" s="8">
        <v>2.2349999999999999</v>
      </c>
      <c r="N9" s="8">
        <v>2.222</v>
      </c>
      <c r="O9" s="8">
        <v>2.2349999999999999</v>
      </c>
      <c r="P9" s="8">
        <v>2.262</v>
      </c>
      <c r="Q9" s="8">
        <v>2.2749999999999999</v>
      </c>
      <c r="R9" s="8">
        <v>2.3029999999999999</v>
      </c>
      <c r="S9" s="8">
        <v>2.3220000000000001</v>
      </c>
      <c r="T9" s="8">
        <v>2.363</v>
      </c>
      <c r="U9" s="8">
        <v>2.403</v>
      </c>
      <c r="V9" s="8">
        <v>2.3519999999999999</v>
      </c>
      <c r="W9" s="8">
        <v>2.3460000000000001</v>
      </c>
      <c r="X9" s="8">
        <v>2.351</v>
      </c>
      <c r="Y9" s="8">
        <v>2.371</v>
      </c>
      <c r="Z9" s="8">
        <v>2.3849999999999998</v>
      </c>
      <c r="AA9" s="8">
        <v>2.3849999999999998</v>
      </c>
      <c r="AB9" s="8">
        <v>2.3860000000000001</v>
      </c>
      <c r="AC9" s="8">
        <v>2.4009999999999998</v>
      </c>
      <c r="AD9" s="8">
        <v>2.4239999999999999</v>
      </c>
      <c r="AE9" s="8">
        <v>2.4369999999999998</v>
      </c>
      <c r="AF9" s="8">
        <v>2.4809999999999999</v>
      </c>
      <c r="AG9" s="8">
        <v>2.492</v>
      </c>
      <c r="AH9" s="8">
        <v>2.4990000000000001</v>
      </c>
      <c r="AI9" s="8">
        <v>2.52</v>
      </c>
      <c r="AJ9" s="8">
        <v>2.524</v>
      </c>
      <c r="AK9" s="8">
        <v>2.5329999999999999</v>
      </c>
      <c r="AL9" s="8">
        <v>2.5499999999999998</v>
      </c>
      <c r="AM9" s="8">
        <v>2.5630000000000002</v>
      </c>
      <c r="AN9" s="8">
        <v>2.5590000000000002</v>
      </c>
      <c r="AO9" s="8">
        <v>2.5750000000000002</v>
      </c>
      <c r="AP9" s="8">
        <v>2.589</v>
      </c>
      <c r="AQ9" s="8">
        <v>2.6059999999999999</v>
      </c>
      <c r="AR9" s="8">
        <v>2.6139999999999999</v>
      </c>
      <c r="AS9" s="8">
        <v>2.6160000000000001</v>
      </c>
      <c r="AT9" s="8">
        <v>2.6190000000000002</v>
      </c>
      <c r="AU9" s="8">
        <v>2.6219999999999999</v>
      </c>
      <c r="AV9" s="8">
        <v>2.63</v>
      </c>
      <c r="AW9" s="8">
        <v>2.6240000000000001</v>
      </c>
      <c r="AX9" s="8">
        <v>2.6259999999999999</v>
      </c>
      <c r="AY9" s="8">
        <v>2.6240000000000001</v>
      </c>
      <c r="AZ9" s="8">
        <v>2.6269999999999998</v>
      </c>
      <c r="BA9" s="8">
        <v>2.6429999999999998</v>
      </c>
      <c r="BB9" s="8">
        <v>2.6669999999999998</v>
      </c>
      <c r="BC9" s="8">
        <v>2.6749999999999998</v>
      </c>
      <c r="BD9" s="8">
        <v>2.6869999999999998</v>
      </c>
      <c r="BE9" s="8">
        <v>2.7069999999999999</v>
      </c>
      <c r="BF9" s="8">
        <v>2.7170000000000001</v>
      </c>
      <c r="BG9" s="8">
        <v>2.7349999999999999</v>
      </c>
      <c r="BH9" s="8">
        <v>2.7509999999999999</v>
      </c>
      <c r="BI9" s="8">
        <v>2.7669999999999999</v>
      </c>
      <c r="BJ9" s="8">
        <v>2.7839999999999998</v>
      </c>
      <c r="BK9" s="8">
        <v>2.7989999999999999</v>
      </c>
      <c r="BL9" s="8">
        <v>2.8140000000000001</v>
      </c>
      <c r="BM9" s="8">
        <v>2.831</v>
      </c>
      <c r="BN9" s="8">
        <v>2.847</v>
      </c>
      <c r="BO9" s="8">
        <v>2.863</v>
      </c>
      <c r="BP9" s="8">
        <v>2.88</v>
      </c>
      <c r="BQ9" s="8">
        <v>2.8969999999999998</v>
      </c>
      <c r="BR9" s="8">
        <v>2.9140000000000001</v>
      </c>
      <c r="BS9" s="8">
        <v>2.9319999999999999</v>
      </c>
      <c r="BT9" s="8">
        <v>2.9510000000000001</v>
      </c>
      <c r="BU9" s="8">
        <v>2.97</v>
      </c>
      <c r="BV9" s="8">
        <v>2.9870000000000001</v>
      </c>
    </row>
    <row r="10" spans="1:75">
      <c r="A10" s="5" t="s">
        <v>180</v>
      </c>
      <c r="B10" s="5" t="s">
        <v>181</v>
      </c>
      <c r="C10" s="8">
        <v>2.036</v>
      </c>
      <c r="D10" s="8">
        <v>2.0609999999999999</v>
      </c>
      <c r="E10" s="8">
        <v>2.0659999999999998</v>
      </c>
      <c r="F10" s="8">
        <v>2.0880000000000001</v>
      </c>
      <c r="G10" s="8">
        <v>2.105</v>
      </c>
      <c r="H10" s="8">
        <v>2.1160000000000001</v>
      </c>
      <c r="I10" s="8">
        <v>2.15</v>
      </c>
      <c r="J10" s="8">
        <v>2.17</v>
      </c>
      <c r="K10" s="8">
        <v>2.1880000000000002</v>
      </c>
      <c r="L10" s="8">
        <v>2.2149999999999999</v>
      </c>
      <c r="M10" s="8">
        <v>2.2349999999999999</v>
      </c>
      <c r="N10" s="8">
        <v>2.222</v>
      </c>
      <c r="O10" s="8">
        <v>2.2349999999999999</v>
      </c>
      <c r="P10" s="8">
        <v>2.262</v>
      </c>
      <c r="Q10" s="8">
        <v>2.2749999999999999</v>
      </c>
      <c r="R10" s="8">
        <v>2.3029999999999999</v>
      </c>
      <c r="S10" s="8">
        <v>2.3220000000000001</v>
      </c>
      <c r="T10" s="8">
        <v>2.363</v>
      </c>
      <c r="U10" s="8">
        <v>2.403</v>
      </c>
      <c r="V10" s="8">
        <v>2.3519999999999999</v>
      </c>
      <c r="W10" s="8">
        <v>2.3460000000000001</v>
      </c>
      <c r="X10" s="8">
        <v>2.351</v>
      </c>
      <c r="Y10" s="8">
        <v>2.371</v>
      </c>
      <c r="Z10" s="8">
        <v>2.3849999999999998</v>
      </c>
      <c r="AA10" s="8">
        <v>2.3849999999999998</v>
      </c>
      <c r="AB10" s="8">
        <v>2.3860000000000001</v>
      </c>
      <c r="AC10" s="8">
        <v>2.4009999999999998</v>
      </c>
      <c r="AD10" s="8">
        <v>2.4239999999999999</v>
      </c>
      <c r="AE10" s="8">
        <v>2.4369999999999998</v>
      </c>
      <c r="AF10" s="8">
        <v>2.4809999999999999</v>
      </c>
      <c r="AG10" s="8">
        <v>2.492</v>
      </c>
      <c r="AH10" s="8">
        <v>2.4990000000000001</v>
      </c>
      <c r="AI10" s="8">
        <v>2.52</v>
      </c>
      <c r="AJ10" s="8">
        <v>2.524</v>
      </c>
      <c r="AK10" s="8">
        <v>2.5329999999999999</v>
      </c>
      <c r="AL10" s="8">
        <v>2.5499999999999998</v>
      </c>
      <c r="AM10" s="8">
        <v>2.5630000000000002</v>
      </c>
      <c r="AN10" s="8">
        <v>2.5590000000000002</v>
      </c>
      <c r="AO10" s="8">
        <v>2.5750000000000002</v>
      </c>
      <c r="AP10" s="8">
        <v>2.589</v>
      </c>
      <c r="AQ10" s="8">
        <v>2.6059999999999999</v>
      </c>
      <c r="AR10" s="8">
        <v>2.6139999999999999</v>
      </c>
      <c r="AS10" s="8">
        <v>2.6160000000000001</v>
      </c>
      <c r="AT10" s="8">
        <v>2.6190000000000002</v>
      </c>
      <c r="AU10" s="8">
        <v>2.6219999999999999</v>
      </c>
      <c r="AV10" s="8">
        <v>2.63</v>
      </c>
      <c r="AW10" s="8">
        <v>2.6240000000000001</v>
      </c>
      <c r="AX10" s="8">
        <v>2.6259999999999999</v>
      </c>
      <c r="AY10" s="8">
        <v>2.6240000000000001</v>
      </c>
      <c r="AZ10" s="8">
        <v>2.6269999999999998</v>
      </c>
      <c r="BA10" s="8">
        <v>2.6429999999999998</v>
      </c>
      <c r="BB10" s="8">
        <v>2.6669999999999998</v>
      </c>
      <c r="BC10" s="8">
        <v>2.6749999999999998</v>
      </c>
      <c r="BD10" s="8">
        <v>2.694</v>
      </c>
      <c r="BE10" s="8">
        <v>2.7170000000000001</v>
      </c>
      <c r="BF10" s="8">
        <v>2.7320000000000002</v>
      </c>
      <c r="BG10" s="8">
        <v>2.7530000000000001</v>
      </c>
      <c r="BH10" s="8">
        <v>2.7770000000000001</v>
      </c>
      <c r="BI10" s="8">
        <v>2.7989999999999999</v>
      </c>
      <c r="BJ10" s="8">
        <v>2.823</v>
      </c>
      <c r="BK10" s="8">
        <v>2.8450000000000002</v>
      </c>
      <c r="BL10" s="8">
        <v>2.8690000000000002</v>
      </c>
      <c r="BM10" s="8">
        <v>2.8929999999999998</v>
      </c>
      <c r="BN10" s="8">
        <v>2.9180000000000001</v>
      </c>
      <c r="BO10" s="8">
        <v>2.9430000000000001</v>
      </c>
      <c r="BP10" s="8">
        <v>2.9689999999999999</v>
      </c>
      <c r="BQ10" s="8">
        <v>2.996</v>
      </c>
      <c r="BR10" s="8">
        <v>3.024</v>
      </c>
      <c r="BS10" s="8">
        <v>3.0510000000000002</v>
      </c>
      <c r="BT10" s="8">
        <v>3.08</v>
      </c>
      <c r="BU10" s="8">
        <v>3.11</v>
      </c>
      <c r="BV10" s="8">
        <v>3.1379999999999999</v>
      </c>
    </row>
    <row r="12" spans="1:7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7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7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7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7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3:63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Z17" s="907" t="s">
        <v>503</v>
      </c>
      <c r="BA17" s="908"/>
      <c r="BB17" s="908"/>
      <c r="BC17" s="909" t="s">
        <v>504</v>
      </c>
      <c r="BD17" s="910"/>
      <c r="BE17" s="910"/>
      <c r="BF17" s="910"/>
      <c r="BG17" s="910"/>
      <c r="BH17" s="910"/>
      <c r="BI17" s="908"/>
      <c r="BJ17" s="908"/>
      <c r="BK17" s="908"/>
    </row>
    <row r="18" spans="3:63">
      <c r="AZ18" s="911"/>
      <c r="BA18" s="912"/>
      <c r="BB18" s="912"/>
      <c r="BC18" s="912"/>
      <c r="BD18" s="912"/>
      <c r="BE18" s="912"/>
      <c r="BF18" s="912"/>
      <c r="BG18" s="912"/>
      <c r="BH18" s="912"/>
      <c r="BI18" s="912"/>
      <c r="BJ18" s="912"/>
      <c r="BK18" s="913"/>
    </row>
    <row r="19" spans="3:63">
      <c r="AZ19" s="914"/>
      <c r="BA19" s="915" t="s">
        <v>505</v>
      </c>
      <c r="BB19" s="916" t="s">
        <v>506</v>
      </c>
      <c r="BC19" s="916"/>
      <c r="BD19" s="916"/>
      <c r="BE19" s="916"/>
      <c r="BF19" s="916"/>
      <c r="BG19" s="916"/>
      <c r="BH19" s="916"/>
      <c r="BI19" s="916"/>
      <c r="BJ19" s="916"/>
      <c r="BK19" s="917"/>
    </row>
    <row r="20" spans="3:63">
      <c r="AZ20" s="914"/>
      <c r="BA20" s="916"/>
      <c r="BB20" s="5" t="s">
        <v>158</v>
      </c>
      <c r="BC20" s="916"/>
      <c r="BD20" s="916"/>
      <c r="BE20" s="916"/>
      <c r="BF20" s="916"/>
      <c r="BG20" s="916"/>
      <c r="BH20" s="916"/>
      <c r="BI20" s="916"/>
      <c r="BJ20" s="916"/>
      <c r="BK20" s="918" t="s">
        <v>507</v>
      </c>
    </row>
    <row r="21" spans="3:63">
      <c r="AZ21" s="914"/>
      <c r="BA21" s="916"/>
      <c r="BB21" s="8">
        <f>BF9</f>
        <v>2.7170000000000001</v>
      </c>
      <c r="BC21" s="916"/>
      <c r="BD21" s="916"/>
      <c r="BE21" s="916"/>
      <c r="BF21" s="916"/>
      <c r="BG21" s="916"/>
      <c r="BH21" s="916"/>
      <c r="BI21" s="916"/>
      <c r="BJ21" s="916"/>
      <c r="BK21" s="919">
        <f>BB21</f>
        <v>2.7170000000000001</v>
      </c>
    </row>
    <row r="22" spans="3:63">
      <c r="AZ22" s="914"/>
      <c r="BA22" s="916"/>
      <c r="BB22" s="916"/>
      <c r="BC22" s="916"/>
      <c r="BD22" s="916"/>
      <c r="BE22" s="916"/>
      <c r="BF22" s="916"/>
      <c r="BG22" s="916"/>
      <c r="BH22" s="916"/>
      <c r="BI22" s="916"/>
      <c r="BJ22" s="916"/>
      <c r="BK22" s="920"/>
    </row>
    <row r="23" spans="3:63">
      <c r="AZ23" s="914"/>
      <c r="BA23" s="915" t="s">
        <v>508</v>
      </c>
      <c r="BB23" s="916" t="s">
        <v>509</v>
      </c>
      <c r="BC23" s="916"/>
      <c r="BD23" s="916"/>
      <c r="BE23" s="916"/>
      <c r="BF23" s="916"/>
      <c r="BG23" s="916"/>
      <c r="BH23" s="916"/>
      <c r="BI23" s="916"/>
      <c r="BJ23" s="916"/>
      <c r="BK23" s="920"/>
    </row>
    <row r="24" spans="3:63">
      <c r="AZ24" s="914"/>
      <c r="BA24" s="916"/>
      <c r="BB24" s="5" t="s">
        <v>159</v>
      </c>
      <c r="BC24" s="5" t="s">
        <v>160</v>
      </c>
      <c r="BD24" s="5" t="s">
        <v>161</v>
      </c>
      <c r="BE24" s="5" t="s">
        <v>162</v>
      </c>
      <c r="BF24" s="5" t="s">
        <v>163</v>
      </c>
      <c r="BG24" s="5" t="s">
        <v>164</v>
      </c>
      <c r="BH24" s="5" t="s">
        <v>165</v>
      </c>
      <c r="BI24" s="5" t="s">
        <v>166</v>
      </c>
      <c r="BJ24" s="916"/>
      <c r="BK24" s="920"/>
    </row>
    <row r="25" spans="3:63">
      <c r="AZ25" s="914"/>
      <c r="BA25" s="916"/>
      <c r="BB25" s="8">
        <f>BG9</f>
        <v>2.7349999999999999</v>
      </c>
      <c r="BC25" s="8">
        <f t="shared" ref="BC25:BI25" si="0">BH9</f>
        <v>2.7509999999999999</v>
      </c>
      <c r="BD25" s="8">
        <f t="shared" si="0"/>
        <v>2.7669999999999999</v>
      </c>
      <c r="BE25" s="8">
        <f t="shared" si="0"/>
        <v>2.7839999999999998</v>
      </c>
      <c r="BF25" s="8">
        <f t="shared" si="0"/>
        <v>2.7989999999999999</v>
      </c>
      <c r="BG25" s="8">
        <f t="shared" si="0"/>
        <v>2.8140000000000001</v>
      </c>
      <c r="BH25" s="8">
        <f t="shared" si="0"/>
        <v>2.831</v>
      </c>
      <c r="BI25" s="8">
        <f t="shared" si="0"/>
        <v>2.847</v>
      </c>
      <c r="BJ25" s="916"/>
      <c r="BK25" s="919">
        <f>AVERAGE(BB25:BI25)</f>
        <v>2.7909999999999999</v>
      </c>
    </row>
    <row r="26" spans="3:63">
      <c r="AZ26" s="914"/>
      <c r="BA26" s="916"/>
      <c r="BB26" s="916"/>
      <c r="BC26" s="916"/>
      <c r="BD26" s="916"/>
      <c r="BE26" s="916"/>
      <c r="BF26" s="916"/>
      <c r="BG26" s="916"/>
      <c r="BH26" s="916"/>
      <c r="BI26" s="916"/>
      <c r="BJ26" s="916"/>
      <c r="BK26" s="920"/>
    </row>
    <row r="27" spans="3:63">
      <c r="AZ27" s="914"/>
      <c r="BA27" s="916"/>
      <c r="BB27" s="916"/>
      <c r="BC27" s="916"/>
      <c r="BD27" s="916"/>
      <c r="BE27" s="916"/>
      <c r="BF27" s="916"/>
      <c r="BG27" s="916"/>
      <c r="BH27" s="916"/>
      <c r="BI27" s="916"/>
      <c r="BJ27" s="921" t="s">
        <v>182</v>
      </c>
      <c r="BK27" s="922">
        <f>(BK25-BK21)/BK21</f>
        <v>2.7235921972764018E-2</v>
      </c>
    </row>
    <row r="28" spans="3:63">
      <c r="AZ28" s="923"/>
      <c r="BA28" s="924"/>
      <c r="BB28" s="924"/>
      <c r="BC28" s="924"/>
      <c r="BD28" s="924"/>
      <c r="BE28" s="924"/>
      <c r="BF28" s="924"/>
      <c r="BG28" s="924"/>
      <c r="BH28" s="924"/>
      <c r="BI28" s="924"/>
      <c r="BJ28" s="924"/>
      <c r="BK28" s="925"/>
    </row>
    <row r="29" spans="3:63">
      <c r="AZ29" s="908"/>
      <c r="BA29" s="908"/>
      <c r="BB29" s="908"/>
      <c r="BC29" s="908"/>
      <c r="BD29" s="908"/>
      <c r="BE29" s="908"/>
      <c r="BF29" s="908"/>
      <c r="BG29" s="908"/>
      <c r="BH29" s="908"/>
      <c r="BI29" s="908"/>
      <c r="BJ29" s="908"/>
      <c r="BK29" s="908"/>
    </row>
    <row r="30" spans="3:63">
      <c r="AZ30" s="908"/>
      <c r="BA30" s="908"/>
      <c r="BB30" s="908"/>
      <c r="BC30" s="908"/>
      <c r="BD30" s="908"/>
      <c r="BE30" s="908"/>
      <c r="BF30" s="908"/>
      <c r="BG30" s="908"/>
      <c r="BH30" s="908"/>
      <c r="BI30" s="908"/>
      <c r="BJ30" s="908"/>
      <c r="BK30" s="908"/>
    </row>
    <row r="31" spans="3:63">
      <c r="AZ31" s="907" t="s">
        <v>510</v>
      </c>
      <c r="BA31" s="908"/>
      <c r="BB31" s="908"/>
      <c r="BC31" s="909" t="s">
        <v>511</v>
      </c>
      <c r="BD31" s="910"/>
      <c r="BE31" s="910"/>
      <c r="BF31" s="910"/>
      <c r="BG31" s="910"/>
      <c r="BH31" s="910"/>
      <c r="BI31" s="908"/>
      <c r="BJ31" s="908"/>
      <c r="BK31" s="908"/>
    </row>
    <row r="32" spans="3:63">
      <c r="AZ32" s="911"/>
      <c r="BA32" s="912"/>
      <c r="BB32" s="912"/>
      <c r="BC32" s="912"/>
      <c r="BD32" s="912"/>
      <c r="BE32" s="912"/>
      <c r="BF32" s="912"/>
      <c r="BG32" s="912"/>
      <c r="BH32" s="912"/>
      <c r="BI32" s="912"/>
      <c r="BJ32" s="912"/>
      <c r="BK32" s="913"/>
    </row>
    <row r="33" spans="52:63">
      <c r="AZ33" s="914"/>
      <c r="BA33" s="915" t="s">
        <v>505</v>
      </c>
      <c r="BB33" s="916" t="s">
        <v>97</v>
      </c>
      <c r="BC33" s="916"/>
      <c r="BD33" s="916"/>
      <c r="BE33" s="916"/>
      <c r="BF33" s="916"/>
      <c r="BG33" s="916"/>
      <c r="BH33" s="916"/>
      <c r="BI33" s="916"/>
      <c r="BJ33" s="916"/>
      <c r="BK33" s="917"/>
    </row>
    <row r="34" spans="52:63">
      <c r="AZ34" s="914"/>
      <c r="BA34" s="916"/>
      <c r="BB34" s="926" t="s">
        <v>145</v>
      </c>
      <c r="BC34" s="926" t="s">
        <v>146</v>
      </c>
      <c r="BD34" s="928" t="s">
        <v>147</v>
      </c>
      <c r="BE34" s="928" t="s">
        <v>148</v>
      </c>
      <c r="BF34" s="916"/>
      <c r="BG34" s="916"/>
      <c r="BH34" s="916"/>
      <c r="BI34" s="916"/>
      <c r="BJ34" s="916"/>
      <c r="BK34" s="918" t="s">
        <v>507</v>
      </c>
    </row>
    <row r="35" spans="52:63">
      <c r="AZ35" s="914"/>
      <c r="BA35" s="916"/>
      <c r="BB35" s="927">
        <f>AT11</f>
        <v>0</v>
      </c>
      <c r="BC35" s="927">
        <f>AU11</f>
        <v>0</v>
      </c>
      <c r="BD35" s="927">
        <f>AV11</f>
        <v>0</v>
      </c>
      <c r="BE35" s="927">
        <f>AW11</f>
        <v>0</v>
      </c>
      <c r="BF35" s="916"/>
      <c r="BG35" s="916"/>
      <c r="BH35" s="916"/>
      <c r="BI35" s="916"/>
      <c r="BJ35" s="916"/>
      <c r="BK35" s="919">
        <f>AVERAGE(BB35:BE35)</f>
        <v>0</v>
      </c>
    </row>
    <row r="36" spans="52:63">
      <c r="AZ36" s="914"/>
      <c r="BA36" s="916"/>
      <c r="BB36" s="916"/>
      <c r="BC36" s="916"/>
      <c r="BD36" s="916"/>
      <c r="BE36" s="916"/>
      <c r="BF36" s="916"/>
      <c r="BG36" s="916"/>
      <c r="BH36" s="916"/>
      <c r="BI36" s="916"/>
      <c r="BJ36" s="916"/>
      <c r="BK36" s="920"/>
    </row>
    <row r="37" spans="52:63">
      <c r="AZ37" s="914"/>
      <c r="BA37" s="915" t="s">
        <v>508</v>
      </c>
      <c r="BB37" s="916" t="s">
        <v>636</v>
      </c>
      <c r="BC37" s="916"/>
      <c r="BD37" s="916"/>
      <c r="BE37" s="916"/>
      <c r="BF37" s="916"/>
      <c r="BG37" s="916"/>
      <c r="BH37" s="916"/>
      <c r="BI37" s="916"/>
      <c r="BJ37" s="916"/>
      <c r="BK37" s="920"/>
    </row>
    <row r="38" spans="52:63">
      <c r="AZ38" s="914"/>
      <c r="BA38" s="916"/>
      <c r="BB38" s="928" t="s">
        <v>157</v>
      </c>
      <c r="BC38" s="928" t="s">
        <v>158</v>
      </c>
      <c r="BD38" s="928" t="s">
        <v>159</v>
      </c>
      <c r="BE38" s="928" t="s">
        <v>160</v>
      </c>
      <c r="BF38" s="928" t="s">
        <v>161</v>
      </c>
      <c r="BG38" s="928" t="s">
        <v>162</v>
      </c>
      <c r="BH38" s="928" t="s">
        <v>163</v>
      </c>
      <c r="BI38" s="928" t="s">
        <v>164</v>
      </c>
      <c r="BJ38" s="916"/>
      <c r="BK38" s="920"/>
    </row>
    <row r="39" spans="52:63">
      <c r="AZ39" s="914"/>
      <c r="BA39" s="916"/>
      <c r="BB39" s="927">
        <f>BF11</f>
        <v>0</v>
      </c>
      <c r="BC39" s="927">
        <f t="shared" ref="BC39:BI39" si="1">BG11</f>
        <v>0</v>
      </c>
      <c r="BD39" s="927">
        <f t="shared" si="1"/>
        <v>0</v>
      </c>
      <c r="BE39" s="927">
        <f t="shared" si="1"/>
        <v>0</v>
      </c>
      <c r="BF39" s="927">
        <f t="shared" si="1"/>
        <v>0</v>
      </c>
      <c r="BG39" s="927">
        <f t="shared" si="1"/>
        <v>0</v>
      </c>
      <c r="BH39" s="927">
        <f t="shared" si="1"/>
        <v>0</v>
      </c>
      <c r="BI39" s="927">
        <f t="shared" si="1"/>
        <v>0</v>
      </c>
      <c r="BJ39" s="916"/>
      <c r="BK39" s="919">
        <f>AVERAGE(BB39:BI39)</f>
        <v>0</v>
      </c>
    </row>
    <row r="40" spans="52:63">
      <c r="AZ40" s="914"/>
      <c r="BA40" s="916"/>
      <c r="BB40" s="916"/>
      <c r="BC40" s="916"/>
      <c r="BD40" s="916"/>
      <c r="BE40" s="916"/>
      <c r="BF40" s="916"/>
      <c r="BG40" s="916"/>
      <c r="BH40" s="916"/>
      <c r="BI40" s="916"/>
      <c r="BJ40" s="916"/>
      <c r="BK40" s="920"/>
    </row>
    <row r="41" spans="52:63">
      <c r="AZ41" s="914"/>
      <c r="BA41" s="916"/>
      <c r="BB41" s="916"/>
      <c r="BC41" s="916"/>
      <c r="BD41" s="916"/>
      <c r="BE41" s="916"/>
      <c r="BF41" s="916"/>
      <c r="BG41" s="916"/>
      <c r="BH41" s="916"/>
      <c r="BI41" s="916"/>
      <c r="BJ41" s="921" t="s">
        <v>182</v>
      </c>
      <c r="BK41" s="922" t="e">
        <f>(BK39-BK35)/BK35</f>
        <v>#DIV/0!</v>
      </c>
    </row>
    <row r="42" spans="52:63">
      <c r="AZ42" s="923"/>
      <c r="BA42" s="924"/>
      <c r="BB42" s="924"/>
      <c r="BC42" s="924"/>
      <c r="BD42" s="924"/>
      <c r="BE42" s="924"/>
      <c r="BF42" s="924"/>
      <c r="BG42" s="924"/>
      <c r="BH42" s="924"/>
      <c r="BI42" s="924"/>
      <c r="BJ42" s="924"/>
      <c r="BK42" s="925"/>
    </row>
  </sheetData>
  <mergeCells count="3">
    <mergeCell ref="A1:B1"/>
    <mergeCell ref="A2:B2"/>
    <mergeCell ref="A3:B3"/>
  </mergeCells>
  <pageMargins left="0.25" right="0.2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6"/>
  <sheetViews>
    <sheetView showGridLines="0" zoomScale="75" zoomScaleNormal="75" workbookViewId="0">
      <selection activeCell="I27" sqref="I27:I29"/>
    </sheetView>
  </sheetViews>
  <sheetFormatPr defaultColWidth="9.42578125" defaultRowHeight="12.75"/>
  <cols>
    <col min="1" max="1" width="2.42578125" style="1271" customWidth="1"/>
    <col min="2" max="2" width="41.5703125" style="1271" customWidth="1"/>
    <col min="3" max="3" width="9.28515625" style="1271" bestFit="1" customWidth="1"/>
    <col min="4" max="4" width="10.28515625" style="1271" customWidth="1"/>
    <col min="5" max="5" width="11.28515625" style="1271" customWidth="1"/>
    <col min="6" max="6" width="9.85546875" style="1271" bestFit="1" customWidth="1"/>
    <col min="7" max="7" width="9" style="1271" customWidth="1"/>
    <col min="8" max="8" width="11.7109375" style="1271" customWidth="1"/>
    <col min="9" max="9" width="9.28515625" style="1271" bestFit="1" customWidth="1"/>
    <col min="10" max="10" width="3.5703125" style="1271" customWidth="1"/>
    <col min="11" max="11" width="37.28515625" style="1272" customWidth="1"/>
    <col min="12" max="12" width="9" style="1272" customWidth="1"/>
    <col min="13" max="13" width="10.85546875" style="1272" customWidth="1"/>
    <col min="14" max="14" width="9.5703125" style="1272" customWidth="1"/>
    <col min="15" max="15" width="9" style="1272" bestFit="1" customWidth="1"/>
    <col min="16" max="16" width="11" style="1272" bestFit="1" customWidth="1"/>
    <col min="17" max="17" width="12.5703125" style="1272" bestFit="1" customWidth="1"/>
    <col min="18" max="18" width="3.5703125" style="1272" customWidth="1"/>
    <col min="19" max="19" width="2.42578125" style="1272" customWidth="1"/>
    <col min="20" max="20" width="37.42578125" style="1272" customWidth="1"/>
    <col min="21" max="21" width="13.7109375" style="1272" customWidth="1"/>
    <col min="22" max="22" width="10.7109375" style="1272" customWidth="1"/>
    <col min="23" max="23" width="12.42578125" style="1272" customWidth="1"/>
    <col min="24" max="24" width="11.42578125" style="1272" customWidth="1"/>
    <col min="25" max="25" width="16.42578125" style="1272" customWidth="1"/>
    <col min="26" max="27" width="10.7109375" style="1272" customWidth="1"/>
    <col min="28" max="28" width="43" style="1272" customWidth="1"/>
    <col min="29" max="29" width="12.42578125" style="1272" customWidth="1"/>
    <col min="30" max="30" width="11.85546875" style="1272" customWidth="1"/>
    <col min="31" max="31" width="9.42578125" style="1273" customWidth="1"/>
    <col min="32" max="32" width="8.42578125" style="1274" customWidth="1"/>
    <col min="33" max="33" width="9.42578125" style="1273" customWidth="1"/>
    <col min="34" max="34" width="7.5703125" style="1271" customWidth="1"/>
    <col min="35" max="35" width="7.85546875" style="1271" bestFit="1" customWidth="1"/>
    <col min="36" max="36" width="10.28515625" style="1271" bestFit="1" customWidth="1"/>
    <col min="37" max="37" width="4.85546875" style="1271" customWidth="1"/>
    <col min="38" max="38" width="21.85546875" style="1271" bestFit="1" customWidth="1"/>
    <col min="39" max="39" width="8.85546875" style="1271" customWidth="1"/>
    <col min="40" max="40" width="7.5703125" style="1271" bestFit="1" customWidth="1"/>
    <col min="41" max="41" width="4.5703125" style="1271" customWidth="1"/>
    <col min="42" max="253" width="9.42578125" style="1271"/>
    <col min="254" max="254" width="2.42578125" style="1271" customWidth="1"/>
    <col min="255" max="255" width="29.7109375" style="1271" customWidth="1"/>
    <col min="256" max="256" width="9.28515625" style="1271" bestFit="1" customWidth="1"/>
    <col min="257" max="257" width="10.28515625" style="1271" customWidth="1"/>
    <col min="258" max="258" width="8.140625" style="1271" bestFit="1" customWidth="1"/>
    <col min="259" max="259" width="9.85546875" style="1271" bestFit="1" customWidth="1"/>
    <col min="260" max="260" width="9" style="1271" customWidth="1"/>
    <col min="261" max="261" width="11.7109375" style="1271" customWidth="1"/>
    <col min="262" max="262" width="12.42578125" style="1271" customWidth="1"/>
    <col min="263" max="263" width="2.85546875" style="1271" customWidth="1"/>
    <col min="264" max="264" width="29.85546875" style="1271" customWidth="1"/>
    <col min="265" max="265" width="9" style="1271" customWidth="1"/>
    <col min="266" max="266" width="10.85546875" style="1271" customWidth="1"/>
    <col min="267" max="267" width="8" style="1271" bestFit="1" customWidth="1"/>
    <col min="268" max="268" width="9" style="1271" bestFit="1" customWidth="1"/>
    <col min="269" max="269" width="11" style="1271" bestFit="1" customWidth="1"/>
    <col min="270" max="270" width="12.5703125" style="1271" bestFit="1" customWidth="1"/>
    <col min="271" max="271" width="12.140625" style="1271" customWidth="1"/>
    <col min="272" max="285" width="2.85546875" style="1271" customWidth="1"/>
    <col min="286" max="286" width="22.28515625" style="1271" customWidth="1"/>
    <col min="287" max="287" width="9.42578125" style="1271" customWidth="1"/>
    <col min="288" max="288" width="8.42578125" style="1271" customWidth="1"/>
    <col min="289" max="289" width="9.42578125" style="1271" customWidth="1"/>
    <col min="290" max="290" width="7.5703125" style="1271" customWidth="1"/>
    <col min="291" max="291" width="7.85546875" style="1271" bestFit="1" customWidth="1"/>
    <col min="292" max="292" width="10.28515625" style="1271" bestFit="1" customWidth="1"/>
    <col min="293" max="293" width="4.85546875" style="1271" customWidth="1"/>
    <col min="294" max="294" width="21.85546875" style="1271" bestFit="1" customWidth="1"/>
    <col min="295" max="295" width="8.85546875" style="1271" customWidth="1"/>
    <col min="296" max="296" width="7.5703125" style="1271" bestFit="1" customWidth="1"/>
    <col min="297" max="297" width="4.5703125" style="1271" customWidth="1"/>
    <col min="298" max="509" width="9.42578125" style="1271"/>
    <col min="510" max="510" width="2.42578125" style="1271" customWidth="1"/>
    <col min="511" max="511" width="29.7109375" style="1271" customWidth="1"/>
    <col min="512" max="512" width="9.28515625" style="1271" bestFit="1" customWidth="1"/>
    <col min="513" max="513" width="10.28515625" style="1271" customWidth="1"/>
    <col min="514" max="514" width="8.140625" style="1271" bestFit="1" customWidth="1"/>
    <col min="515" max="515" width="9.85546875" style="1271" bestFit="1" customWidth="1"/>
    <col min="516" max="516" width="9" style="1271" customWidth="1"/>
    <col min="517" max="517" width="11.7109375" style="1271" customWidth="1"/>
    <col min="518" max="518" width="12.42578125" style="1271" customWidth="1"/>
    <col min="519" max="519" width="2.85546875" style="1271" customWidth="1"/>
    <col min="520" max="520" width="29.85546875" style="1271" customWidth="1"/>
    <col min="521" max="521" width="9" style="1271" customWidth="1"/>
    <col min="522" max="522" width="10.85546875" style="1271" customWidth="1"/>
    <col min="523" max="523" width="8" style="1271" bestFit="1" customWidth="1"/>
    <col min="524" max="524" width="9" style="1271" bestFit="1" customWidth="1"/>
    <col min="525" max="525" width="11" style="1271" bestFit="1" customWidth="1"/>
    <col min="526" max="526" width="12.5703125" style="1271" bestFit="1" customWidth="1"/>
    <col min="527" max="527" width="12.140625" style="1271" customWidth="1"/>
    <col min="528" max="541" width="2.85546875" style="1271" customWidth="1"/>
    <col min="542" max="542" width="22.28515625" style="1271" customWidth="1"/>
    <col min="543" max="543" width="9.42578125" style="1271" customWidth="1"/>
    <col min="544" max="544" width="8.42578125" style="1271" customWidth="1"/>
    <col min="545" max="545" width="9.42578125" style="1271" customWidth="1"/>
    <col min="546" max="546" width="7.5703125" style="1271" customWidth="1"/>
    <col min="547" max="547" width="7.85546875" style="1271" bestFit="1" customWidth="1"/>
    <col min="548" max="548" width="10.28515625" style="1271" bestFit="1" customWidth="1"/>
    <col min="549" max="549" width="4.85546875" style="1271" customWidth="1"/>
    <col min="550" max="550" width="21.85546875" style="1271" bestFit="1" customWidth="1"/>
    <col min="551" max="551" width="8.85546875" style="1271" customWidth="1"/>
    <col min="552" max="552" width="7.5703125" style="1271" bestFit="1" customWidth="1"/>
    <col min="553" max="553" width="4.5703125" style="1271" customWidth="1"/>
    <col min="554" max="765" width="9.42578125" style="1271"/>
    <col min="766" max="766" width="2.42578125" style="1271" customWidth="1"/>
    <col min="767" max="767" width="29.7109375" style="1271" customWidth="1"/>
    <col min="768" max="768" width="9.28515625" style="1271" bestFit="1" customWidth="1"/>
    <col min="769" max="769" width="10.28515625" style="1271" customWidth="1"/>
    <col min="770" max="770" width="8.140625" style="1271" bestFit="1" customWidth="1"/>
    <col min="771" max="771" width="9.85546875" style="1271" bestFit="1" customWidth="1"/>
    <col min="772" max="772" width="9" style="1271" customWidth="1"/>
    <col min="773" max="773" width="11.7109375" style="1271" customWidth="1"/>
    <col min="774" max="774" width="12.42578125" style="1271" customWidth="1"/>
    <col min="775" max="775" width="2.85546875" style="1271" customWidth="1"/>
    <col min="776" max="776" width="29.85546875" style="1271" customWidth="1"/>
    <col min="777" max="777" width="9" style="1271" customWidth="1"/>
    <col min="778" max="778" width="10.85546875" style="1271" customWidth="1"/>
    <col min="779" max="779" width="8" style="1271" bestFit="1" customWidth="1"/>
    <col min="780" max="780" width="9" style="1271" bestFit="1" customWidth="1"/>
    <col min="781" max="781" width="11" style="1271" bestFit="1" customWidth="1"/>
    <col min="782" max="782" width="12.5703125" style="1271" bestFit="1" customWidth="1"/>
    <col min="783" max="783" width="12.140625" style="1271" customWidth="1"/>
    <col min="784" max="797" width="2.85546875" style="1271" customWidth="1"/>
    <col min="798" max="798" width="22.28515625" style="1271" customWidth="1"/>
    <col min="799" max="799" width="9.42578125" style="1271" customWidth="1"/>
    <col min="800" max="800" width="8.42578125" style="1271" customWidth="1"/>
    <col min="801" max="801" width="9.42578125" style="1271" customWidth="1"/>
    <col min="802" max="802" width="7.5703125" style="1271" customWidth="1"/>
    <col min="803" max="803" width="7.85546875" style="1271" bestFit="1" customWidth="1"/>
    <col min="804" max="804" width="10.28515625" style="1271" bestFit="1" customWidth="1"/>
    <col min="805" max="805" width="4.85546875" style="1271" customWidth="1"/>
    <col min="806" max="806" width="21.85546875" style="1271" bestFit="1" customWidth="1"/>
    <col min="807" max="807" width="8.85546875" style="1271" customWidth="1"/>
    <col min="808" max="808" width="7.5703125" style="1271" bestFit="1" customWidth="1"/>
    <col min="809" max="809" width="4.5703125" style="1271" customWidth="1"/>
    <col min="810" max="1021" width="9.42578125" style="1271"/>
    <col min="1022" max="1022" width="2.42578125" style="1271" customWidth="1"/>
    <col min="1023" max="1023" width="29.7109375" style="1271" customWidth="1"/>
    <col min="1024" max="1024" width="9.28515625" style="1271" bestFit="1" customWidth="1"/>
    <col min="1025" max="1025" width="10.28515625" style="1271" customWidth="1"/>
    <col min="1026" max="1026" width="8.140625" style="1271" bestFit="1" customWidth="1"/>
    <col min="1027" max="1027" width="9.85546875" style="1271" bestFit="1" customWidth="1"/>
    <col min="1028" max="1028" width="9" style="1271" customWidth="1"/>
    <col min="1029" max="1029" width="11.7109375" style="1271" customWidth="1"/>
    <col min="1030" max="1030" width="12.42578125" style="1271" customWidth="1"/>
    <col min="1031" max="1031" width="2.85546875" style="1271" customWidth="1"/>
    <col min="1032" max="1032" width="29.85546875" style="1271" customWidth="1"/>
    <col min="1033" max="1033" width="9" style="1271" customWidth="1"/>
    <col min="1034" max="1034" width="10.85546875" style="1271" customWidth="1"/>
    <col min="1035" max="1035" width="8" style="1271" bestFit="1" customWidth="1"/>
    <col min="1036" max="1036" width="9" style="1271" bestFit="1" customWidth="1"/>
    <col min="1037" max="1037" width="11" style="1271" bestFit="1" customWidth="1"/>
    <col min="1038" max="1038" width="12.5703125" style="1271" bestFit="1" customWidth="1"/>
    <col min="1039" max="1039" width="12.140625" style="1271" customWidth="1"/>
    <col min="1040" max="1053" width="2.85546875" style="1271" customWidth="1"/>
    <col min="1054" max="1054" width="22.28515625" style="1271" customWidth="1"/>
    <col min="1055" max="1055" width="9.42578125" style="1271" customWidth="1"/>
    <col min="1056" max="1056" width="8.42578125" style="1271" customWidth="1"/>
    <col min="1057" max="1057" width="9.42578125" style="1271" customWidth="1"/>
    <col min="1058" max="1058" width="7.5703125" style="1271" customWidth="1"/>
    <col min="1059" max="1059" width="7.85546875" style="1271" bestFit="1" customWidth="1"/>
    <col min="1060" max="1060" width="10.28515625" style="1271" bestFit="1" customWidth="1"/>
    <col min="1061" max="1061" width="4.85546875" style="1271" customWidth="1"/>
    <col min="1062" max="1062" width="21.85546875" style="1271" bestFit="1" customWidth="1"/>
    <col min="1063" max="1063" width="8.85546875" style="1271" customWidth="1"/>
    <col min="1064" max="1064" width="7.5703125" style="1271" bestFit="1" customWidth="1"/>
    <col min="1065" max="1065" width="4.5703125" style="1271" customWidth="1"/>
    <col min="1066" max="1277" width="9.42578125" style="1271"/>
    <col min="1278" max="1278" width="2.42578125" style="1271" customWidth="1"/>
    <col min="1279" max="1279" width="29.7109375" style="1271" customWidth="1"/>
    <col min="1280" max="1280" width="9.28515625" style="1271" bestFit="1" customWidth="1"/>
    <col min="1281" max="1281" width="10.28515625" style="1271" customWidth="1"/>
    <col min="1282" max="1282" width="8.140625" style="1271" bestFit="1" customWidth="1"/>
    <col min="1283" max="1283" width="9.85546875" style="1271" bestFit="1" customWidth="1"/>
    <col min="1284" max="1284" width="9" style="1271" customWidth="1"/>
    <col min="1285" max="1285" width="11.7109375" style="1271" customWidth="1"/>
    <col min="1286" max="1286" width="12.42578125" style="1271" customWidth="1"/>
    <col min="1287" max="1287" width="2.85546875" style="1271" customWidth="1"/>
    <col min="1288" max="1288" width="29.85546875" style="1271" customWidth="1"/>
    <col min="1289" max="1289" width="9" style="1271" customWidth="1"/>
    <col min="1290" max="1290" width="10.85546875" style="1271" customWidth="1"/>
    <col min="1291" max="1291" width="8" style="1271" bestFit="1" customWidth="1"/>
    <col min="1292" max="1292" width="9" style="1271" bestFit="1" customWidth="1"/>
    <col min="1293" max="1293" width="11" style="1271" bestFit="1" customWidth="1"/>
    <col min="1294" max="1294" width="12.5703125" style="1271" bestFit="1" customWidth="1"/>
    <col min="1295" max="1295" width="12.140625" style="1271" customWidth="1"/>
    <col min="1296" max="1309" width="2.85546875" style="1271" customWidth="1"/>
    <col min="1310" max="1310" width="22.28515625" style="1271" customWidth="1"/>
    <col min="1311" max="1311" width="9.42578125" style="1271" customWidth="1"/>
    <col min="1312" max="1312" width="8.42578125" style="1271" customWidth="1"/>
    <col min="1313" max="1313" width="9.42578125" style="1271" customWidth="1"/>
    <col min="1314" max="1314" width="7.5703125" style="1271" customWidth="1"/>
    <col min="1315" max="1315" width="7.85546875" style="1271" bestFit="1" customWidth="1"/>
    <col min="1316" max="1316" width="10.28515625" style="1271" bestFit="1" customWidth="1"/>
    <col min="1317" max="1317" width="4.85546875" style="1271" customWidth="1"/>
    <col min="1318" max="1318" width="21.85546875" style="1271" bestFit="1" customWidth="1"/>
    <col min="1319" max="1319" width="8.85546875" style="1271" customWidth="1"/>
    <col min="1320" max="1320" width="7.5703125" style="1271" bestFit="1" customWidth="1"/>
    <col min="1321" max="1321" width="4.5703125" style="1271" customWidth="1"/>
    <col min="1322" max="1533" width="9.42578125" style="1271"/>
    <col min="1534" max="1534" width="2.42578125" style="1271" customWidth="1"/>
    <col min="1535" max="1535" width="29.7109375" style="1271" customWidth="1"/>
    <col min="1536" max="1536" width="9.28515625" style="1271" bestFit="1" customWidth="1"/>
    <col min="1537" max="1537" width="10.28515625" style="1271" customWidth="1"/>
    <col min="1538" max="1538" width="8.140625" style="1271" bestFit="1" customWidth="1"/>
    <col min="1539" max="1539" width="9.85546875" style="1271" bestFit="1" customWidth="1"/>
    <col min="1540" max="1540" width="9" style="1271" customWidth="1"/>
    <col min="1541" max="1541" width="11.7109375" style="1271" customWidth="1"/>
    <col min="1542" max="1542" width="12.42578125" style="1271" customWidth="1"/>
    <col min="1543" max="1543" width="2.85546875" style="1271" customWidth="1"/>
    <col min="1544" max="1544" width="29.85546875" style="1271" customWidth="1"/>
    <col min="1545" max="1545" width="9" style="1271" customWidth="1"/>
    <col min="1546" max="1546" width="10.85546875" style="1271" customWidth="1"/>
    <col min="1547" max="1547" width="8" style="1271" bestFit="1" customWidth="1"/>
    <col min="1548" max="1548" width="9" style="1271" bestFit="1" customWidth="1"/>
    <col min="1549" max="1549" width="11" style="1271" bestFit="1" customWidth="1"/>
    <col min="1550" max="1550" width="12.5703125" style="1271" bestFit="1" customWidth="1"/>
    <col min="1551" max="1551" width="12.140625" style="1271" customWidth="1"/>
    <col min="1552" max="1565" width="2.85546875" style="1271" customWidth="1"/>
    <col min="1566" max="1566" width="22.28515625" style="1271" customWidth="1"/>
    <col min="1567" max="1567" width="9.42578125" style="1271" customWidth="1"/>
    <col min="1568" max="1568" width="8.42578125" style="1271" customWidth="1"/>
    <col min="1569" max="1569" width="9.42578125" style="1271" customWidth="1"/>
    <col min="1570" max="1570" width="7.5703125" style="1271" customWidth="1"/>
    <col min="1571" max="1571" width="7.85546875" style="1271" bestFit="1" customWidth="1"/>
    <col min="1572" max="1572" width="10.28515625" style="1271" bestFit="1" customWidth="1"/>
    <col min="1573" max="1573" width="4.85546875" style="1271" customWidth="1"/>
    <col min="1574" max="1574" width="21.85546875" style="1271" bestFit="1" customWidth="1"/>
    <col min="1575" max="1575" width="8.85546875" style="1271" customWidth="1"/>
    <col min="1576" max="1576" width="7.5703125" style="1271" bestFit="1" customWidth="1"/>
    <col min="1577" max="1577" width="4.5703125" style="1271" customWidth="1"/>
    <col min="1578" max="1789" width="9.42578125" style="1271"/>
    <col min="1790" max="1790" width="2.42578125" style="1271" customWidth="1"/>
    <col min="1791" max="1791" width="29.7109375" style="1271" customWidth="1"/>
    <col min="1792" max="1792" width="9.28515625" style="1271" bestFit="1" customWidth="1"/>
    <col min="1793" max="1793" width="10.28515625" style="1271" customWidth="1"/>
    <col min="1794" max="1794" width="8.140625" style="1271" bestFit="1" customWidth="1"/>
    <col min="1795" max="1795" width="9.85546875" style="1271" bestFit="1" customWidth="1"/>
    <col min="1796" max="1796" width="9" style="1271" customWidth="1"/>
    <col min="1797" max="1797" width="11.7109375" style="1271" customWidth="1"/>
    <col min="1798" max="1798" width="12.42578125" style="1271" customWidth="1"/>
    <col min="1799" max="1799" width="2.85546875" style="1271" customWidth="1"/>
    <col min="1800" max="1800" width="29.85546875" style="1271" customWidth="1"/>
    <col min="1801" max="1801" width="9" style="1271" customWidth="1"/>
    <col min="1802" max="1802" width="10.85546875" style="1271" customWidth="1"/>
    <col min="1803" max="1803" width="8" style="1271" bestFit="1" customWidth="1"/>
    <col min="1804" max="1804" width="9" style="1271" bestFit="1" customWidth="1"/>
    <col min="1805" max="1805" width="11" style="1271" bestFit="1" customWidth="1"/>
    <col min="1806" max="1806" width="12.5703125" style="1271" bestFit="1" customWidth="1"/>
    <col min="1807" max="1807" width="12.140625" style="1271" customWidth="1"/>
    <col min="1808" max="1821" width="2.85546875" style="1271" customWidth="1"/>
    <col min="1822" max="1822" width="22.28515625" style="1271" customWidth="1"/>
    <col min="1823" max="1823" width="9.42578125" style="1271" customWidth="1"/>
    <col min="1824" max="1824" width="8.42578125" style="1271" customWidth="1"/>
    <col min="1825" max="1825" width="9.42578125" style="1271" customWidth="1"/>
    <col min="1826" max="1826" width="7.5703125" style="1271" customWidth="1"/>
    <col min="1827" max="1827" width="7.85546875" style="1271" bestFit="1" customWidth="1"/>
    <col min="1828" max="1828" width="10.28515625" style="1271" bestFit="1" customWidth="1"/>
    <col min="1829" max="1829" width="4.85546875" style="1271" customWidth="1"/>
    <col min="1830" max="1830" width="21.85546875" style="1271" bestFit="1" customWidth="1"/>
    <col min="1831" max="1831" width="8.85546875" style="1271" customWidth="1"/>
    <col min="1832" max="1832" width="7.5703125" style="1271" bestFit="1" customWidth="1"/>
    <col min="1833" max="1833" width="4.5703125" style="1271" customWidth="1"/>
    <col min="1834" max="2045" width="9.42578125" style="1271"/>
    <col min="2046" max="2046" width="2.42578125" style="1271" customWidth="1"/>
    <col min="2047" max="2047" width="29.7109375" style="1271" customWidth="1"/>
    <col min="2048" max="2048" width="9.28515625" style="1271" bestFit="1" customWidth="1"/>
    <col min="2049" max="2049" width="10.28515625" style="1271" customWidth="1"/>
    <col min="2050" max="2050" width="8.140625" style="1271" bestFit="1" customWidth="1"/>
    <col min="2051" max="2051" width="9.85546875" style="1271" bestFit="1" customWidth="1"/>
    <col min="2052" max="2052" width="9" style="1271" customWidth="1"/>
    <col min="2053" max="2053" width="11.7109375" style="1271" customWidth="1"/>
    <col min="2054" max="2054" width="12.42578125" style="1271" customWidth="1"/>
    <col min="2055" max="2055" width="2.85546875" style="1271" customWidth="1"/>
    <col min="2056" max="2056" width="29.85546875" style="1271" customWidth="1"/>
    <col min="2057" max="2057" width="9" style="1271" customWidth="1"/>
    <col min="2058" max="2058" width="10.85546875" style="1271" customWidth="1"/>
    <col min="2059" max="2059" width="8" style="1271" bestFit="1" customWidth="1"/>
    <col min="2060" max="2060" width="9" style="1271" bestFit="1" customWidth="1"/>
    <col min="2061" max="2061" width="11" style="1271" bestFit="1" customWidth="1"/>
    <col min="2062" max="2062" width="12.5703125" style="1271" bestFit="1" customWidth="1"/>
    <col min="2063" max="2063" width="12.140625" style="1271" customWidth="1"/>
    <col min="2064" max="2077" width="2.85546875" style="1271" customWidth="1"/>
    <col min="2078" max="2078" width="22.28515625" style="1271" customWidth="1"/>
    <col min="2079" max="2079" width="9.42578125" style="1271" customWidth="1"/>
    <col min="2080" max="2080" width="8.42578125" style="1271" customWidth="1"/>
    <col min="2081" max="2081" width="9.42578125" style="1271" customWidth="1"/>
    <col min="2082" max="2082" width="7.5703125" style="1271" customWidth="1"/>
    <col min="2083" max="2083" width="7.85546875" style="1271" bestFit="1" customWidth="1"/>
    <col min="2084" max="2084" width="10.28515625" style="1271" bestFit="1" customWidth="1"/>
    <col min="2085" max="2085" width="4.85546875" style="1271" customWidth="1"/>
    <col min="2086" max="2086" width="21.85546875" style="1271" bestFit="1" customWidth="1"/>
    <col min="2087" max="2087" width="8.85546875" style="1271" customWidth="1"/>
    <col min="2088" max="2088" width="7.5703125" style="1271" bestFit="1" customWidth="1"/>
    <col min="2089" max="2089" width="4.5703125" style="1271" customWidth="1"/>
    <col min="2090" max="2301" width="9.42578125" style="1271"/>
    <col min="2302" max="2302" width="2.42578125" style="1271" customWidth="1"/>
    <col min="2303" max="2303" width="29.7109375" style="1271" customWidth="1"/>
    <col min="2304" max="2304" width="9.28515625" style="1271" bestFit="1" customWidth="1"/>
    <col min="2305" max="2305" width="10.28515625" style="1271" customWidth="1"/>
    <col min="2306" max="2306" width="8.140625" style="1271" bestFit="1" customWidth="1"/>
    <col min="2307" max="2307" width="9.85546875" style="1271" bestFit="1" customWidth="1"/>
    <col min="2308" max="2308" width="9" style="1271" customWidth="1"/>
    <col min="2309" max="2309" width="11.7109375" style="1271" customWidth="1"/>
    <col min="2310" max="2310" width="12.42578125" style="1271" customWidth="1"/>
    <col min="2311" max="2311" width="2.85546875" style="1271" customWidth="1"/>
    <col min="2312" max="2312" width="29.85546875" style="1271" customWidth="1"/>
    <col min="2313" max="2313" width="9" style="1271" customWidth="1"/>
    <col min="2314" max="2314" width="10.85546875" style="1271" customWidth="1"/>
    <col min="2315" max="2315" width="8" style="1271" bestFit="1" customWidth="1"/>
    <col min="2316" max="2316" width="9" style="1271" bestFit="1" customWidth="1"/>
    <col min="2317" max="2317" width="11" style="1271" bestFit="1" customWidth="1"/>
    <col min="2318" max="2318" width="12.5703125" style="1271" bestFit="1" customWidth="1"/>
    <col min="2319" max="2319" width="12.140625" style="1271" customWidth="1"/>
    <col min="2320" max="2333" width="2.85546875" style="1271" customWidth="1"/>
    <col min="2334" max="2334" width="22.28515625" style="1271" customWidth="1"/>
    <col min="2335" max="2335" width="9.42578125" style="1271" customWidth="1"/>
    <col min="2336" max="2336" width="8.42578125" style="1271" customWidth="1"/>
    <col min="2337" max="2337" width="9.42578125" style="1271" customWidth="1"/>
    <col min="2338" max="2338" width="7.5703125" style="1271" customWidth="1"/>
    <col min="2339" max="2339" width="7.85546875" style="1271" bestFit="1" customWidth="1"/>
    <col min="2340" max="2340" width="10.28515625" style="1271" bestFit="1" customWidth="1"/>
    <col min="2341" max="2341" width="4.85546875" style="1271" customWidth="1"/>
    <col min="2342" max="2342" width="21.85546875" style="1271" bestFit="1" customWidth="1"/>
    <col min="2343" max="2343" width="8.85546875" style="1271" customWidth="1"/>
    <col min="2344" max="2344" width="7.5703125" style="1271" bestFit="1" customWidth="1"/>
    <col min="2345" max="2345" width="4.5703125" style="1271" customWidth="1"/>
    <col min="2346" max="2557" width="9.42578125" style="1271"/>
    <col min="2558" max="2558" width="2.42578125" style="1271" customWidth="1"/>
    <col min="2559" max="2559" width="29.7109375" style="1271" customWidth="1"/>
    <col min="2560" max="2560" width="9.28515625" style="1271" bestFit="1" customWidth="1"/>
    <col min="2561" max="2561" width="10.28515625" style="1271" customWidth="1"/>
    <col min="2562" max="2562" width="8.140625" style="1271" bestFit="1" customWidth="1"/>
    <col min="2563" max="2563" width="9.85546875" style="1271" bestFit="1" customWidth="1"/>
    <col min="2564" max="2564" width="9" style="1271" customWidth="1"/>
    <col min="2565" max="2565" width="11.7109375" style="1271" customWidth="1"/>
    <col min="2566" max="2566" width="12.42578125" style="1271" customWidth="1"/>
    <col min="2567" max="2567" width="2.85546875" style="1271" customWidth="1"/>
    <col min="2568" max="2568" width="29.85546875" style="1271" customWidth="1"/>
    <col min="2569" max="2569" width="9" style="1271" customWidth="1"/>
    <col min="2570" max="2570" width="10.85546875" style="1271" customWidth="1"/>
    <col min="2571" max="2571" width="8" style="1271" bestFit="1" customWidth="1"/>
    <col min="2572" max="2572" width="9" style="1271" bestFit="1" customWidth="1"/>
    <col min="2573" max="2573" width="11" style="1271" bestFit="1" customWidth="1"/>
    <col min="2574" max="2574" width="12.5703125" style="1271" bestFit="1" customWidth="1"/>
    <col min="2575" max="2575" width="12.140625" style="1271" customWidth="1"/>
    <col min="2576" max="2589" width="2.85546875" style="1271" customWidth="1"/>
    <col min="2590" max="2590" width="22.28515625" style="1271" customWidth="1"/>
    <col min="2591" max="2591" width="9.42578125" style="1271" customWidth="1"/>
    <col min="2592" max="2592" width="8.42578125" style="1271" customWidth="1"/>
    <col min="2593" max="2593" width="9.42578125" style="1271" customWidth="1"/>
    <col min="2594" max="2594" width="7.5703125" style="1271" customWidth="1"/>
    <col min="2595" max="2595" width="7.85546875" style="1271" bestFit="1" customWidth="1"/>
    <col min="2596" max="2596" width="10.28515625" style="1271" bestFit="1" customWidth="1"/>
    <col min="2597" max="2597" width="4.85546875" style="1271" customWidth="1"/>
    <col min="2598" max="2598" width="21.85546875" style="1271" bestFit="1" customWidth="1"/>
    <col min="2599" max="2599" width="8.85546875" style="1271" customWidth="1"/>
    <col min="2600" max="2600" width="7.5703125" style="1271" bestFit="1" customWidth="1"/>
    <col min="2601" max="2601" width="4.5703125" style="1271" customWidth="1"/>
    <col min="2602" max="2813" width="9.42578125" style="1271"/>
    <col min="2814" max="2814" width="2.42578125" style="1271" customWidth="1"/>
    <col min="2815" max="2815" width="29.7109375" style="1271" customWidth="1"/>
    <col min="2816" max="2816" width="9.28515625" style="1271" bestFit="1" customWidth="1"/>
    <col min="2817" max="2817" width="10.28515625" style="1271" customWidth="1"/>
    <col min="2818" max="2818" width="8.140625" style="1271" bestFit="1" customWidth="1"/>
    <col min="2819" max="2819" width="9.85546875" style="1271" bestFit="1" customWidth="1"/>
    <col min="2820" max="2820" width="9" style="1271" customWidth="1"/>
    <col min="2821" max="2821" width="11.7109375" style="1271" customWidth="1"/>
    <col min="2822" max="2822" width="12.42578125" style="1271" customWidth="1"/>
    <col min="2823" max="2823" width="2.85546875" style="1271" customWidth="1"/>
    <col min="2824" max="2824" width="29.85546875" style="1271" customWidth="1"/>
    <col min="2825" max="2825" width="9" style="1271" customWidth="1"/>
    <col min="2826" max="2826" width="10.85546875" style="1271" customWidth="1"/>
    <col min="2827" max="2827" width="8" style="1271" bestFit="1" customWidth="1"/>
    <col min="2828" max="2828" width="9" style="1271" bestFit="1" customWidth="1"/>
    <col min="2829" max="2829" width="11" style="1271" bestFit="1" customWidth="1"/>
    <col min="2830" max="2830" width="12.5703125" style="1271" bestFit="1" customWidth="1"/>
    <col min="2831" max="2831" width="12.140625" style="1271" customWidth="1"/>
    <col min="2832" max="2845" width="2.85546875" style="1271" customWidth="1"/>
    <col min="2846" max="2846" width="22.28515625" style="1271" customWidth="1"/>
    <col min="2847" max="2847" width="9.42578125" style="1271" customWidth="1"/>
    <col min="2848" max="2848" width="8.42578125" style="1271" customWidth="1"/>
    <col min="2849" max="2849" width="9.42578125" style="1271" customWidth="1"/>
    <col min="2850" max="2850" width="7.5703125" style="1271" customWidth="1"/>
    <col min="2851" max="2851" width="7.85546875" style="1271" bestFit="1" customWidth="1"/>
    <col min="2852" max="2852" width="10.28515625" style="1271" bestFit="1" customWidth="1"/>
    <col min="2853" max="2853" width="4.85546875" style="1271" customWidth="1"/>
    <col min="2854" max="2854" width="21.85546875" style="1271" bestFit="1" customWidth="1"/>
    <col min="2855" max="2855" width="8.85546875" style="1271" customWidth="1"/>
    <col min="2856" max="2856" width="7.5703125" style="1271" bestFit="1" customWidth="1"/>
    <col min="2857" max="2857" width="4.5703125" style="1271" customWidth="1"/>
    <col min="2858" max="3069" width="9.42578125" style="1271"/>
    <col min="3070" max="3070" width="2.42578125" style="1271" customWidth="1"/>
    <col min="3071" max="3071" width="29.7109375" style="1271" customWidth="1"/>
    <col min="3072" max="3072" width="9.28515625" style="1271" bestFit="1" customWidth="1"/>
    <col min="3073" max="3073" width="10.28515625" style="1271" customWidth="1"/>
    <col min="3074" max="3074" width="8.140625" style="1271" bestFit="1" customWidth="1"/>
    <col min="3075" max="3075" width="9.85546875" style="1271" bestFit="1" customWidth="1"/>
    <col min="3076" max="3076" width="9" style="1271" customWidth="1"/>
    <col min="3077" max="3077" width="11.7109375" style="1271" customWidth="1"/>
    <col min="3078" max="3078" width="12.42578125" style="1271" customWidth="1"/>
    <col min="3079" max="3079" width="2.85546875" style="1271" customWidth="1"/>
    <col min="3080" max="3080" width="29.85546875" style="1271" customWidth="1"/>
    <col min="3081" max="3081" width="9" style="1271" customWidth="1"/>
    <col min="3082" max="3082" width="10.85546875" style="1271" customWidth="1"/>
    <col min="3083" max="3083" width="8" style="1271" bestFit="1" customWidth="1"/>
    <col min="3084" max="3084" width="9" style="1271" bestFit="1" customWidth="1"/>
    <col min="3085" max="3085" width="11" style="1271" bestFit="1" customWidth="1"/>
    <col min="3086" max="3086" width="12.5703125" style="1271" bestFit="1" customWidth="1"/>
    <col min="3087" max="3087" width="12.140625" style="1271" customWidth="1"/>
    <col min="3088" max="3101" width="2.85546875" style="1271" customWidth="1"/>
    <col min="3102" max="3102" width="22.28515625" style="1271" customWidth="1"/>
    <col min="3103" max="3103" width="9.42578125" style="1271" customWidth="1"/>
    <col min="3104" max="3104" width="8.42578125" style="1271" customWidth="1"/>
    <col min="3105" max="3105" width="9.42578125" style="1271" customWidth="1"/>
    <col min="3106" max="3106" width="7.5703125" style="1271" customWidth="1"/>
    <col min="3107" max="3107" width="7.85546875" style="1271" bestFit="1" customWidth="1"/>
    <col min="3108" max="3108" width="10.28515625" style="1271" bestFit="1" customWidth="1"/>
    <col min="3109" max="3109" width="4.85546875" style="1271" customWidth="1"/>
    <col min="3110" max="3110" width="21.85546875" style="1271" bestFit="1" customWidth="1"/>
    <col min="3111" max="3111" width="8.85546875" style="1271" customWidth="1"/>
    <col min="3112" max="3112" width="7.5703125" style="1271" bestFit="1" customWidth="1"/>
    <col min="3113" max="3113" width="4.5703125" style="1271" customWidth="1"/>
    <col min="3114" max="3325" width="9.42578125" style="1271"/>
    <col min="3326" max="3326" width="2.42578125" style="1271" customWidth="1"/>
    <col min="3327" max="3327" width="29.7109375" style="1271" customWidth="1"/>
    <col min="3328" max="3328" width="9.28515625" style="1271" bestFit="1" customWidth="1"/>
    <col min="3329" max="3329" width="10.28515625" style="1271" customWidth="1"/>
    <col min="3330" max="3330" width="8.140625" style="1271" bestFit="1" customWidth="1"/>
    <col min="3331" max="3331" width="9.85546875" style="1271" bestFit="1" customWidth="1"/>
    <col min="3332" max="3332" width="9" style="1271" customWidth="1"/>
    <col min="3333" max="3333" width="11.7109375" style="1271" customWidth="1"/>
    <col min="3334" max="3334" width="12.42578125" style="1271" customWidth="1"/>
    <col min="3335" max="3335" width="2.85546875" style="1271" customWidth="1"/>
    <col min="3336" max="3336" width="29.85546875" style="1271" customWidth="1"/>
    <col min="3337" max="3337" width="9" style="1271" customWidth="1"/>
    <col min="3338" max="3338" width="10.85546875" style="1271" customWidth="1"/>
    <col min="3339" max="3339" width="8" style="1271" bestFit="1" customWidth="1"/>
    <col min="3340" max="3340" width="9" style="1271" bestFit="1" customWidth="1"/>
    <col min="3341" max="3341" width="11" style="1271" bestFit="1" customWidth="1"/>
    <col min="3342" max="3342" width="12.5703125" style="1271" bestFit="1" customWidth="1"/>
    <col min="3343" max="3343" width="12.140625" style="1271" customWidth="1"/>
    <col min="3344" max="3357" width="2.85546875" style="1271" customWidth="1"/>
    <col min="3358" max="3358" width="22.28515625" style="1271" customWidth="1"/>
    <col min="3359" max="3359" width="9.42578125" style="1271" customWidth="1"/>
    <col min="3360" max="3360" width="8.42578125" style="1271" customWidth="1"/>
    <col min="3361" max="3361" width="9.42578125" style="1271" customWidth="1"/>
    <col min="3362" max="3362" width="7.5703125" style="1271" customWidth="1"/>
    <col min="3363" max="3363" width="7.85546875" style="1271" bestFit="1" customWidth="1"/>
    <col min="3364" max="3364" width="10.28515625" style="1271" bestFit="1" customWidth="1"/>
    <col min="3365" max="3365" width="4.85546875" style="1271" customWidth="1"/>
    <col min="3366" max="3366" width="21.85546875" style="1271" bestFit="1" customWidth="1"/>
    <col min="3367" max="3367" width="8.85546875" style="1271" customWidth="1"/>
    <col min="3368" max="3368" width="7.5703125" style="1271" bestFit="1" customWidth="1"/>
    <col min="3369" max="3369" width="4.5703125" style="1271" customWidth="1"/>
    <col min="3370" max="3581" width="9.42578125" style="1271"/>
    <col min="3582" max="3582" width="2.42578125" style="1271" customWidth="1"/>
    <col min="3583" max="3583" width="29.7109375" style="1271" customWidth="1"/>
    <col min="3584" max="3584" width="9.28515625" style="1271" bestFit="1" customWidth="1"/>
    <col min="3585" max="3585" width="10.28515625" style="1271" customWidth="1"/>
    <col min="3586" max="3586" width="8.140625" style="1271" bestFit="1" customWidth="1"/>
    <col min="3587" max="3587" width="9.85546875" style="1271" bestFit="1" customWidth="1"/>
    <col min="3588" max="3588" width="9" style="1271" customWidth="1"/>
    <col min="3589" max="3589" width="11.7109375" style="1271" customWidth="1"/>
    <col min="3590" max="3590" width="12.42578125" style="1271" customWidth="1"/>
    <col min="3591" max="3591" width="2.85546875" style="1271" customWidth="1"/>
    <col min="3592" max="3592" width="29.85546875" style="1271" customWidth="1"/>
    <col min="3593" max="3593" width="9" style="1271" customWidth="1"/>
    <col min="3594" max="3594" width="10.85546875" style="1271" customWidth="1"/>
    <col min="3595" max="3595" width="8" style="1271" bestFit="1" customWidth="1"/>
    <col min="3596" max="3596" width="9" style="1271" bestFit="1" customWidth="1"/>
    <col min="3597" max="3597" width="11" style="1271" bestFit="1" customWidth="1"/>
    <col min="3598" max="3598" width="12.5703125" style="1271" bestFit="1" customWidth="1"/>
    <col min="3599" max="3599" width="12.140625" style="1271" customWidth="1"/>
    <col min="3600" max="3613" width="2.85546875" style="1271" customWidth="1"/>
    <col min="3614" max="3614" width="22.28515625" style="1271" customWidth="1"/>
    <col min="3615" max="3615" width="9.42578125" style="1271" customWidth="1"/>
    <col min="3616" max="3616" width="8.42578125" style="1271" customWidth="1"/>
    <col min="3617" max="3617" width="9.42578125" style="1271" customWidth="1"/>
    <col min="3618" max="3618" width="7.5703125" style="1271" customWidth="1"/>
    <col min="3619" max="3619" width="7.85546875" style="1271" bestFit="1" customWidth="1"/>
    <col min="3620" max="3620" width="10.28515625" style="1271" bestFit="1" customWidth="1"/>
    <col min="3621" max="3621" width="4.85546875" style="1271" customWidth="1"/>
    <col min="3622" max="3622" width="21.85546875" style="1271" bestFit="1" customWidth="1"/>
    <col min="3623" max="3623" width="8.85546875" style="1271" customWidth="1"/>
    <col min="3624" max="3624" width="7.5703125" style="1271" bestFit="1" customWidth="1"/>
    <col min="3625" max="3625" width="4.5703125" style="1271" customWidth="1"/>
    <col min="3626" max="3837" width="9.42578125" style="1271"/>
    <col min="3838" max="3838" width="2.42578125" style="1271" customWidth="1"/>
    <col min="3839" max="3839" width="29.7109375" style="1271" customWidth="1"/>
    <col min="3840" max="3840" width="9.28515625" style="1271" bestFit="1" customWidth="1"/>
    <col min="3841" max="3841" width="10.28515625" style="1271" customWidth="1"/>
    <col min="3842" max="3842" width="8.140625" style="1271" bestFit="1" customWidth="1"/>
    <col min="3843" max="3843" width="9.85546875" style="1271" bestFit="1" customWidth="1"/>
    <col min="3844" max="3844" width="9" style="1271" customWidth="1"/>
    <col min="3845" max="3845" width="11.7109375" style="1271" customWidth="1"/>
    <col min="3846" max="3846" width="12.42578125" style="1271" customWidth="1"/>
    <col min="3847" max="3847" width="2.85546875" style="1271" customWidth="1"/>
    <col min="3848" max="3848" width="29.85546875" style="1271" customWidth="1"/>
    <col min="3849" max="3849" width="9" style="1271" customWidth="1"/>
    <col min="3850" max="3850" width="10.85546875" style="1271" customWidth="1"/>
    <col min="3851" max="3851" width="8" style="1271" bestFit="1" customWidth="1"/>
    <col min="3852" max="3852" width="9" style="1271" bestFit="1" customWidth="1"/>
    <col min="3853" max="3853" width="11" style="1271" bestFit="1" customWidth="1"/>
    <col min="3854" max="3854" width="12.5703125" style="1271" bestFit="1" customWidth="1"/>
    <col min="3855" max="3855" width="12.140625" style="1271" customWidth="1"/>
    <col min="3856" max="3869" width="2.85546875" style="1271" customWidth="1"/>
    <col min="3870" max="3870" width="22.28515625" style="1271" customWidth="1"/>
    <col min="3871" max="3871" width="9.42578125" style="1271" customWidth="1"/>
    <col min="3872" max="3872" width="8.42578125" style="1271" customWidth="1"/>
    <col min="3873" max="3873" width="9.42578125" style="1271" customWidth="1"/>
    <col min="3874" max="3874" width="7.5703125" style="1271" customWidth="1"/>
    <col min="3875" max="3875" width="7.85546875" style="1271" bestFit="1" customWidth="1"/>
    <col min="3876" max="3876" width="10.28515625" style="1271" bestFit="1" customWidth="1"/>
    <col min="3877" max="3877" width="4.85546875" style="1271" customWidth="1"/>
    <col min="3878" max="3878" width="21.85546875" style="1271" bestFit="1" customWidth="1"/>
    <col min="3879" max="3879" width="8.85546875" style="1271" customWidth="1"/>
    <col min="3880" max="3880" width="7.5703125" style="1271" bestFit="1" customWidth="1"/>
    <col min="3881" max="3881" width="4.5703125" style="1271" customWidth="1"/>
    <col min="3882" max="4093" width="9.42578125" style="1271"/>
    <col min="4094" max="4094" width="2.42578125" style="1271" customWidth="1"/>
    <col min="4095" max="4095" width="29.7109375" style="1271" customWidth="1"/>
    <col min="4096" max="4096" width="9.28515625" style="1271" bestFit="1" customWidth="1"/>
    <col min="4097" max="4097" width="10.28515625" style="1271" customWidth="1"/>
    <col min="4098" max="4098" width="8.140625" style="1271" bestFit="1" customWidth="1"/>
    <col min="4099" max="4099" width="9.85546875" style="1271" bestFit="1" customWidth="1"/>
    <col min="4100" max="4100" width="9" style="1271" customWidth="1"/>
    <col min="4101" max="4101" width="11.7109375" style="1271" customWidth="1"/>
    <col min="4102" max="4102" width="12.42578125" style="1271" customWidth="1"/>
    <col min="4103" max="4103" width="2.85546875" style="1271" customWidth="1"/>
    <col min="4104" max="4104" width="29.85546875" style="1271" customWidth="1"/>
    <col min="4105" max="4105" width="9" style="1271" customWidth="1"/>
    <col min="4106" max="4106" width="10.85546875" style="1271" customWidth="1"/>
    <col min="4107" max="4107" width="8" style="1271" bestFit="1" customWidth="1"/>
    <col min="4108" max="4108" width="9" style="1271" bestFit="1" customWidth="1"/>
    <col min="4109" max="4109" width="11" style="1271" bestFit="1" customWidth="1"/>
    <col min="4110" max="4110" width="12.5703125" style="1271" bestFit="1" customWidth="1"/>
    <col min="4111" max="4111" width="12.140625" style="1271" customWidth="1"/>
    <col min="4112" max="4125" width="2.85546875" style="1271" customWidth="1"/>
    <col min="4126" max="4126" width="22.28515625" style="1271" customWidth="1"/>
    <col min="4127" max="4127" width="9.42578125" style="1271" customWidth="1"/>
    <col min="4128" max="4128" width="8.42578125" style="1271" customWidth="1"/>
    <col min="4129" max="4129" width="9.42578125" style="1271" customWidth="1"/>
    <col min="4130" max="4130" width="7.5703125" style="1271" customWidth="1"/>
    <col min="4131" max="4131" width="7.85546875" style="1271" bestFit="1" customWidth="1"/>
    <col min="4132" max="4132" width="10.28515625" style="1271" bestFit="1" customWidth="1"/>
    <col min="4133" max="4133" width="4.85546875" style="1271" customWidth="1"/>
    <col min="4134" max="4134" width="21.85546875" style="1271" bestFit="1" customWidth="1"/>
    <col min="4135" max="4135" width="8.85546875" style="1271" customWidth="1"/>
    <col min="4136" max="4136" width="7.5703125" style="1271" bestFit="1" customWidth="1"/>
    <col min="4137" max="4137" width="4.5703125" style="1271" customWidth="1"/>
    <col min="4138" max="4349" width="9.42578125" style="1271"/>
    <col min="4350" max="4350" width="2.42578125" style="1271" customWidth="1"/>
    <col min="4351" max="4351" width="29.7109375" style="1271" customWidth="1"/>
    <col min="4352" max="4352" width="9.28515625" style="1271" bestFit="1" customWidth="1"/>
    <col min="4353" max="4353" width="10.28515625" style="1271" customWidth="1"/>
    <col min="4354" max="4354" width="8.140625" style="1271" bestFit="1" customWidth="1"/>
    <col min="4355" max="4355" width="9.85546875" style="1271" bestFit="1" customWidth="1"/>
    <col min="4356" max="4356" width="9" style="1271" customWidth="1"/>
    <col min="4357" max="4357" width="11.7109375" style="1271" customWidth="1"/>
    <col min="4358" max="4358" width="12.42578125" style="1271" customWidth="1"/>
    <col min="4359" max="4359" width="2.85546875" style="1271" customWidth="1"/>
    <col min="4360" max="4360" width="29.85546875" style="1271" customWidth="1"/>
    <col min="4361" max="4361" width="9" style="1271" customWidth="1"/>
    <col min="4362" max="4362" width="10.85546875" style="1271" customWidth="1"/>
    <col min="4363" max="4363" width="8" style="1271" bestFit="1" customWidth="1"/>
    <col min="4364" max="4364" width="9" style="1271" bestFit="1" customWidth="1"/>
    <col min="4365" max="4365" width="11" style="1271" bestFit="1" customWidth="1"/>
    <col min="4366" max="4366" width="12.5703125" style="1271" bestFit="1" customWidth="1"/>
    <col min="4367" max="4367" width="12.140625" style="1271" customWidth="1"/>
    <col min="4368" max="4381" width="2.85546875" style="1271" customWidth="1"/>
    <col min="4382" max="4382" width="22.28515625" style="1271" customWidth="1"/>
    <col min="4383" max="4383" width="9.42578125" style="1271" customWidth="1"/>
    <col min="4384" max="4384" width="8.42578125" style="1271" customWidth="1"/>
    <col min="4385" max="4385" width="9.42578125" style="1271" customWidth="1"/>
    <col min="4386" max="4386" width="7.5703125" style="1271" customWidth="1"/>
    <col min="4387" max="4387" width="7.85546875" style="1271" bestFit="1" customWidth="1"/>
    <col min="4388" max="4388" width="10.28515625" style="1271" bestFit="1" customWidth="1"/>
    <col min="4389" max="4389" width="4.85546875" style="1271" customWidth="1"/>
    <col min="4390" max="4390" width="21.85546875" style="1271" bestFit="1" customWidth="1"/>
    <col min="4391" max="4391" width="8.85546875" style="1271" customWidth="1"/>
    <col min="4392" max="4392" width="7.5703125" style="1271" bestFit="1" customWidth="1"/>
    <col min="4393" max="4393" width="4.5703125" style="1271" customWidth="1"/>
    <col min="4394" max="4605" width="9.42578125" style="1271"/>
    <col min="4606" max="4606" width="2.42578125" style="1271" customWidth="1"/>
    <col min="4607" max="4607" width="29.7109375" style="1271" customWidth="1"/>
    <col min="4608" max="4608" width="9.28515625" style="1271" bestFit="1" customWidth="1"/>
    <col min="4609" max="4609" width="10.28515625" style="1271" customWidth="1"/>
    <col min="4610" max="4610" width="8.140625" style="1271" bestFit="1" customWidth="1"/>
    <col min="4611" max="4611" width="9.85546875" style="1271" bestFit="1" customWidth="1"/>
    <col min="4612" max="4612" width="9" style="1271" customWidth="1"/>
    <col min="4613" max="4613" width="11.7109375" style="1271" customWidth="1"/>
    <col min="4614" max="4614" width="12.42578125" style="1271" customWidth="1"/>
    <col min="4615" max="4615" width="2.85546875" style="1271" customWidth="1"/>
    <col min="4616" max="4616" width="29.85546875" style="1271" customWidth="1"/>
    <col min="4617" max="4617" width="9" style="1271" customWidth="1"/>
    <col min="4618" max="4618" width="10.85546875" style="1271" customWidth="1"/>
    <col min="4619" max="4619" width="8" style="1271" bestFit="1" customWidth="1"/>
    <col min="4620" max="4620" width="9" style="1271" bestFit="1" customWidth="1"/>
    <col min="4621" max="4621" width="11" style="1271" bestFit="1" customWidth="1"/>
    <col min="4622" max="4622" width="12.5703125" style="1271" bestFit="1" customWidth="1"/>
    <col min="4623" max="4623" width="12.140625" style="1271" customWidth="1"/>
    <col min="4624" max="4637" width="2.85546875" style="1271" customWidth="1"/>
    <col min="4638" max="4638" width="22.28515625" style="1271" customWidth="1"/>
    <col min="4639" max="4639" width="9.42578125" style="1271" customWidth="1"/>
    <col min="4640" max="4640" width="8.42578125" style="1271" customWidth="1"/>
    <col min="4641" max="4641" width="9.42578125" style="1271" customWidth="1"/>
    <col min="4642" max="4642" width="7.5703125" style="1271" customWidth="1"/>
    <col min="4643" max="4643" width="7.85546875" style="1271" bestFit="1" customWidth="1"/>
    <col min="4644" max="4644" width="10.28515625" style="1271" bestFit="1" customWidth="1"/>
    <col min="4645" max="4645" width="4.85546875" style="1271" customWidth="1"/>
    <col min="4646" max="4646" width="21.85546875" style="1271" bestFit="1" customWidth="1"/>
    <col min="4647" max="4647" width="8.85546875" style="1271" customWidth="1"/>
    <col min="4648" max="4648" width="7.5703125" style="1271" bestFit="1" customWidth="1"/>
    <col min="4649" max="4649" width="4.5703125" style="1271" customWidth="1"/>
    <col min="4650" max="4861" width="9.42578125" style="1271"/>
    <col min="4862" max="4862" width="2.42578125" style="1271" customWidth="1"/>
    <col min="4863" max="4863" width="29.7109375" style="1271" customWidth="1"/>
    <col min="4864" max="4864" width="9.28515625" style="1271" bestFit="1" customWidth="1"/>
    <col min="4865" max="4865" width="10.28515625" style="1271" customWidth="1"/>
    <col min="4866" max="4866" width="8.140625" style="1271" bestFit="1" customWidth="1"/>
    <col min="4867" max="4867" width="9.85546875" style="1271" bestFit="1" customWidth="1"/>
    <col min="4868" max="4868" width="9" style="1271" customWidth="1"/>
    <col min="4869" max="4869" width="11.7109375" style="1271" customWidth="1"/>
    <col min="4870" max="4870" width="12.42578125" style="1271" customWidth="1"/>
    <col min="4871" max="4871" width="2.85546875" style="1271" customWidth="1"/>
    <col min="4872" max="4872" width="29.85546875" style="1271" customWidth="1"/>
    <col min="4873" max="4873" width="9" style="1271" customWidth="1"/>
    <col min="4874" max="4874" width="10.85546875" style="1271" customWidth="1"/>
    <col min="4875" max="4875" width="8" style="1271" bestFit="1" customWidth="1"/>
    <col min="4876" max="4876" width="9" style="1271" bestFit="1" customWidth="1"/>
    <col min="4877" max="4877" width="11" style="1271" bestFit="1" customWidth="1"/>
    <col min="4878" max="4878" width="12.5703125" style="1271" bestFit="1" customWidth="1"/>
    <col min="4879" max="4879" width="12.140625" style="1271" customWidth="1"/>
    <col min="4880" max="4893" width="2.85546875" style="1271" customWidth="1"/>
    <col min="4894" max="4894" width="22.28515625" style="1271" customWidth="1"/>
    <col min="4895" max="4895" width="9.42578125" style="1271" customWidth="1"/>
    <col min="4896" max="4896" width="8.42578125" style="1271" customWidth="1"/>
    <col min="4897" max="4897" width="9.42578125" style="1271" customWidth="1"/>
    <col min="4898" max="4898" width="7.5703125" style="1271" customWidth="1"/>
    <col min="4899" max="4899" width="7.85546875" style="1271" bestFit="1" customWidth="1"/>
    <col min="4900" max="4900" width="10.28515625" style="1271" bestFit="1" customWidth="1"/>
    <col min="4901" max="4901" width="4.85546875" style="1271" customWidth="1"/>
    <col min="4902" max="4902" width="21.85546875" style="1271" bestFit="1" customWidth="1"/>
    <col min="4903" max="4903" width="8.85546875" style="1271" customWidth="1"/>
    <col min="4904" max="4904" width="7.5703125" style="1271" bestFit="1" customWidth="1"/>
    <col min="4905" max="4905" width="4.5703125" style="1271" customWidth="1"/>
    <col min="4906" max="5117" width="9.42578125" style="1271"/>
    <col min="5118" max="5118" width="2.42578125" style="1271" customWidth="1"/>
    <col min="5119" max="5119" width="29.7109375" style="1271" customWidth="1"/>
    <col min="5120" max="5120" width="9.28515625" style="1271" bestFit="1" customWidth="1"/>
    <col min="5121" max="5121" width="10.28515625" style="1271" customWidth="1"/>
    <col min="5122" max="5122" width="8.140625" style="1271" bestFit="1" customWidth="1"/>
    <col min="5123" max="5123" width="9.85546875" style="1271" bestFit="1" customWidth="1"/>
    <col min="5124" max="5124" width="9" style="1271" customWidth="1"/>
    <col min="5125" max="5125" width="11.7109375" style="1271" customWidth="1"/>
    <col min="5126" max="5126" width="12.42578125" style="1271" customWidth="1"/>
    <col min="5127" max="5127" width="2.85546875" style="1271" customWidth="1"/>
    <col min="5128" max="5128" width="29.85546875" style="1271" customWidth="1"/>
    <col min="5129" max="5129" width="9" style="1271" customWidth="1"/>
    <col min="5130" max="5130" width="10.85546875" style="1271" customWidth="1"/>
    <col min="5131" max="5131" width="8" style="1271" bestFit="1" customWidth="1"/>
    <col min="5132" max="5132" width="9" style="1271" bestFit="1" customWidth="1"/>
    <col min="5133" max="5133" width="11" style="1271" bestFit="1" customWidth="1"/>
    <col min="5134" max="5134" width="12.5703125" style="1271" bestFit="1" customWidth="1"/>
    <col min="5135" max="5135" width="12.140625" style="1271" customWidth="1"/>
    <col min="5136" max="5149" width="2.85546875" style="1271" customWidth="1"/>
    <col min="5150" max="5150" width="22.28515625" style="1271" customWidth="1"/>
    <col min="5151" max="5151" width="9.42578125" style="1271" customWidth="1"/>
    <col min="5152" max="5152" width="8.42578125" style="1271" customWidth="1"/>
    <col min="5153" max="5153" width="9.42578125" style="1271" customWidth="1"/>
    <col min="5154" max="5154" width="7.5703125" style="1271" customWidth="1"/>
    <col min="5155" max="5155" width="7.85546875" style="1271" bestFit="1" customWidth="1"/>
    <col min="5156" max="5156" width="10.28515625" style="1271" bestFit="1" customWidth="1"/>
    <col min="5157" max="5157" width="4.85546875" style="1271" customWidth="1"/>
    <col min="5158" max="5158" width="21.85546875" style="1271" bestFit="1" customWidth="1"/>
    <col min="5159" max="5159" width="8.85546875" style="1271" customWidth="1"/>
    <col min="5160" max="5160" width="7.5703125" style="1271" bestFit="1" customWidth="1"/>
    <col min="5161" max="5161" width="4.5703125" style="1271" customWidth="1"/>
    <col min="5162" max="5373" width="9.42578125" style="1271"/>
    <col min="5374" max="5374" width="2.42578125" style="1271" customWidth="1"/>
    <col min="5375" max="5375" width="29.7109375" style="1271" customWidth="1"/>
    <col min="5376" max="5376" width="9.28515625" style="1271" bestFit="1" customWidth="1"/>
    <col min="5377" max="5377" width="10.28515625" style="1271" customWidth="1"/>
    <col min="5378" max="5378" width="8.140625" style="1271" bestFit="1" customWidth="1"/>
    <col min="5379" max="5379" width="9.85546875" style="1271" bestFit="1" customWidth="1"/>
    <col min="5380" max="5380" width="9" style="1271" customWidth="1"/>
    <col min="5381" max="5381" width="11.7109375" style="1271" customWidth="1"/>
    <col min="5382" max="5382" width="12.42578125" style="1271" customWidth="1"/>
    <col min="5383" max="5383" width="2.85546875" style="1271" customWidth="1"/>
    <col min="5384" max="5384" width="29.85546875" style="1271" customWidth="1"/>
    <col min="5385" max="5385" width="9" style="1271" customWidth="1"/>
    <col min="5386" max="5386" width="10.85546875" style="1271" customWidth="1"/>
    <col min="5387" max="5387" width="8" style="1271" bestFit="1" customWidth="1"/>
    <col min="5388" max="5388" width="9" style="1271" bestFit="1" customWidth="1"/>
    <col min="5389" max="5389" width="11" style="1271" bestFit="1" customWidth="1"/>
    <col min="5390" max="5390" width="12.5703125" style="1271" bestFit="1" customWidth="1"/>
    <col min="5391" max="5391" width="12.140625" style="1271" customWidth="1"/>
    <col min="5392" max="5405" width="2.85546875" style="1271" customWidth="1"/>
    <col min="5406" max="5406" width="22.28515625" style="1271" customWidth="1"/>
    <col min="5407" max="5407" width="9.42578125" style="1271" customWidth="1"/>
    <col min="5408" max="5408" width="8.42578125" style="1271" customWidth="1"/>
    <col min="5409" max="5409" width="9.42578125" style="1271" customWidth="1"/>
    <col min="5410" max="5410" width="7.5703125" style="1271" customWidth="1"/>
    <col min="5411" max="5411" width="7.85546875" style="1271" bestFit="1" customWidth="1"/>
    <col min="5412" max="5412" width="10.28515625" style="1271" bestFit="1" customWidth="1"/>
    <col min="5413" max="5413" width="4.85546875" style="1271" customWidth="1"/>
    <col min="5414" max="5414" width="21.85546875" style="1271" bestFit="1" customWidth="1"/>
    <col min="5415" max="5415" width="8.85546875" style="1271" customWidth="1"/>
    <col min="5416" max="5416" width="7.5703125" style="1271" bestFit="1" customWidth="1"/>
    <col min="5417" max="5417" width="4.5703125" style="1271" customWidth="1"/>
    <col min="5418" max="5629" width="9.42578125" style="1271"/>
    <col min="5630" max="5630" width="2.42578125" style="1271" customWidth="1"/>
    <col min="5631" max="5631" width="29.7109375" style="1271" customWidth="1"/>
    <col min="5632" max="5632" width="9.28515625" style="1271" bestFit="1" customWidth="1"/>
    <col min="5633" max="5633" width="10.28515625" style="1271" customWidth="1"/>
    <col min="5634" max="5634" width="8.140625" style="1271" bestFit="1" customWidth="1"/>
    <col min="5635" max="5635" width="9.85546875" style="1271" bestFit="1" customWidth="1"/>
    <col min="5636" max="5636" width="9" style="1271" customWidth="1"/>
    <col min="5637" max="5637" width="11.7109375" style="1271" customWidth="1"/>
    <col min="5638" max="5638" width="12.42578125" style="1271" customWidth="1"/>
    <col min="5639" max="5639" width="2.85546875" style="1271" customWidth="1"/>
    <col min="5640" max="5640" width="29.85546875" style="1271" customWidth="1"/>
    <col min="5641" max="5641" width="9" style="1271" customWidth="1"/>
    <col min="5642" max="5642" width="10.85546875" style="1271" customWidth="1"/>
    <col min="5643" max="5643" width="8" style="1271" bestFit="1" customWidth="1"/>
    <col min="5644" max="5644" width="9" style="1271" bestFit="1" customWidth="1"/>
    <col min="5645" max="5645" width="11" style="1271" bestFit="1" customWidth="1"/>
    <col min="5646" max="5646" width="12.5703125" style="1271" bestFit="1" customWidth="1"/>
    <col min="5647" max="5647" width="12.140625" style="1271" customWidth="1"/>
    <col min="5648" max="5661" width="2.85546875" style="1271" customWidth="1"/>
    <col min="5662" max="5662" width="22.28515625" style="1271" customWidth="1"/>
    <col min="5663" max="5663" width="9.42578125" style="1271" customWidth="1"/>
    <col min="5664" max="5664" width="8.42578125" style="1271" customWidth="1"/>
    <col min="5665" max="5665" width="9.42578125" style="1271" customWidth="1"/>
    <col min="5666" max="5666" width="7.5703125" style="1271" customWidth="1"/>
    <col min="5667" max="5667" width="7.85546875" style="1271" bestFit="1" customWidth="1"/>
    <col min="5668" max="5668" width="10.28515625" style="1271" bestFit="1" customWidth="1"/>
    <col min="5669" max="5669" width="4.85546875" style="1271" customWidth="1"/>
    <col min="5670" max="5670" width="21.85546875" style="1271" bestFit="1" customWidth="1"/>
    <col min="5671" max="5671" width="8.85546875" style="1271" customWidth="1"/>
    <col min="5672" max="5672" width="7.5703125" style="1271" bestFit="1" customWidth="1"/>
    <col min="5673" max="5673" width="4.5703125" style="1271" customWidth="1"/>
    <col min="5674" max="5885" width="9.42578125" style="1271"/>
    <col min="5886" max="5886" width="2.42578125" style="1271" customWidth="1"/>
    <col min="5887" max="5887" width="29.7109375" style="1271" customWidth="1"/>
    <col min="5888" max="5888" width="9.28515625" style="1271" bestFit="1" customWidth="1"/>
    <col min="5889" max="5889" width="10.28515625" style="1271" customWidth="1"/>
    <col min="5890" max="5890" width="8.140625" style="1271" bestFit="1" customWidth="1"/>
    <col min="5891" max="5891" width="9.85546875" style="1271" bestFit="1" customWidth="1"/>
    <col min="5892" max="5892" width="9" style="1271" customWidth="1"/>
    <col min="5893" max="5893" width="11.7109375" style="1271" customWidth="1"/>
    <col min="5894" max="5894" width="12.42578125" style="1271" customWidth="1"/>
    <col min="5895" max="5895" width="2.85546875" style="1271" customWidth="1"/>
    <col min="5896" max="5896" width="29.85546875" style="1271" customWidth="1"/>
    <col min="5897" max="5897" width="9" style="1271" customWidth="1"/>
    <col min="5898" max="5898" width="10.85546875" style="1271" customWidth="1"/>
    <col min="5899" max="5899" width="8" style="1271" bestFit="1" customWidth="1"/>
    <col min="5900" max="5900" width="9" style="1271" bestFit="1" customWidth="1"/>
    <col min="5901" max="5901" width="11" style="1271" bestFit="1" customWidth="1"/>
    <col min="5902" max="5902" width="12.5703125" style="1271" bestFit="1" customWidth="1"/>
    <col min="5903" max="5903" width="12.140625" style="1271" customWidth="1"/>
    <col min="5904" max="5917" width="2.85546875" style="1271" customWidth="1"/>
    <col min="5918" max="5918" width="22.28515625" style="1271" customWidth="1"/>
    <col min="5919" max="5919" width="9.42578125" style="1271" customWidth="1"/>
    <col min="5920" max="5920" width="8.42578125" style="1271" customWidth="1"/>
    <col min="5921" max="5921" width="9.42578125" style="1271" customWidth="1"/>
    <col min="5922" max="5922" width="7.5703125" style="1271" customWidth="1"/>
    <col min="5923" max="5923" width="7.85546875" style="1271" bestFit="1" customWidth="1"/>
    <col min="5924" max="5924" width="10.28515625" style="1271" bestFit="1" customWidth="1"/>
    <col min="5925" max="5925" width="4.85546875" style="1271" customWidth="1"/>
    <col min="5926" max="5926" width="21.85546875" style="1271" bestFit="1" customWidth="1"/>
    <col min="5927" max="5927" width="8.85546875" style="1271" customWidth="1"/>
    <col min="5928" max="5928" width="7.5703125" style="1271" bestFit="1" customWidth="1"/>
    <col min="5929" max="5929" width="4.5703125" style="1271" customWidth="1"/>
    <col min="5930" max="6141" width="9.42578125" style="1271"/>
    <col min="6142" max="6142" width="2.42578125" style="1271" customWidth="1"/>
    <col min="6143" max="6143" width="29.7109375" style="1271" customWidth="1"/>
    <col min="6144" max="6144" width="9.28515625" style="1271" bestFit="1" customWidth="1"/>
    <col min="6145" max="6145" width="10.28515625" style="1271" customWidth="1"/>
    <col min="6146" max="6146" width="8.140625" style="1271" bestFit="1" customWidth="1"/>
    <col min="6147" max="6147" width="9.85546875" style="1271" bestFit="1" customWidth="1"/>
    <col min="6148" max="6148" width="9" style="1271" customWidth="1"/>
    <col min="6149" max="6149" width="11.7109375" style="1271" customWidth="1"/>
    <col min="6150" max="6150" width="12.42578125" style="1271" customWidth="1"/>
    <col min="6151" max="6151" width="2.85546875" style="1271" customWidth="1"/>
    <col min="6152" max="6152" width="29.85546875" style="1271" customWidth="1"/>
    <col min="6153" max="6153" width="9" style="1271" customWidth="1"/>
    <col min="6154" max="6154" width="10.85546875" style="1271" customWidth="1"/>
    <col min="6155" max="6155" width="8" style="1271" bestFit="1" customWidth="1"/>
    <col min="6156" max="6156" width="9" style="1271" bestFit="1" customWidth="1"/>
    <col min="6157" max="6157" width="11" style="1271" bestFit="1" customWidth="1"/>
    <col min="6158" max="6158" width="12.5703125" style="1271" bestFit="1" customWidth="1"/>
    <col min="6159" max="6159" width="12.140625" style="1271" customWidth="1"/>
    <col min="6160" max="6173" width="2.85546875" style="1271" customWidth="1"/>
    <col min="6174" max="6174" width="22.28515625" style="1271" customWidth="1"/>
    <col min="6175" max="6175" width="9.42578125" style="1271" customWidth="1"/>
    <col min="6176" max="6176" width="8.42578125" style="1271" customWidth="1"/>
    <col min="6177" max="6177" width="9.42578125" style="1271" customWidth="1"/>
    <col min="6178" max="6178" width="7.5703125" style="1271" customWidth="1"/>
    <col min="6179" max="6179" width="7.85546875" style="1271" bestFit="1" customWidth="1"/>
    <col min="6180" max="6180" width="10.28515625" style="1271" bestFit="1" customWidth="1"/>
    <col min="6181" max="6181" width="4.85546875" style="1271" customWidth="1"/>
    <col min="6182" max="6182" width="21.85546875" style="1271" bestFit="1" customWidth="1"/>
    <col min="6183" max="6183" width="8.85546875" style="1271" customWidth="1"/>
    <col min="6184" max="6184" width="7.5703125" style="1271" bestFit="1" customWidth="1"/>
    <col min="6185" max="6185" width="4.5703125" style="1271" customWidth="1"/>
    <col min="6186" max="6397" width="9.42578125" style="1271"/>
    <col min="6398" max="6398" width="2.42578125" style="1271" customWidth="1"/>
    <col min="6399" max="6399" width="29.7109375" style="1271" customWidth="1"/>
    <col min="6400" max="6400" width="9.28515625" style="1271" bestFit="1" customWidth="1"/>
    <col min="6401" max="6401" width="10.28515625" style="1271" customWidth="1"/>
    <col min="6402" max="6402" width="8.140625" style="1271" bestFit="1" customWidth="1"/>
    <col min="6403" max="6403" width="9.85546875" style="1271" bestFit="1" customWidth="1"/>
    <col min="6404" max="6404" width="9" style="1271" customWidth="1"/>
    <col min="6405" max="6405" width="11.7109375" style="1271" customWidth="1"/>
    <col min="6406" max="6406" width="12.42578125" style="1271" customWidth="1"/>
    <col min="6407" max="6407" width="2.85546875" style="1271" customWidth="1"/>
    <col min="6408" max="6408" width="29.85546875" style="1271" customWidth="1"/>
    <col min="6409" max="6409" width="9" style="1271" customWidth="1"/>
    <col min="6410" max="6410" width="10.85546875" style="1271" customWidth="1"/>
    <col min="6411" max="6411" width="8" style="1271" bestFit="1" customWidth="1"/>
    <col min="6412" max="6412" width="9" style="1271" bestFit="1" customWidth="1"/>
    <col min="6413" max="6413" width="11" style="1271" bestFit="1" customWidth="1"/>
    <col min="6414" max="6414" width="12.5703125" style="1271" bestFit="1" customWidth="1"/>
    <col min="6415" max="6415" width="12.140625" style="1271" customWidth="1"/>
    <col min="6416" max="6429" width="2.85546875" style="1271" customWidth="1"/>
    <col min="6430" max="6430" width="22.28515625" style="1271" customWidth="1"/>
    <col min="6431" max="6431" width="9.42578125" style="1271" customWidth="1"/>
    <col min="6432" max="6432" width="8.42578125" style="1271" customWidth="1"/>
    <col min="6433" max="6433" width="9.42578125" style="1271" customWidth="1"/>
    <col min="6434" max="6434" width="7.5703125" style="1271" customWidth="1"/>
    <col min="6435" max="6435" width="7.85546875" style="1271" bestFit="1" customWidth="1"/>
    <col min="6436" max="6436" width="10.28515625" style="1271" bestFit="1" customWidth="1"/>
    <col min="6437" max="6437" width="4.85546875" style="1271" customWidth="1"/>
    <col min="6438" max="6438" width="21.85546875" style="1271" bestFit="1" customWidth="1"/>
    <col min="6439" max="6439" width="8.85546875" style="1271" customWidth="1"/>
    <col min="6440" max="6440" width="7.5703125" style="1271" bestFit="1" customWidth="1"/>
    <col min="6441" max="6441" width="4.5703125" style="1271" customWidth="1"/>
    <col min="6442" max="6653" width="9.42578125" style="1271"/>
    <col min="6654" max="6654" width="2.42578125" style="1271" customWidth="1"/>
    <col min="6655" max="6655" width="29.7109375" style="1271" customWidth="1"/>
    <col min="6656" max="6656" width="9.28515625" style="1271" bestFit="1" customWidth="1"/>
    <col min="6657" max="6657" width="10.28515625" style="1271" customWidth="1"/>
    <col min="6658" max="6658" width="8.140625" style="1271" bestFit="1" customWidth="1"/>
    <col min="6659" max="6659" width="9.85546875" style="1271" bestFit="1" customWidth="1"/>
    <col min="6660" max="6660" width="9" style="1271" customWidth="1"/>
    <col min="6661" max="6661" width="11.7109375" style="1271" customWidth="1"/>
    <col min="6662" max="6662" width="12.42578125" style="1271" customWidth="1"/>
    <col min="6663" max="6663" width="2.85546875" style="1271" customWidth="1"/>
    <col min="6664" max="6664" width="29.85546875" style="1271" customWidth="1"/>
    <col min="6665" max="6665" width="9" style="1271" customWidth="1"/>
    <col min="6666" max="6666" width="10.85546875" style="1271" customWidth="1"/>
    <col min="6667" max="6667" width="8" style="1271" bestFit="1" customWidth="1"/>
    <col min="6668" max="6668" width="9" style="1271" bestFit="1" customWidth="1"/>
    <col min="6669" max="6669" width="11" style="1271" bestFit="1" customWidth="1"/>
    <col min="6670" max="6670" width="12.5703125" style="1271" bestFit="1" customWidth="1"/>
    <col min="6671" max="6671" width="12.140625" style="1271" customWidth="1"/>
    <col min="6672" max="6685" width="2.85546875" style="1271" customWidth="1"/>
    <col min="6686" max="6686" width="22.28515625" style="1271" customWidth="1"/>
    <col min="6687" max="6687" width="9.42578125" style="1271" customWidth="1"/>
    <col min="6688" max="6688" width="8.42578125" style="1271" customWidth="1"/>
    <col min="6689" max="6689" width="9.42578125" style="1271" customWidth="1"/>
    <col min="6690" max="6690" width="7.5703125" style="1271" customWidth="1"/>
    <col min="6691" max="6691" width="7.85546875" style="1271" bestFit="1" customWidth="1"/>
    <col min="6692" max="6692" width="10.28515625" style="1271" bestFit="1" customWidth="1"/>
    <col min="6693" max="6693" width="4.85546875" style="1271" customWidth="1"/>
    <col min="6694" max="6694" width="21.85546875" style="1271" bestFit="1" customWidth="1"/>
    <col min="6695" max="6695" width="8.85546875" style="1271" customWidth="1"/>
    <col min="6696" max="6696" width="7.5703125" style="1271" bestFit="1" customWidth="1"/>
    <col min="6697" max="6697" width="4.5703125" style="1271" customWidth="1"/>
    <col min="6698" max="6909" width="9.42578125" style="1271"/>
    <col min="6910" max="6910" width="2.42578125" style="1271" customWidth="1"/>
    <col min="6911" max="6911" width="29.7109375" style="1271" customWidth="1"/>
    <col min="6912" max="6912" width="9.28515625" style="1271" bestFit="1" customWidth="1"/>
    <col min="6913" max="6913" width="10.28515625" style="1271" customWidth="1"/>
    <col min="6914" max="6914" width="8.140625" style="1271" bestFit="1" customWidth="1"/>
    <col min="6915" max="6915" width="9.85546875" style="1271" bestFit="1" customWidth="1"/>
    <col min="6916" max="6916" width="9" style="1271" customWidth="1"/>
    <col min="6917" max="6917" width="11.7109375" style="1271" customWidth="1"/>
    <col min="6918" max="6918" width="12.42578125" style="1271" customWidth="1"/>
    <col min="6919" max="6919" width="2.85546875" style="1271" customWidth="1"/>
    <col min="6920" max="6920" width="29.85546875" style="1271" customWidth="1"/>
    <col min="6921" max="6921" width="9" style="1271" customWidth="1"/>
    <col min="6922" max="6922" width="10.85546875" style="1271" customWidth="1"/>
    <col min="6923" max="6923" width="8" style="1271" bestFit="1" customWidth="1"/>
    <col min="6924" max="6924" width="9" style="1271" bestFit="1" customWidth="1"/>
    <col min="6925" max="6925" width="11" style="1271" bestFit="1" customWidth="1"/>
    <col min="6926" max="6926" width="12.5703125" style="1271" bestFit="1" customWidth="1"/>
    <col min="6927" max="6927" width="12.140625" style="1271" customWidth="1"/>
    <col min="6928" max="6941" width="2.85546875" style="1271" customWidth="1"/>
    <col min="6942" max="6942" width="22.28515625" style="1271" customWidth="1"/>
    <col min="6943" max="6943" width="9.42578125" style="1271" customWidth="1"/>
    <col min="6944" max="6944" width="8.42578125" style="1271" customWidth="1"/>
    <col min="6945" max="6945" width="9.42578125" style="1271" customWidth="1"/>
    <col min="6946" max="6946" width="7.5703125" style="1271" customWidth="1"/>
    <col min="6947" max="6947" width="7.85546875" style="1271" bestFit="1" customWidth="1"/>
    <col min="6948" max="6948" width="10.28515625" style="1271" bestFit="1" customWidth="1"/>
    <col min="6949" max="6949" width="4.85546875" style="1271" customWidth="1"/>
    <col min="6950" max="6950" width="21.85546875" style="1271" bestFit="1" customWidth="1"/>
    <col min="6951" max="6951" width="8.85546875" style="1271" customWidth="1"/>
    <col min="6952" max="6952" width="7.5703125" style="1271" bestFit="1" customWidth="1"/>
    <col min="6953" max="6953" width="4.5703125" style="1271" customWidth="1"/>
    <col min="6954" max="7165" width="9.42578125" style="1271"/>
    <col min="7166" max="7166" width="2.42578125" style="1271" customWidth="1"/>
    <col min="7167" max="7167" width="29.7109375" style="1271" customWidth="1"/>
    <col min="7168" max="7168" width="9.28515625" style="1271" bestFit="1" customWidth="1"/>
    <col min="7169" max="7169" width="10.28515625" style="1271" customWidth="1"/>
    <col min="7170" max="7170" width="8.140625" style="1271" bestFit="1" customWidth="1"/>
    <col min="7171" max="7171" width="9.85546875" style="1271" bestFit="1" customWidth="1"/>
    <col min="7172" max="7172" width="9" style="1271" customWidth="1"/>
    <col min="7173" max="7173" width="11.7109375" style="1271" customWidth="1"/>
    <col min="7174" max="7174" width="12.42578125" style="1271" customWidth="1"/>
    <col min="7175" max="7175" width="2.85546875" style="1271" customWidth="1"/>
    <col min="7176" max="7176" width="29.85546875" style="1271" customWidth="1"/>
    <col min="7177" max="7177" width="9" style="1271" customWidth="1"/>
    <col min="7178" max="7178" width="10.85546875" style="1271" customWidth="1"/>
    <col min="7179" max="7179" width="8" style="1271" bestFit="1" customWidth="1"/>
    <col min="7180" max="7180" width="9" style="1271" bestFit="1" customWidth="1"/>
    <col min="7181" max="7181" width="11" style="1271" bestFit="1" customWidth="1"/>
    <col min="7182" max="7182" width="12.5703125" style="1271" bestFit="1" customWidth="1"/>
    <col min="7183" max="7183" width="12.140625" style="1271" customWidth="1"/>
    <col min="7184" max="7197" width="2.85546875" style="1271" customWidth="1"/>
    <col min="7198" max="7198" width="22.28515625" style="1271" customWidth="1"/>
    <col min="7199" max="7199" width="9.42578125" style="1271" customWidth="1"/>
    <col min="7200" max="7200" width="8.42578125" style="1271" customWidth="1"/>
    <col min="7201" max="7201" width="9.42578125" style="1271" customWidth="1"/>
    <col min="7202" max="7202" width="7.5703125" style="1271" customWidth="1"/>
    <col min="7203" max="7203" width="7.85546875" style="1271" bestFit="1" customWidth="1"/>
    <col min="7204" max="7204" width="10.28515625" style="1271" bestFit="1" customWidth="1"/>
    <col min="7205" max="7205" width="4.85546875" style="1271" customWidth="1"/>
    <col min="7206" max="7206" width="21.85546875" style="1271" bestFit="1" customWidth="1"/>
    <col min="7207" max="7207" width="8.85546875" style="1271" customWidth="1"/>
    <col min="7208" max="7208" width="7.5703125" style="1271" bestFit="1" customWidth="1"/>
    <col min="7209" max="7209" width="4.5703125" style="1271" customWidth="1"/>
    <col min="7210" max="7421" width="9.42578125" style="1271"/>
    <col min="7422" max="7422" width="2.42578125" style="1271" customWidth="1"/>
    <col min="7423" max="7423" width="29.7109375" style="1271" customWidth="1"/>
    <col min="7424" max="7424" width="9.28515625" style="1271" bestFit="1" customWidth="1"/>
    <col min="7425" max="7425" width="10.28515625" style="1271" customWidth="1"/>
    <col min="7426" max="7426" width="8.140625" style="1271" bestFit="1" customWidth="1"/>
    <col min="7427" max="7427" width="9.85546875" style="1271" bestFit="1" customWidth="1"/>
    <col min="7428" max="7428" width="9" style="1271" customWidth="1"/>
    <col min="7429" max="7429" width="11.7109375" style="1271" customWidth="1"/>
    <col min="7430" max="7430" width="12.42578125" style="1271" customWidth="1"/>
    <col min="7431" max="7431" width="2.85546875" style="1271" customWidth="1"/>
    <col min="7432" max="7432" width="29.85546875" style="1271" customWidth="1"/>
    <col min="7433" max="7433" width="9" style="1271" customWidth="1"/>
    <col min="7434" max="7434" width="10.85546875" style="1271" customWidth="1"/>
    <col min="7435" max="7435" width="8" style="1271" bestFit="1" customWidth="1"/>
    <col min="7436" max="7436" width="9" style="1271" bestFit="1" customWidth="1"/>
    <col min="7437" max="7437" width="11" style="1271" bestFit="1" customWidth="1"/>
    <col min="7438" max="7438" width="12.5703125" style="1271" bestFit="1" customWidth="1"/>
    <col min="7439" max="7439" width="12.140625" style="1271" customWidth="1"/>
    <col min="7440" max="7453" width="2.85546875" style="1271" customWidth="1"/>
    <col min="7454" max="7454" width="22.28515625" style="1271" customWidth="1"/>
    <col min="7455" max="7455" width="9.42578125" style="1271" customWidth="1"/>
    <col min="7456" max="7456" width="8.42578125" style="1271" customWidth="1"/>
    <col min="7457" max="7457" width="9.42578125" style="1271" customWidth="1"/>
    <col min="7458" max="7458" width="7.5703125" style="1271" customWidth="1"/>
    <col min="7459" max="7459" width="7.85546875" style="1271" bestFit="1" customWidth="1"/>
    <col min="7460" max="7460" width="10.28515625" style="1271" bestFit="1" customWidth="1"/>
    <col min="7461" max="7461" width="4.85546875" style="1271" customWidth="1"/>
    <col min="7462" max="7462" width="21.85546875" style="1271" bestFit="1" customWidth="1"/>
    <col min="7463" max="7463" width="8.85546875" style="1271" customWidth="1"/>
    <col min="7464" max="7464" width="7.5703125" style="1271" bestFit="1" customWidth="1"/>
    <col min="7465" max="7465" width="4.5703125" style="1271" customWidth="1"/>
    <col min="7466" max="7677" width="9.42578125" style="1271"/>
    <col min="7678" max="7678" width="2.42578125" style="1271" customWidth="1"/>
    <col min="7679" max="7679" width="29.7109375" style="1271" customWidth="1"/>
    <col min="7680" max="7680" width="9.28515625" style="1271" bestFit="1" customWidth="1"/>
    <col min="7681" max="7681" width="10.28515625" style="1271" customWidth="1"/>
    <col min="7682" max="7682" width="8.140625" style="1271" bestFit="1" customWidth="1"/>
    <col min="7683" max="7683" width="9.85546875" style="1271" bestFit="1" customWidth="1"/>
    <col min="7684" max="7684" width="9" style="1271" customWidth="1"/>
    <col min="7685" max="7685" width="11.7109375" style="1271" customWidth="1"/>
    <col min="7686" max="7686" width="12.42578125" style="1271" customWidth="1"/>
    <col min="7687" max="7687" width="2.85546875" style="1271" customWidth="1"/>
    <col min="7688" max="7688" width="29.85546875" style="1271" customWidth="1"/>
    <col min="7689" max="7689" width="9" style="1271" customWidth="1"/>
    <col min="7690" max="7690" width="10.85546875" style="1271" customWidth="1"/>
    <col min="7691" max="7691" width="8" style="1271" bestFit="1" customWidth="1"/>
    <col min="7692" max="7692" width="9" style="1271" bestFit="1" customWidth="1"/>
    <col min="7693" max="7693" width="11" style="1271" bestFit="1" customWidth="1"/>
    <col min="7694" max="7694" width="12.5703125" style="1271" bestFit="1" customWidth="1"/>
    <col min="7695" max="7695" width="12.140625" style="1271" customWidth="1"/>
    <col min="7696" max="7709" width="2.85546875" style="1271" customWidth="1"/>
    <col min="7710" max="7710" width="22.28515625" style="1271" customWidth="1"/>
    <col min="7711" max="7711" width="9.42578125" style="1271" customWidth="1"/>
    <col min="7712" max="7712" width="8.42578125" style="1271" customWidth="1"/>
    <col min="7713" max="7713" width="9.42578125" style="1271" customWidth="1"/>
    <col min="7714" max="7714" width="7.5703125" style="1271" customWidth="1"/>
    <col min="7715" max="7715" width="7.85546875" style="1271" bestFit="1" customWidth="1"/>
    <col min="7716" max="7716" width="10.28515625" style="1271" bestFit="1" customWidth="1"/>
    <col min="7717" max="7717" width="4.85546875" style="1271" customWidth="1"/>
    <col min="7718" max="7718" width="21.85546875" style="1271" bestFit="1" customWidth="1"/>
    <col min="7719" max="7719" width="8.85546875" style="1271" customWidth="1"/>
    <col min="7720" max="7720" width="7.5703125" style="1271" bestFit="1" customWidth="1"/>
    <col min="7721" max="7721" width="4.5703125" style="1271" customWidth="1"/>
    <col min="7722" max="7933" width="9.42578125" style="1271"/>
    <col min="7934" max="7934" width="2.42578125" style="1271" customWidth="1"/>
    <col min="7935" max="7935" width="29.7109375" style="1271" customWidth="1"/>
    <col min="7936" max="7936" width="9.28515625" style="1271" bestFit="1" customWidth="1"/>
    <col min="7937" max="7937" width="10.28515625" style="1271" customWidth="1"/>
    <col min="7938" max="7938" width="8.140625" style="1271" bestFit="1" customWidth="1"/>
    <col min="7939" max="7939" width="9.85546875" style="1271" bestFit="1" customWidth="1"/>
    <col min="7940" max="7940" width="9" style="1271" customWidth="1"/>
    <col min="7941" max="7941" width="11.7109375" style="1271" customWidth="1"/>
    <col min="7942" max="7942" width="12.42578125" style="1271" customWidth="1"/>
    <col min="7943" max="7943" width="2.85546875" style="1271" customWidth="1"/>
    <col min="7944" max="7944" width="29.85546875" style="1271" customWidth="1"/>
    <col min="7945" max="7945" width="9" style="1271" customWidth="1"/>
    <col min="7946" max="7946" width="10.85546875" style="1271" customWidth="1"/>
    <col min="7947" max="7947" width="8" style="1271" bestFit="1" customWidth="1"/>
    <col min="7948" max="7948" width="9" style="1271" bestFit="1" customWidth="1"/>
    <col min="7949" max="7949" width="11" style="1271" bestFit="1" customWidth="1"/>
    <col min="7950" max="7950" width="12.5703125" style="1271" bestFit="1" customWidth="1"/>
    <col min="7951" max="7951" width="12.140625" style="1271" customWidth="1"/>
    <col min="7952" max="7965" width="2.85546875" style="1271" customWidth="1"/>
    <col min="7966" max="7966" width="22.28515625" style="1271" customWidth="1"/>
    <col min="7967" max="7967" width="9.42578125" style="1271" customWidth="1"/>
    <col min="7968" max="7968" width="8.42578125" style="1271" customWidth="1"/>
    <col min="7969" max="7969" width="9.42578125" style="1271" customWidth="1"/>
    <col min="7970" max="7970" width="7.5703125" style="1271" customWidth="1"/>
    <col min="7971" max="7971" width="7.85546875" style="1271" bestFit="1" customWidth="1"/>
    <col min="7972" max="7972" width="10.28515625" style="1271" bestFit="1" customWidth="1"/>
    <col min="7973" max="7973" width="4.85546875" style="1271" customWidth="1"/>
    <col min="7974" max="7974" width="21.85546875" style="1271" bestFit="1" customWidth="1"/>
    <col min="7975" max="7975" width="8.85546875" style="1271" customWidth="1"/>
    <col min="7976" max="7976" width="7.5703125" style="1271" bestFit="1" customWidth="1"/>
    <col min="7977" max="7977" width="4.5703125" style="1271" customWidth="1"/>
    <col min="7978" max="8189" width="9.42578125" style="1271"/>
    <col min="8190" max="8190" width="2.42578125" style="1271" customWidth="1"/>
    <col min="8191" max="8191" width="29.7109375" style="1271" customWidth="1"/>
    <col min="8192" max="8192" width="9.28515625" style="1271" bestFit="1" customWidth="1"/>
    <col min="8193" max="8193" width="10.28515625" style="1271" customWidth="1"/>
    <col min="8194" max="8194" width="8.140625" style="1271" bestFit="1" customWidth="1"/>
    <col min="8195" max="8195" width="9.85546875" style="1271" bestFit="1" customWidth="1"/>
    <col min="8196" max="8196" width="9" style="1271" customWidth="1"/>
    <col min="8197" max="8197" width="11.7109375" style="1271" customWidth="1"/>
    <col min="8198" max="8198" width="12.42578125" style="1271" customWidth="1"/>
    <col min="8199" max="8199" width="2.85546875" style="1271" customWidth="1"/>
    <col min="8200" max="8200" width="29.85546875" style="1271" customWidth="1"/>
    <col min="8201" max="8201" width="9" style="1271" customWidth="1"/>
    <col min="8202" max="8202" width="10.85546875" style="1271" customWidth="1"/>
    <col min="8203" max="8203" width="8" style="1271" bestFit="1" customWidth="1"/>
    <col min="8204" max="8204" width="9" style="1271" bestFit="1" customWidth="1"/>
    <col min="8205" max="8205" width="11" style="1271" bestFit="1" customWidth="1"/>
    <col min="8206" max="8206" width="12.5703125" style="1271" bestFit="1" customWidth="1"/>
    <col min="8207" max="8207" width="12.140625" style="1271" customWidth="1"/>
    <col min="8208" max="8221" width="2.85546875" style="1271" customWidth="1"/>
    <col min="8222" max="8222" width="22.28515625" style="1271" customWidth="1"/>
    <col min="8223" max="8223" width="9.42578125" style="1271" customWidth="1"/>
    <col min="8224" max="8224" width="8.42578125" style="1271" customWidth="1"/>
    <col min="8225" max="8225" width="9.42578125" style="1271" customWidth="1"/>
    <col min="8226" max="8226" width="7.5703125" style="1271" customWidth="1"/>
    <col min="8227" max="8227" width="7.85546875" style="1271" bestFit="1" customWidth="1"/>
    <col min="8228" max="8228" width="10.28515625" style="1271" bestFit="1" customWidth="1"/>
    <col min="8229" max="8229" width="4.85546875" style="1271" customWidth="1"/>
    <col min="8230" max="8230" width="21.85546875" style="1271" bestFit="1" customWidth="1"/>
    <col min="8231" max="8231" width="8.85546875" style="1271" customWidth="1"/>
    <col min="8232" max="8232" width="7.5703125" style="1271" bestFit="1" customWidth="1"/>
    <col min="8233" max="8233" width="4.5703125" style="1271" customWidth="1"/>
    <col min="8234" max="8445" width="9.42578125" style="1271"/>
    <col min="8446" max="8446" width="2.42578125" style="1271" customWidth="1"/>
    <col min="8447" max="8447" width="29.7109375" style="1271" customWidth="1"/>
    <col min="8448" max="8448" width="9.28515625" style="1271" bestFit="1" customWidth="1"/>
    <col min="8449" max="8449" width="10.28515625" style="1271" customWidth="1"/>
    <col min="8450" max="8450" width="8.140625" style="1271" bestFit="1" customWidth="1"/>
    <col min="8451" max="8451" width="9.85546875" style="1271" bestFit="1" customWidth="1"/>
    <col min="8452" max="8452" width="9" style="1271" customWidth="1"/>
    <col min="8453" max="8453" width="11.7109375" style="1271" customWidth="1"/>
    <col min="8454" max="8454" width="12.42578125" style="1271" customWidth="1"/>
    <col min="8455" max="8455" width="2.85546875" style="1271" customWidth="1"/>
    <col min="8456" max="8456" width="29.85546875" style="1271" customWidth="1"/>
    <col min="8457" max="8457" width="9" style="1271" customWidth="1"/>
    <col min="8458" max="8458" width="10.85546875" style="1271" customWidth="1"/>
    <col min="8459" max="8459" width="8" style="1271" bestFit="1" customWidth="1"/>
    <col min="8460" max="8460" width="9" style="1271" bestFit="1" customWidth="1"/>
    <col min="8461" max="8461" width="11" style="1271" bestFit="1" customWidth="1"/>
    <col min="8462" max="8462" width="12.5703125" style="1271" bestFit="1" customWidth="1"/>
    <col min="8463" max="8463" width="12.140625" style="1271" customWidth="1"/>
    <col min="8464" max="8477" width="2.85546875" style="1271" customWidth="1"/>
    <col min="8478" max="8478" width="22.28515625" style="1271" customWidth="1"/>
    <col min="8479" max="8479" width="9.42578125" style="1271" customWidth="1"/>
    <col min="8480" max="8480" width="8.42578125" style="1271" customWidth="1"/>
    <col min="8481" max="8481" width="9.42578125" style="1271" customWidth="1"/>
    <col min="8482" max="8482" width="7.5703125" style="1271" customWidth="1"/>
    <col min="8483" max="8483" width="7.85546875" style="1271" bestFit="1" customWidth="1"/>
    <col min="8484" max="8484" width="10.28515625" style="1271" bestFit="1" customWidth="1"/>
    <col min="8485" max="8485" width="4.85546875" style="1271" customWidth="1"/>
    <col min="8486" max="8486" width="21.85546875" style="1271" bestFit="1" customWidth="1"/>
    <col min="8487" max="8487" width="8.85546875" style="1271" customWidth="1"/>
    <col min="8488" max="8488" width="7.5703125" style="1271" bestFit="1" customWidth="1"/>
    <col min="8489" max="8489" width="4.5703125" style="1271" customWidth="1"/>
    <col min="8490" max="8701" width="9.42578125" style="1271"/>
    <col min="8702" max="8702" width="2.42578125" style="1271" customWidth="1"/>
    <col min="8703" max="8703" width="29.7109375" style="1271" customWidth="1"/>
    <col min="8704" max="8704" width="9.28515625" style="1271" bestFit="1" customWidth="1"/>
    <col min="8705" max="8705" width="10.28515625" style="1271" customWidth="1"/>
    <col min="8706" max="8706" width="8.140625" style="1271" bestFit="1" customWidth="1"/>
    <col min="8707" max="8707" width="9.85546875" style="1271" bestFit="1" customWidth="1"/>
    <col min="8708" max="8708" width="9" style="1271" customWidth="1"/>
    <col min="8709" max="8709" width="11.7109375" style="1271" customWidth="1"/>
    <col min="8710" max="8710" width="12.42578125" style="1271" customWidth="1"/>
    <col min="8711" max="8711" width="2.85546875" style="1271" customWidth="1"/>
    <col min="8712" max="8712" width="29.85546875" style="1271" customWidth="1"/>
    <col min="8713" max="8713" width="9" style="1271" customWidth="1"/>
    <col min="8714" max="8714" width="10.85546875" style="1271" customWidth="1"/>
    <col min="8715" max="8715" width="8" style="1271" bestFit="1" customWidth="1"/>
    <col min="8716" max="8716" width="9" style="1271" bestFit="1" customWidth="1"/>
    <col min="8717" max="8717" width="11" style="1271" bestFit="1" customWidth="1"/>
    <col min="8718" max="8718" width="12.5703125" style="1271" bestFit="1" customWidth="1"/>
    <col min="8719" max="8719" width="12.140625" style="1271" customWidth="1"/>
    <col min="8720" max="8733" width="2.85546875" style="1271" customWidth="1"/>
    <col min="8734" max="8734" width="22.28515625" style="1271" customWidth="1"/>
    <col min="8735" max="8735" width="9.42578125" style="1271" customWidth="1"/>
    <col min="8736" max="8736" width="8.42578125" style="1271" customWidth="1"/>
    <col min="8737" max="8737" width="9.42578125" style="1271" customWidth="1"/>
    <col min="8738" max="8738" width="7.5703125" style="1271" customWidth="1"/>
    <col min="8739" max="8739" width="7.85546875" style="1271" bestFit="1" customWidth="1"/>
    <col min="8740" max="8740" width="10.28515625" style="1271" bestFit="1" customWidth="1"/>
    <col min="8741" max="8741" width="4.85546875" style="1271" customWidth="1"/>
    <col min="8742" max="8742" width="21.85546875" style="1271" bestFit="1" customWidth="1"/>
    <col min="8743" max="8743" width="8.85546875" style="1271" customWidth="1"/>
    <col min="8744" max="8744" width="7.5703125" style="1271" bestFit="1" customWidth="1"/>
    <col min="8745" max="8745" width="4.5703125" style="1271" customWidth="1"/>
    <col min="8746" max="8957" width="9.42578125" style="1271"/>
    <col min="8958" max="8958" width="2.42578125" style="1271" customWidth="1"/>
    <col min="8959" max="8959" width="29.7109375" style="1271" customWidth="1"/>
    <col min="8960" max="8960" width="9.28515625" style="1271" bestFit="1" customWidth="1"/>
    <col min="8961" max="8961" width="10.28515625" style="1271" customWidth="1"/>
    <col min="8962" max="8962" width="8.140625" style="1271" bestFit="1" customWidth="1"/>
    <col min="8963" max="8963" width="9.85546875" style="1271" bestFit="1" customWidth="1"/>
    <col min="8964" max="8964" width="9" style="1271" customWidth="1"/>
    <col min="8965" max="8965" width="11.7109375" style="1271" customWidth="1"/>
    <col min="8966" max="8966" width="12.42578125" style="1271" customWidth="1"/>
    <col min="8967" max="8967" width="2.85546875" style="1271" customWidth="1"/>
    <col min="8968" max="8968" width="29.85546875" style="1271" customWidth="1"/>
    <col min="8969" max="8969" width="9" style="1271" customWidth="1"/>
    <col min="8970" max="8970" width="10.85546875" style="1271" customWidth="1"/>
    <col min="8971" max="8971" width="8" style="1271" bestFit="1" customWidth="1"/>
    <col min="8972" max="8972" width="9" style="1271" bestFit="1" customWidth="1"/>
    <col min="8973" max="8973" width="11" style="1271" bestFit="1" customWidth="1"/>
    <col min="8974" max="8974" width="12.5703125" style="1271" bestFit="1" customWidth="1"/>
    <col min="8975" max="8975" width="12.140625" style="1271" customWidth="1"/>
    <col min="8976" max="8989" width="2.85546875" style="1271" customWidth="1"/>
    <col min="8990" max="8990" width="22.28515625" style="1271" customWidth="1"/>
    <col min="8991" max="8991" width="9.42578125" style="1271" customWidth="1"/>
    <col min="8992" max="8992" width="8.42578125" style="1271" customWidth="1"/>
    <col min="8993" max="8993" width="9.42578125" style="1271" customWidth="1"/>
    <col min="8994" max="8994" width="7.5703125" style="1271" customWidth="1"/>
    <col min="8995" max="8995" width="7.85546875" style="1271" bestFit="1" customWidth="1"/>
    <col min="8996" max="8996" width="10.28515625" style="1271" bestFit="1" customWidth="1"/>
    <col min="8997" max="8997" width="4.85546875" style="1271" customWidth="1"/>
    <col min="8998" max="8998" width="21.85546875" style="1271" bestFit="1" customWidth="1"/>
    <col min="8999" max="8999" width="8.85546875" style="1271" customWidth="1"/>
    <col min="9000" max="9000" width="7.5703125" style="1271" bestFit="1" customWidth="1"/>
    <col min="9001" max="9001" width="4.5703125" style="1271" customWidth="1"/>
    <col min="9002" max="9213" width="9.42578125" style="1271"/>
    <col min="9214" max="9214" width="2.42578125" style="1271" customWidth="1"/>
    <col min="9215" max="9215" width="29.7109375" style="1271" customWidth="1"/>
    <col min="9216" max="9216" width="9.28515625" style="1271" bestFit="1" customWidth="1"/>
    <col min="9217" max="9217" width="10.28515625" style="1271" customWidth="1"/>
    <col min="9218" max="9218" width="8.140625" style="1271" bestFit="1" customWidth="1"/>
    <col min="9219" max="9219" width="9.85546875" style="1271" bestFit="1" customWidth="1"/>
    <col min="9220" max="9220" width="9" style="1271" customWidth="1"/>
    <col min="9221" max="9221" width="11.7109375" style="1271" customWidth="1"/>
    <col min="9222" max="9222" width="12.42578125" style="1271" customWidth="1"/>
    <col min="9223" max="9223" width="2.85546875" style="1271" customWidth="1"/>
    <col min="9224" max="9224" width="29.85546875" style="1271" customWidth="1"/>
    <col min="9225" max="9225" width="9" style="1271" customWidth="1"/>
    <col min="9226" max="9226" width="10.85546875" style="1271" customWidth="1"/>
    <col min="9227" max="9227" width="8" style="1271" bestFit="1" customWidth="1"/>
    <col min="9228" max="9228" width="9" style="1271" bestFit="1" customWidth="1"/>
    <col min="9229" max="9229" width="11" style="1271" bestFit="1" customWidth="1"/>
    <col min="9230" max="9230" width="12.5703125" style="1271" bestFit="1" customWidth="1"/>
    <col min="9231" max="9231" width="12.140625" style="1271" customWidth="1"/>
    <col min="9232" max="9245" width="2.85546875" style="1271" customWidth="1"/>
    <col min="9246" max="9246" width="22.28515625" style="1271" customWidth="1"/>
    <col min="9247" max="9247" width="9.42578125" style="1271" customWidth="1"/>
    <col min="9248" max="9248" width="8.42578125" style="1271" customWidth="1"/>
    <col min="9249" max="9249" width="9.42578125" style="1271" customWidth="1"/>
    <col min="9250" max="9250" width="7.5703125" style="1271" customWidth="1"/>
    <col min="9251" max="9251" width="7.85546875" style="1271" bestFit="1" customWidth="1"/>
    <col min="9252" max="9252" width="10.28515625" style="1271" bestFit="1" customWidth="1"/>
    <col min="9253" max="9253" width="4.85546875" style="1271" customWidth="1"/>
    <col min="9254" max="9254" width="21.85546875" style="1271" bestFit="1" customWidth="1"/>
    <col min="9255" max="9255" width="8.85546875" style="1271" customWidth="1"/>
    <col min="9256" max="9256" width="7.5703125" style="1271" bestFit="1" customWidth="1"/>
    <col min="9257" max="9257" width="4.5703125" style="1271" customWidth="1"/>
    <col min="9258" max="9469" width="9.42578125" style="1271"/>
    <col min="9470" max="9470" width="2.42578125" style="1271" customWidth="1"/>
    <col min="9471" max="9471" width="29.7109375" style="1271" customWidth="1"/>
    <col min="9472" max="9472" width="9.28515625" style="1271" bestFit="1" customWidth="1"/>
    <col min="9473" max="9473" width="10.28515625" style="1271" customWidth="1"/>
    <col min="9474" max="9474" width="8.140625" style="1271" bestFit="1" customWidth="1"/>
    <col min="9475" max="9475" width="9.85546875" style="1271" bestFit="1" customWidth="1"/>
    <col min="9476" max="9476" width="9" style="1271" customWidth="1"/>
    <col min="9477" max="9477" width="11.7109375" style="1271" customWidth="1"/>
    <col min="9478" max="9478" width="12.42578125" style="1271" customWidth="1"/>
    <col min="9479" max="9479" width="2.85546875" style="1271" customWidth="1"/>
    <col min="9480" max="9480" width="29.85546875" style="1271" customWidth="1"/>
    <col min="9481" max="9481" width="9" style="1271" customWidth="1"/>
    <col min="9482" max="9482" width="10.85546875" style="1271" customWidth="1"/>
    <col min="9483" max="9483" width="8" style="1271" bestFit="1" customWidth="1"/>
    <col min="9484" max="9484" width="9" style="1271" bestFit="1" customWidth="1"/>
    <col min="9485" max="9485" width="11" style="1271" bestFit="1" customWidth="1"/>
    <col min="9486" max="9486" width="12.5703125" style="1271" bestFit="1" customWidth="1"/>
    <col min="9487" max="9487" width="12.140625" style="1271" customWidth="1"/>
    <col min="9488" max="9501" width="2.85546875" style="1271" customWidth="1"/>
    <col min="9502" max="9502" width="22.28515625" style="1271" customWidth="1"/>
    <col min="9503" max="9503" width="9.42578125" style="1271" customWidth="1"/>
    <col min="9504" max="9504" width="8.42578125" style="1271" customWidth="1"/>
    <col min="9505" max="9505" width="9.42578125" style="1271" customWidth="1"/>
    <col min="9506" max="9506" width="7.5703125" style="1271" customWidth="1"/>
    <col min="9507" max="9507" width="7.85546875" style="1271" bestFit="1" customWidth="1"/>
    <col min="9508" max="9508" width="10.28515625" style="1271" bestFit="1" customWidth="1"/>
    <col min="9509" max="9509" width="4.85546875" style="1271" customWidth="1"/>
    <col min="9510" max="9510" width="21.85546875" style="1271" bestFit="1" customWidth="1"/>
    <col min="9511" max="9511" width="8.85546875" style="1271" customWidth="1"/>
    <col min="9512" max="9512" width="7.5703125" style="1271" bestFit="1" customWidth="1"/>
    <col min="9513" max="9513" width="4.5703125" style="1271" customWidth="1"/>
    <col min="9514" max="9725" width="9.42578125" style="1271"/>
    <col min="9726" max="9726" width="2.42578125" style="1271" customWidth="1"/>
    <col min="9727" max="9727" width="29.7109375" style="1271" customWidth="1"/>
    <col min="9728" max="9728" width="9.28515625" style="1271" bestFit="1" customWidth="1"/>
    <col min="9729" max="9729" width="10.28515625" style="1271" customWidth="1"/>
    <col min="9730" max="9730" width="8.140625" style="1271" bestFit="1" customWidth="1"/>
    <col min="9731" max="9731" width="9.85546875" style="1271" bestFit="1" customWidth="1"/>
    <col min="9732" max="9732" width="9" style="1271" customWidth="1"/>
    <col min="9733" max="9733" width="11.7109375" style="1271" customWidth="1"/>
    <col min="9734" max="9734" width="12.42578125" style="1271" customWidth="1"/>
    <col min="9735" max="9735" width="2.85546875" style="1271" customWidth="1"/>
    <col min="9736" max="9736" width="29.85546875" style="1271" customWidth="1"/>
    <col min="9737" max="9737" width="9" style="1271" customWidth="1"/>
    <col min="9738" max="9738" width="10.85546875" style="1271" customWidth="1"/>
    <col min="9739" max="9739" width="8" style="1271" bestFit="1" customWidth="1"/>
    <col min="9740" max="9740" width="9" style="1271" bestFit="1" customWidth="1"/>
    <col min="9741" max="9741" width="11" style="1271" bestFit="1" customWidth="1"/>
    <col min="9742" max="9742" width="12.5703125" style="1271" bestFit="1" customWidth="1"/>
    <col min="9743" max="9743" width="12.140625" style="1271" customWidth="1"/>
    <col min="9744" max="9757" width="2.85546875" style="1271" customWidth="1"/>
    <col min="9758" max="9758" width="22.28515625" style="1271" customWidth="1"/>
    <col min="9759" max="9759" width="9.42578125" style="1271" customWidth="1"/>
    <col min="9760" max="9760" width="8.42578125" style="1271" customWidth="1"/>
    <col min="9761" max="9761" width="9.42578125" style="1271" customWidth="1"/>
    <col min="9762" max="9762" width="7.5703125" style="1271" customWidth="1"/>
    <col min="9763" max="9763" width="7.85546875" style="1271" bestFit="1" customWidth="1"/>
    <col min="9764" max="9764" width="10.28515625" style="1271" bestFit="1" customWidth="1"/>
    <col min="9765" max="9765" width="4.85546875" style="1271" customWidth="1"/>
    <col min="9766" max="9766" width="21.85546875" style="1271" bestFit="1" customWidth="1"/>
    <col min="9767" max="9767" width="8.85546875" style="1271" customWidth="1"/>
    <col min="9768" max="9768" width="7.5703125" style="1271" bestFit="1" customWidth="1"/>
    <col min="9769" max="9769" width="4.5703125" style="1271" customWidth="1"/>
    <col min="9770" max="9981" width="9.42578125" style="1271"/>
    <col min="9982" max="9982" width="2.42578125" style="1271" customWidth="1"/>
    <col min="9983" max="9983" width="29.7109375" style="1271" customWidth="1"/>
    <col min="9984" max="9984" width="9.28515625" style="1271" bestFit="1" customWidth="1"/>
    <col min="9985" max="9985" width="10.28515625" style="1271" customWidth="1"/>
    <col min="9986" max="9986" width="8.140625" style="1271" bestFit="1" customWidth="1"/>
    <col min="9987" max="9987" width="9.85546875" style="1271" bestFit="1" customWidth="1"/>
    <col min="9988" max="9988" width="9" style="1271" customWidth="1"/>
    <col min="9989" max="9989" width="11.7109375" style="1271" customWidth="1"/>
    <col min="9990" max="9990" width="12.42578125" style="1271" customWidth="1"/>
    <col min="9991" max="9991" width="2.85546875" style="1271" customWidth="1"/>
    <col min="9992" max="9992" width="29.85546875" style="1271" customWidth="1"/>
    <col min="9993" max="9993" width="9" style="1271" customWidth="1"/>
    <col min="9994" max="9994" width="10.85546875" style="1271" customWidth="1"/>
    <col min="9995" max="9995" width="8" style="1271" bestFit="1" customWidth="1"/>
    <col min="9996" max="9996" width="9" style="1271" bestFit="1" customWidth="1"/>
    <col min="9997" max="9997" width="11" style="1271" bestFit="1" customWidth="1"/>
    <col min="9998" max="9998" width="12.5703125" style="1271" bestFit="1" customWidth="1"/>
    <col min="9999" max="9999" width="12.140625" style="1271" customWidth="1"/>
    <col min="10000" max="10013" width="2.85546875" style="1271" customWidth="1"/>
    <col min="10014" max="10014" width="22.28515625" style="1271" customWidth="1"/>
    <col min="10015" max="10015" width="9.42578125" style="1271" customWidth="1"/>
    <col min="10016" max="10016" width="8.42578125" style="1271" customWidth="1"/>
    <col min="10017" max="10017" width="9.42578125" style="1271" customWidth="1"/>
    <col min="10018" max="10018" width="7.5703125" style="1271" customWidth="1"/>
    <col min="10019" max="10019" width="7.85546875" style="1271" bestFit="1" customWidth="1"/>
    <col min="10020" max="10020" width="10.28515625" style="1271" bestFit="1" customWidth="1"/>
    <col min="10021" max="10021" width="4.85546875" style="1271" customWidth="1"/>
    <col min="10022" max="10022" width="21.85546875" style="1271" bestFit="1" customWidth="1"/>
    <col min="10023" max="10023" width="8.85546875" style="1271" customWidth="1"/>
    <col min="10024" max="10024" width="7.5703125" style="1271" bestFit="1" customWidth="1"/>
    <col min="10025" max="10025" width="4.5703125" style="1271" customWidth="1"/>
    <col min="10026" max="10237" width="9.42578125" style="1271"/>
    <col min="10238" max="10238" width="2.42578125" style="1271" customWidth="1"/>
    <col min="10239" max="10239" width="29.7109375" style="1271" customWidth="1"/>
    <col min="10240" max="10240" width="9.28515625" style="1271" bestFit="1" customWidth="1"/>
    <col min="10241" max="10241" width="10.28515625" style="1271" customWidth="1"/>
    <col min="10242" max="10242" width="8.140625" style="1271" bestFit="1" customWidth="1"/>
    <col min="10243" max="10243" width="9.85546875" style="1271" bestFit="1" customWidth="1"/>
    <col min="10244" max="10244" width="9" style="1271" customWidth="1"/>
    <col min="10245" max="10245" width="11.7109375" style="1271" customWidth="1"/>
    <col min="10246" max="10246" width="12.42578125" style="1271" customWidth="1"/>
    <col min="10247" max="10247" width="2.85546875" style="1271" customWidth="1"/>
    <col min="10248" max="10248" width="29.85546875" style="1271" customWidth="1"/>
    <col min="10249" max="10249" width="9" style="1271" customWidth="1"/>
    <col min="10250" max="10250" width="10.85546875" style="1271" customWidth="1"/>
    <col min="10251" max="10251" width="8" style="1271" bestFit="1" customWidth="1"/>
    <col min="10252" max="10252" width="9" style="1271" bestFit="1" customWidth="1"/>
    <col min="10253" max="10253" width="11" style="1271" bestFit="1" customWidth="1"/>
    <col min="10254" max="10254" width="12.5703125" style="1271" bestFit="1" customWidth="1"/>
    <col min="10255" max="10255" width="12.140625" style="1271" customWidth="1"/>
    <col min="10256" max="10269" width="2.85546875" style="1271" customWidth="1"/>
    <col min="10270" max="10270" width="22.28515625" style="1271" customWidth="1"/>
    <col min="10271" max="10271" width="9.42578125" style="1271" customWidth="1"/>
    <col min="10272" max="10272" width="8.42578125" style="1271" customWidth="1"/>
    <col min="10273" max="10273" width="9.42578125" style="1271" customWidth="1"/>
    <col min="10274" max="10274" width="7.5703125" style="1271" customWidth="1"/>
    <col min="10275" max="10275" width="7.85546875" style="1271" bestFit="1" customWidth="1"/>
    <col min="10276" max="10276" width="10.28515625" style="1271" bestFit="1" customWidth="1"/>
    <col min="10277" max="10277" width="4.85546875" style="1271" customWidth="1"/>
    <col min="10278" max="10278" width="21.85546875" style="1271" bestFit="1" customWidth="1"/>
    <col min="10279" max="10279" width="8.85546875" style="1271" customWidth="1"/>
    <col min="10280" max="10280" width="7.5703125" style="1271" bestFit="1" customWidth="1"/>
    <col min="10281" max="10281" width="4.5703125" style="1271" customWidth="1"/>
    <col min="10282" max="10493" width="9.42578125" style="1271"/>
    <col min="10494" max="10494" width="2.42578125" style="1271" customWidth="1"/>
    <col min="10495" max="10495" width="29.7109375" style="1271" customWidth="1"/>
    <col min="10496" max="10496" width="9.28515625" style="1271" bestFit="1" customWidth="1"/>
    <col min="10497" max="10497" width="10.28515625" style="1271" customWidth="1"/>
    <col min="10498" max="10498" width="8.140625" style="1271" bestFit="1" customWidth="1"/>
    <col min="10499" max="10499" width="9.85546875" style="1271" bestFit="1" customWidth="1"/>
    <col min="10500" max="10500" width="9" style="1271" customWidth="1"/>
    <col min="10501" max="10501" width="11.7109375" style="1271" customWidth="1"/>
    <col min="10502" max="10502" width="12.42578125" style="1271" customWidth="1"/>
    <col min="10503" max="10503" width="2.85546875" style="1271" customWidth="1"/>
    <col min="10504" max="10504" width="29.85546875" style="1271" customWidth="1"/>
    <col min="10505" max="10505" width="9" style="1271" customWidth="1"/>
    <col min="10506" max="10506" width="10.85546875" style="1271" customWidth="1"/>
    <col min="10507" max="10507" width="8" style="1271" bestFit="1" customWidth="1"/>
    <col min="10508" max="10508" width="9" style="1271" bestFit="1" customWidth="1"/>
    <col min="10509" max="10509" width="11" style="1271" bestFit="1" customWidth="1"/>
    <col min="10510" max="10510" width="12.5703125" style="1271" bestFit="1" customWidth="1"/>
    <col min="10511" max="10511" width="12.140625" style="1271" customWidth="1"/>
    <col min="10512" max="10525" width="2.85546875" style="1271" customWidth="1"/>
    <col min="10526" max="10526" width="22.28515625" style="1271" customWidth="1"/>
    <col min="10527" max="10527" width="9.42578125" style="1271" customWidth="1"/>
    <col min="10528" max="10528" width="8.42578125" style="1271" customWidth="1"/>
    <col min="10529" max="10529" width="9.42578125" style="1271" customWidth="1"/>
    <col min="10530" max="10530" width="7.5703125" style="1271" customWidth="1"/>
    <col min="10531" max="10531" width="7.85546875" style="1271" bestFit="1" customWidth="1"/>
    <col min="10532" max="10532" width="10.28515625" style="1271" bestFit="1" customWidth="1"/>
    <col min="10533" max="10533" width="4.85546875" style="1271" customWidth="1"/>
    <col min="10534" max="10534" width="21.85546875" style="1271" bestFit="1" customWidth="1"/>
    <col min="10535" max="10535" width="8.85546875" style="1271" customWidth="1"/>
    <col min="10536" max="10536" width="7.5703125" style="1271" bestFit="1" customWidth="1"/>
    <col min="10537" max="10537" width="4.5703125" style="1271" customWidth="1"/>
    <col min="10538" max="10749" width="9.42578125" style="1271"/>
    <col min="10750" max="10750" width="2.42578125" style="1271" customWidth="1"/>
    <col min="10751" max="10751" width="29.7109375" style="1271" customWidth="1"/>
    <col min="10752" max="10752" width="9.28515625" style="1271" bestFit="1" customWidth="1"/>
    <col min="10753" max="10753" width="10.28515625" style="1271" customWidth="1"/>
    <col min="10754" max="10754" width="8.140625" style="1271" bestFit="1" customWidth="1"/>
    <col min="10755" max="10755" width="9.85546875" style="1271" bestFit="1" customWidth="1"/>
    <col min="10756" max="10756" width="9" style="1271" customWidth="1"/>
    <col min="10757" max="10757" width="11.7109375" style="1271" customWidth="1"/>
    <col min="10758" max="10758" width="12.42578125" style="1271" customWidth="1"/>
    <col min="10759" max="10759" width="2.85546875" style="1271" customWidth="1"/>
    <col min="10760" max="10760" width="29.85546875" style="1271" customWidth="1"/>
    <col min="10761" max="10761" width="9" style="1271" customWidth="1"/>
    <col min="10762" max="10762" width="10.85546875" style="1271" customWidth="1"/>
    <col min="10763" max="10763" width="8" style="1271" bestFit="1" customWidth="1"/>
    <col min="10764" max="10764" width="9" style="1271" bestFit="1" customWidth="1"/>
    <col min="10765" max="10765" width="11" style="1271" bestFit="1" customWidth="1"/>
    <col min="10766" max="10766" width="12.5703125" style="1271" bestFit="1" customWidth="1"/>
    <col min="10767" max="10767" width="12.140625" style="1271" customWidth="1"/>
    <col min="10768" max="10781" width="2.85546875" style="1271" customWidth="1"/>
    <col min="10782" max="10782" width="22.28515625" style="1271" customWidth="1"/>
    <col min="10783" max="10783" width="9.42578125" style="1271" customWidth="1"/>
    <col min="10784" max="10784" width="8.42578125" style="1271" customWidth="1"/>
    <col min="10785" max="10785" width="9.42578125" style="1271" customWidth="1"/>
    <col min="10786" max="10786" width="7.5703125" style="1271" customWidth="1"/>
    <col min="10787" max="10787" width="7.85546875" style="1271" bestFit="1" customWidth="1"/>
    <col min="10788" max="10788" width="10.28515625" style="1271" bestFit="1" customWidth="1"/>
    <col min="10789" max="10789" width="4.85546875" style="1271" customWidth="1"/>
    <col min="10790" max="10790" width="21.85546875" style="1271" bestFit="1" customWidth="1"/>
    <col min="10791" max="10791" width="8.85546875" style="1271" customWidth="1"/>
    <col min="10792" max="10792" width="7.5703125" style="1271" bestFit="1" customWidth="1"/>
    <col min="10793" max="10793" width="4.5703125" style="1271" customWidth="1"/>
    <col min="10794" max="11005" width="9.42578125" style="1271"/>
    <col min="11006" max="11006" width="2.42578125" style="1271" customWidth="1"/>
    <col min="11007" max="11007" width="29.7109375" style="1271" customWidth="1"/>
    <col min="11008" max="11008" width="9.28515625" style="1271" bestFit="1" customWidth="1"/>
    <col min="11009" max="11009" width="10.28515625" style="1271" customWidth="1"/>
    <col min="11010" max="11010" width="8.140625" style="1271" bestFit="1" customWidth="1"/>
    <col min="11011" max="11011" width="9.85546875" style="1271" bestFit="1" customWidth="1"/>
    <col min="11012" max="11012" width="9" style="1271" customWidth="1"/>
    <col min="11013" max="11013" width="11.7109375" style="1271" customWidth="1"/>
    <col min="11014" max="11014" width="12.42578125" style="1271" customWidth="1"/>
    <col min="11015" max="11015" width="2.85546875" style="1271" customWidth="1"/>
    <col min="11016" max="11016" width="29.85546875" style="1271" customWidth="1"/>
    <col min="11017" max="11017" width="9" style="1271" customWidth="1"/>
    <col min="11018" max="11018" width="10.85546875" style="1271" customWidth="1"/>
    <col min="11019" max="11019" width="8" style="1271" bestFit="1" customWidth="1"/>
    <col min="11020" max="11020" width="9" style="1271" bestFit="1" customWidth="1"/>
    <col min="11021" max="11021" width="11" style="1271" bestFit="1" customWidth="1"/>
    <col min="11022" max="11022" width="12.5703125" style="1271" bestFit="1" customWidth="1"/>
    <col min="11023" max="11023" width="12.140625" style="1271" customWidth="1"/>
    <col min="11024" max="11037" width="2.85546875" style="1271" customWidth="1"/>
    <col min="11038" max="11038" width="22.28515625" style="1271" customWidth="1"/>
    <col min="11039" max="11039" width="9.42578125" style="1271" customWidth="1"/>
    <col min="11040" max="11040" width="8.42578125" style="1271" customWidth="1"/>
    <col min="11041" max="11041" width="9.42578125" style="1271" customWidth="1"/>
    <col min="11042" max="11042" width="7.5703125" style="1271" customWidth="1"/>
    <col min="11043" max="11043" width="7.85546875" style="1271" bestFit="1" customWidth="1"/>
    <col min="11044" max="11044" width="10.28515625" style="1271" bestFit="1" customWidth="1"/>
    <col min="11045" max="11045" width="4.85546875" style="1271" customWidth="1"/>
    <col min="11046" max="11046" width="21.85546875" style="1271" bestFit="1" customWidth="1"/>
    <col min="11047" max="11047" width="8.85546875" style="1271" customWidth="1"/>
    <col min="11048" max="11048" width="7.5703125" style="1271" bestFit="1" customWidth="1"/>
    <col min="11049" max="11049" width="4.5703125" style="1271" customWidth="1"/>
    <col min="11050" max="11261" width="9.42578125" style="1271"/>
    <col min="11262" max="11262" width="2.42578125" style="1271" customWidth="1"/>
    <col min="11263" max="11263" width="29.7109375" style="1271" customWidth="1"/>
    <col min="11264" max="11264" width="9.28515625" style="1271" bestFit="1" customWidth="1"/>
    <col min="11265" max="11265" width="10.28515625" style="1271" customWidth="1"/>
    <col min="11266" max="11266" width="8.140625" style="1271" bestFit="1" customWidth="1"/>
    <col min="11267" max="11267" width="9.85546875" style="1271" bestFit="1" customWidth="1"/>
    <col min="11268" max="11268" width="9" style="1271" customWidth="1"/>
    <col min="11269" max="11269" width="11.7109375" style="1271" customWidth="1"/>
    <col min="11270" max="11270" width="12.42578125" style="1271" customWidth="1"/>
    <col min="11271" max="11271" width="2.85546875" style="1271" customWidth="1"/>
    <col min="11272" max="11272" width="29.85546875" style="1271" customWidth="1"/>
    <col min="11273" max="11273" width="9" style="1271" customWidth="1"/>
    <col min="11274" max="11274" width="10.85546875" style="1271" customWidth="1"/>
    <col min="11275" max="11275" width="8" style="1271" bestFit="1" customWidth="1"/>
    <col min="11276" max="11276" width="9" style="1271" bestFit="1" customWidth="1"/>
    <col min="11277" max="11277" width="11" style="1271" bestFit="1" customWidth="1"/>
    <col min="11278" max="11278" width="12.5703125" style="1271" bestFit="1" customWidth="1"/>
    <col min="11279" max="11279" width="12.140625" style="1271" customWidth="1"/>
    <col min="11280" max="11293" width="2.85546875" style="1271" customWidth="1"/>
    <col min="11294" max="11294" width="22.28515625" style="1271" customWidth="1"/>
    <col min="11295" max="11295" width="9.42578125" style="1271" customWidth="1"/>
    <col min="11296" max="11296" width="8.42578125" style="1271" customWidth="1"/>
    <col min="11297" max="11297" width="9.42578125" style="1271" customWidth="1"/>
    <col min="11298" max="11298" width="7.5703125" style="1271" customWidth="1"/>
    <col min="11299" max="11299" width="7.85546875" style="1271" bestFit="1" customWidth="1"/>
    <col min="11300" max="11300" width="10.28515625" style="1271" bestFit="1" customWidth="1"/>
    <col min="11301" max="11301" width="4.85546875" style="1271" customWidth="1"/>
    <col min="11302" max="11302" width="21.85546875" style="1271" bestFit="1" customWidth="1"/>
    <col min="11303" max="11303" width="8.85546875" style="1271" customWidth="1"/>
    <col min="11304" max="11304" width="7.5703125" style="1271" bestFit="1" customWidth="1"/>
    <col min="11305" max="11305" width="4.5703125" style="1271" customWidth="1"/>
    <col min="11306" max="11517" width="9.42578125" style="1271"/>
    <col min="11518" max="11518" width="2.42578125" style="1271" customWidth="1"/>
    <col min="11519" max="11519" width="29.7109375" style="1271" customWidth="1"/>
    <col min="11520" max="11520" width="9.28515625" style="1271" bestFit="1" customWidth="1"/>
    <col min="11521" max="11521" width="10.28515625" style="1271" customWidth="1"/>
    <col min="11522" max="11522" width="8.140625" style="1271" bestFit="1" customWidth="1"/>
    <col min="11523" max="11523" width="9.85546875" style="1271" bestFit="1" customWidth="1"/>
    <col min="11524" max="11524" width="9" style="1271" customWidth="1"/>
    <col min="11525" max="11525" width="11.7109375" style="1271" customWidth="1"/>
    <col min="11526" max="11526" width="12.42578125" style="1271" customWidth="1"/>
    <col min="11527" max="11527" width="2.85546875" style="1271" customWidth="1"/>
    <col min="11528" max="11528" width="29.85546875" style="1271" customWidth="1"/>
    <col min="11529" max="11529" width="9" style="1271" customWidth="1"/>
    <col min="11530" max="11530" width="10.85546875" style="1271" customWidth="1"/>
    <col min="11531" max="11531" width="8" style="1271" bestFit="1" customWidth="1"/>
    <col min="11532" max="11532" width="9" style="1271" bestFit="1" customWidth="1"/>
    <col min="11533" max="11533" width="11" style="1271" bestFit="1" customWidth="1"/>
    <col min="11534" max="11534" width="12.5703125" style="1271" bestFit="1" customWidth="1"/>
    <col min="11535" max="11535" width="12.140625" style="1271" customWidth="1"/>
    <col min="11536" max="11549" width="2.85546875" style="1271" customWidth="1"/>
    <col min="11550" max="11550" width="22.28515625" style="1271" customWidth="1"/>
    <col min="11551" max="11551" width="9.42578125" style="1271" customWidth="1"/>
    <col min="11552" max="11552" width="8.42578125" style="1271" customWidth="1"/>
    <col min="11553" max="11553" width="9.42578125" style="1271" customWidth="1"/>
    <col min="11554" max="11554" width="7.5703125" style="1271" customWidth="1"/>
    <col min="11555" max="11555" width="7.85546875" style="1271" bestFit="1" customWidth="1"/>
    <col min="11556" max="11556" width="10.28515625" style="1271" bestFit="1" customWidth="1"/>
    <col min="11557" max="11557" width="4.85546875" style="1271" customWidth="1"/>
    <col min="11558" max="11558" width="21.85546875" style="1271" bestFit="1" customWidth="1"/>
    <col min="11559" max="11559" width="8.85546875" style="1271" customWidth="1"/>
    <col min="11560" max="11560" width="7.5703125" style="1271" bestFit="1" customWidth="1"/>
    <col min="11561" max="11561" width="4.5703125" style="1271" customWidth="1"/>
    <col min="11562" max="11773" width="9.42578125" style="1271"/>
    <col min="11774" max="11774" width="2.42578125" style="1271" customWidth="1"/>
    <col min="11775" max="11775" width="29.7109375" style="1271" customWidth="1"/>
    <col min="11776" max="11776" width="9.28515625" style="1271" bestFit="1" customWidth="1"/>
    <col min="11777" max="11777" width="10.28515625" style="1271" customWidth="1"/>
    <col min="11778" max="11778" width="8.140625" style="1271" bestFit="1" customWidth="1"/>
    <col min="11779" max="11779" width="9.85546875" style="1271" bestFit="1" customWidth="1"/>
    <col min="11780" max="11780" width="9" style="1271" customWidth="1"/>
    <col min="11781" max="11781" width="11.7109375" style="1271" customWidth="1"/>
    <col min="11782" max="11782" width="12.42578125" style="1271" customWidth="1"/>
    <col min="11783" max="11783" width="2.85546875" style="1271" customWidth="1"/>
    <col min="11784" max="11784" width="29.85546875" style="1271" customWidth="1"/>
    <col min="11785" max="11785" width="9" style="1271" customWidth="1"/>
    <col min="11786" max="11786" width="10.85546875" style="1271" customWidth="1"/>
    <col min="11787" max="11787" width="8" style="1271" bestFit="1" customWidth="1"/>
    <col min="11788" max="11788" width="9" style="1271" bestFit="1" customWidth="1"/>
    <col min="11789" max="11789" width="11" style="1271" bestFit="1" customWidth="1"/>
    <col min="11790" max="11790" width="12.5703125" style="1271" bestFit="1" customWidth="1"/>
    <col min="11791" max="11791" width="12.140625" style="1271" customWidth="1"/>
    <col min="11792" max="11805" width="2.85546875" style="1271" customWidth="1"/>
    <col min="11806" max="11806" width="22.28515625" style="1271" customWidth="1"/>
    <col min="11807" max="11807" width="9.42578125" style="1271" customWidth="1"/>
    <col min="11808" max="11808" width="8.42578125" style="1271" customWidth="1"/>
    <col min="11809" max="11809" width="9.42578125" style="1271" customWidth="1"/>
    <col min="11810" max="11810" width="7.5703125" style="1271" customWidth="1"/>
    <col min="11811" max="11811" width="7.85546875" style="1271" bestFit="1" customWidth="1"/>
    <col min="11812" max="11812" width="10.28515625" style="1271" bestFit="1" customWidth="1"/>
    <col min="11813" max="11813" width="4.85546875" style="1271" customWidth="1"/>
    <col min="11814" max="11814" width="21.85546875" style="1271" bestFit="1" customWidth="1"/>
    <col min="11815" max="11815" width="8.85546875" style="1271" customWidth="1"/>
    <col min="11816" max="11816" width="7.5703125" style="1271" bestFit="1" customWidth="1"/>
    <col min="11817" max="11817" width="4.5703125" style="1271" customWidth="1"/>
    <col min="11818" max="12029" width="9.42578125" style="1271"/>
    <col min="12030" max="12030" width="2.42578125" style="1271" customWidth="1"/>
    <col min="12031" max="12031" width="29.7109375" style="1271" customWidth="1"/>
    <col min="12032" max="12032" width="9.28515625" style="1271" bestFit="1" customWidth="1"/>
    <col min="12033" max="12033" width="10.28515625" style="1271" customWidth="1"/>
    <col min="12034" max="12034" width="8.140625" style="1271" bestFit="1" customWidth="1"/>
    <col min="12035" max="12035" width="9.85546875" style="1271" bestFit="1" customWidth="1"/>
    <col min="12036" max="12036" width="9" style="1271" customWidth="1"/>
    <col min="12037" max="12037" width="11.7109375" style="1271" customWidth="1"/>
    <col min="12038" max="12038" width="12.42578125" style="1271" customWidth="1"/>
    <col min="12039" max="12039" width="2.85546875" style="1271" customWidth="1"/>
    <col min="12040" max="12040" width="29.85546875" style="1271" customWidth="1"/>
    <col min="12041" max="12041" width="9" style="1271" customWidth="1"/>
    <col min="12042" max="12042" width="10.85546875" style="1271" customWidth="1"/>
    <col min="12043" max="12043" width="8" style="1271" bestFit="1" customWidth="1"/>
    <col min="12044" max="12044" width="9" style="1271" bestFit="1" customWidth="1"/>
    <col min="12045" max="12045" width="11" style="1271" bestFit="1" customWidth="1"/>
    <col min="12046" max="12046" width="12.5703125" style="1271" bestFit="1" customWidth="1"/>
    <col min="12047" max="12047" width="12.140625" style="1271" customWidth="1"/>
    <col min="12048" max="12061" width="2.85546875" style="1271" customWidth="1"/>
    <col min="12062" max="12062" width="22.28515625" style="1271" customWidth="1"/>
    <col min="12063" max="12063" width="9.42578125" style="1271" customWidth="1"/>
    <col min="12064" max="12064" width="8.42578125" style="1271" customWidth="1"/>
    <col min="12065" max="12065" width="9.42578125" style="1271" customWidth="1"/>
    <col min="12066" max="12066" width="7.5703125" style="1271" customWidth="1"/>
    <col min="12067" max="12067" width="7.85546875" style="1271" bestFit="1" customWidth="1"/>
    <col min="12068" max="12068" width="10.28515625" style="1271" bestFit="1" customWidth="1"/>
    <col min="12069" max="12069" width="4.85546875" style="1271" customWidth="1"/>
    <col min="12070" max="12070" width="21.85546875" style="1271" bestFit="1" customWidth="1"/>
    <col min="12071" max="12071" width="8.85546875" style="1271" customWidth="1"/>
    <col min="12072" max="12072" width="7.5703125" style="1271" bestFit="1" customWidth="1"/>
    <col min="12073" max="12073" width="4.5703125" style="1271" customWidth="1"/>
    <col min="12074" max="12285" width="9.42578125" style="1271"/>
    <col min="12286" max="12286" width="2.42578125" style="1271" customWidth="1"/>
    <col min="12287" max="12287" width="29.7109375" style="1271" customWidth="1"/>
    <col min="12288" max="12288" width="9.28515625" style="1271" bestFit="1" customWidth="1"/>
    <col min="12289" max="12289" width="10.28515625" style="1271" customWidth="1"/>
    <col min="12290" max="12290" width="8.140625" style="1271" bestFit="1" customWidth="1"/>
    <col min="12291" max="12291" width="9.85546875" style="1271" bestFit="1" customWidth="1"/>
    <col min="12292" max="12292" width="9" style="1271" customWidth="1"/>
    <col min="12293" max="12293" width="11.7109375" style="1271" customWidth="1"/>
    <col min="12294" max="12294" width="12.42578125" style="1271" customWidth="1"/>
    <col min="12295" max="12295" width="2.85546875" style="1271" customWidth="1"/>
    <col min="12296" max="12296" width="29.85546875" style="1271" customWidth="1"/>
    <col min="12297" max="12297" width="9" style="1271" customWidth="1"/>
    <col min="12298" max="12298" width="10.85546875" style="1271" customWidth="1"/>
    <col min="12299" max="12299" width="8" style="1271" bestFit="1" customWidth="1"/>
    <col min="12300" max="12300" width="9" style="1271" bestFit="1" customWidth="1"/>
    <col min="12301" max="12301" width="11" style="1271" bestFit="1" customWidth="1"/>
    <col min="12302" max="12302" width="12.5703125" style="1271" bestFit="1" customWidth="1"/>
    <col min="12303" max="12303" width="12.140625" style="1271" customWidth="1"/>
    <col min="12304" max="12317" width="2.85546875" style="1271" customWidth="1"/>
    <col min="12318" max="12318" width="22.28515625" style="1271" customWidth="1"/>
    <col min="12319" max="12319" width="9.42578125" style="1271" customWidth="1"/>
    <col min="12320" max="12320" width="8.42578125" style="1271" customWidth="1"/>
    <col min="12321" max="12321" width="9.42578125" style="1271" customWidth="1"/>
    <col min="12322" max="12322" width="7.5703125" style="1271" customWidth="1"/>
    <col min="12323" max="12323" width="7.85546875" style="1271" bestFit="1" customWidth="1"/>
    <col min="12324" max="12324" width="10.28515625" style="1271" bestFit="1" customWidth="1"/>
    <col min="12325" max="12325" width="4.85546875" style="1271" customWidth="1"/>
    <col min="12326" max="12326" width="21.85546875" style="1271" bestFit="1" customWidth="1"/>
    <col min="12327" max="12327" width="8.85546875" style="1271" customWidth="1"/>
    <col min="12328" max="12328" width="7.5703125" style="1271" bestFit="1" customWidth="1"/>
    <col min="12329" max="12329" width="4.5703125" style="1271" customWidth="1"/>
    <col min="12330" max="12541" width="9.42578125" style="1271"/>
    <col min="12542" max="12542" width="2.42578125" style="1271" customWidth="1"/>
    <col min="12543" max="12543" width="29.7109375" style="1271" customWidth="1"/>
    <col min="12544" max="12544" width="9.28515625" style="1271" bestFit="1" customWidth="1"/>
    <col min="12545" max="12545" width="10.28515625" style="1271" customWidth="1"/>
    <col min="12546" max="12546" width="8.140625" style="1271" bestFit="1" customWidth="1"/>
    <col min="12547" max="12547" width="9.85546875" style="1271" bestFit="1" customWidth="1"/>
    <col min="12548" max="12548" width="9" style="1271" customWidth="1"/>
    <col min="12549" max="12549" width="11.7109375" style="1271" customWidth="1"/>
    <col min="12550" max="12550" width="12.42578125" style="1271" customWidth="1"/>
    <col min="12551" max="12551" width="2.85546875" style="1271" customWidth="1"/>
    <col min="12552" max="12552" width="29.85546875" style="1271" customWidth="1"/>
    <col min="12553" max="12553" width="9" style="1271" customWidth="1"/>
    <col min="12554" max="12554" width="10.85546875" style="1271" customWidth="1"/>
    <col min="12555" max="12555" width="8" style="1271" bestFit="1" customWidth="1"/>
    <col min="12556" max="12556" width="9" style="1271" bestFit="1" customWidth="1"/>
    <col min="12557" max="12557" width="11" style="1271" bestFit="1" customWidth="1"/>
    <col min="12558" max="12558" width="12.5703125" style="1271" bestFit="1" customWidth="1"/>
    <col min="12559" max="12559" width="12.140625" style="1271" customWidth="1"/>
    <col min="12560" max="12573" width="2.85546875" style="1271" customWidth="1"/>
    <col min="12574" max="12574" width="22.28515625" style="1271" customWidth="1"/>
    <col min="12575" max="12575" width="9.42578125" style="1271" customWidth="1"/>
    <col min="12576" max="12576" width="8.42578125" style="1271" customWidth="1"/>
    <col min="12577" max="12577" width="9.42578125" style="1271" customWidth="1"/>
    <col min="12578" max="12578" width="7.5703125" style="1271" customWidth="1"/>
    <col min="12579" max="12579" width="7.85546875" style="1271" bestFit="1" customWidth="1"/>
    <col min="12580" max="12580" width="10.28515625" style="1271" bestFit="1" customWidth="1"/>
    <col min="12581" max="12581" width="4.85546875" style="1271" customWidth="1"/>
    <col min="12582" max="12582" width="21.85546875" style="1271" bestFit="1" customWidth="1"/>
    <col min="12583" max="12583" width="8.85546875" style="1271" customWidth="1"/>
    <col min="12584" max="12584" width="7.5703125" style="1271" bestFit="1" customWidth="1"/>
    <col min="12585" max="12585" width="4.5703125" style="1271" customWidth="1"/>
    <col min="12586" max="12797" width="9.42578125" style="1271"/>
    <col min="12798" max="12798" width="2.42578125" style="1271" customWidth="1"/>
    <col min="12799" max="12799" width="29.7109375" style="1271" customWidth="1"/>
    <col min="12800" max="12800" width="9.28515625" style="1271" bestFit="1" customWidth="1"/>
    <col min="12801" max="12801" width="10.28515625" style="1271" customWidth="1"/>
    <col min="12802" max="12802" width="8.140625" style="1271" bestFit="1" customWidth="1"/>
    <col min="12803" max="12803" width="9.85546875" style="1271" bestFit="1" customWidth="1"/>
    <col min="12804" max="12804" width="9" style="1271" customWidth="1"/>
    <col min="12805" max="12805" width="11.7109375" style="1271" customWidth="1"/>
    <col min="12806" max="12806" width="12.42578125" style="1271" customWidth="1"/>
    <col min="12807" max="12807" width="2.85546875" style="1271" customWidth="1"/>
    <col min="12808" max="12808" width="29.85546875" style="1271" customWidth="1"/>
    <col min="12809" max="12809" width="9" style="1271" customWidth="1"/>
    <col min="12810" max="12810" width="10.85546875" style="1271" customWidth="1"/>
    <col min="12811" max="12811" width="8" style="1271" bestFit="1" customWidth="1"/>
    <col min="12812" max="12812" width="9" style="1271" bestFit="1" customWidth="1"/>
    <col min="12813" max="12813" width="11" style="1271" bestFit="1" customWidth="1"/>
    <col min="12814" max="12814" width="12.5703125" style="1271" bestFit="1" customWidth="1"/>
    <col min="12815" max="12815" width="12.140625" style="1271" customWidth="1"/>
    <col min="12816" max="12829" width="2.85546875" style="1271" customWidth="1"/>
    <col min="12830" max="12830" width="22.28515625" style="1271" customWidth="1"/>
    <col min="12831" max="12831" width="9.42578125" style="1271" customWidth="1"/>
    <col min="12832" max="12832" width="8.42578125" style="1271" customWidth="1"/>
    <col min="12833" max="12833" width="9.42578125" style="1271" customWidth="1"/>
    <col min="12834" max="12834" width="7.5703125" style="1271" customWidth="1"/>
    <col min="12835" max="12835" width="7.85546875" style="1271" bestFit="1" customWidth="1"/>
    <col min="12836" max="12836" width="10.28515625" style="1271" bestFit="1" customWidth="1"/>
    <col min="12837" max="12837" width="4.85546875" style="1271" customWidth="1"/>
    <col min="12838" max="12838" width="21.85546875" style="1271" bestFit="1" customWidth="1"/>
    <col min="12839" max="12839" width="8.85546875" style="1271" customWidth="1"/>
    <col min="12840" max="12840" width="7.5703125" style="1271" bestFit="1" customWidth="1"/>
    <col min="12841" max="12841" width="4.5703125" style="1271" customWidth="1"/>
    <col min="12842" max="13053" width="9.42578125" style="1271"/>
    <col min="13054" max="13054" width="2.42578125" style="1271" customWidth="1"/>
    <col min="13055" max="13055" width="29.7109375" style="1271" customWidth="1"/>
    <col min="13056" max="13056" width="9.28515625" style="1271" bestFit="1" customWidth="1"/>
    <col min="13057" max="13057" width="10.28515625" style="1271" customWidth="1"/>
    <col min="13058" max="13058" width="8.140625" style="1271" bestFit="1" customWidth="1"/>
    <col min="13059" max="13059" width="9.85546875" style="1271" bestFit="1" customWidth="1"/>
    <col min="13060" max="13060" width="9" style="1271" customWidth="1"/>
    <col min="13061" max="13061" width="11.7109375" style="1271" customWidth="1"/>
    <col min="13062" max="13062" width="12.42578125" style="1271" customWidth="1"/>
    <col min="13063" max="13063" width="2.85546875" style="1271" customWidth="1"/>
    <col min="13064" max="13064" width="29.85546875" style="1271" customWidth="1"/>
    <col min="13065" max="13065" width="9" style="1271" customWidth="1"/>
    <col min="13066" max="13066" width="10.85546875" style="1271" customWidth="1"/>
    <col min="13067" max="13067" width="8" style="1271" bestFit="1" customWidth="1"/>
    <col min="13068" max="13068" width="9" style="1271" bestFit="1" customWidth="1"/>
    <col min="13069" max="13069" width="11" style="1271" bestFit="1" customWidth="1"/>
    <col min="13070" max="13070" width="12.5703125" style="1271" bestFit="1" customWidth="1"/>
    <col min="13071" max="13071" width="12.140625" style="1271" customWidth="1"/>
    <col min="13072" max="13085" width="2.85546875" style="1271" customWidth="1"/>
    <col min="13086" max="13086" width="22.28515625" style="1271" customWidth="1"/>
    <col min="13087" max="13087" width="9.42578125" style="1271" customWidth="1"/>
    <col min="13088" max="13088" width="8.42578125" style="1271" customWidth="1"/>
    <col min="13089" max="13089" width="9.42578125" style="1271" customWidth="1"/>
    <col min="13090" max="13090" width="7.5703125" style="1271" customWidth="1"/>
    <col min="13091" max="13091" width="7.85546875" style="1271" bestFit="1" customWidth="1"/>
    <col min="13092" max="13092" width="10.28515625" style="1271" bestFit="1" customWidth="1"/>
    <col min="13093" max="13093" width="4.85546875" style="1271" customWidth="1"/>
    <col min="13094" max="13094" width="21.85546875" style="1271" bestFit="1" customWidth="1"/>
    <col min="13095" max="13095" width="8.85546875" style="1271" customWidth="1"/>
    <col min="13096" max="13096" width="7.5703125" style="1271" bestFit="1" customWidth="1"/>
    <col min="13097" max="13097" width="4.5703125" style="1271" customWidth="1"/>
    <col min="13098" max="13309" width="9.42578125" style="1271"/>
    <col min="13310" max="13310" width="2.42578125" style="1271" customWidth="1"/>
    <col min="13311" max="13311" width="29.7109375" style="1271" customWidth="1"/>
    <col min="13312" max="13312" width="9.28515625" style="1271" bestFit="1" customWidth="1"/>
    <col min="13313" max="13313" width="10.28515625" style="1271" customWidth="1"/>
    <col min="13314" max="13314" width="8.140625" style="1271" bestFit="1" customWidth="1"/>
    <col min="13315" max="13315" width="9.85546875" style="1271" bestFit="1" customWidth="1"/>
    <col min="13316" max="13316" width="9" style="1271" customWidth="1"/>
    <col min="13317" max="13317" width="11.7109375" style="1271" customWidth="1"/>
    <col min="13318" max="13318" width="12.42578125" style="1271" customWidth="1"/>
    <col min="13319" max="13319" width="2.85546875" style="1271" customWidth="1"/>
    <col min="13320" max="13320" width="29.85546875" style="1271" customWidth="1"/>
    <col min="13321" max="13321" width="9" style="1271" customWidth="1"/>
    <col min="13322" max="13322" width="10.85546875" style="1271" customWidth="1"/>
    <col min="13323" max="13323" width="8" style="1271" bestFit="1" customWidth="1"/>
    <col min="13324" max="13324" width="9" style="1271" bestFit="1" customWidth="1"/>
    <col min="13325" max="13325" width="11" style="1271" bestFit="1" customWidth="1"/>
    <col min="13326" max="13326" width="12.5703125" style="1271" bestFit="1" customWidth="1"/>
    <col min="13327" max="13327" width="12.140625" style="1271" customWidth="1"/>
    <col min="13328" max="13341" width="2.85546875" style="1271" customWidth="1"/>
    <col min="13342" max="13342" width="22.28515625" style="1271" customWidth="1"/>
    <col min="13343" max="13343" width="9.42578125" style="1271" customWidth="1"/>
    <col min="13344" max="13344" width="8.42578125" style="1271" customWidth="1"/>
    <col min="13345" max="13345" width="9.42578125" style="1271" customWidth="1"/>
    <col min="13346" max="13346" width="7.5703125" style="1271" customWidth="1"/>
    <col min="13347" max="13347" width="7.85546875" style="1271" bestFit="1" customWidth="1"/>
    <col min="13348" max="13348" width="10.28515625" style="1271" bestFit="1" customWidth="1"/>
    <col min="13349" max="13349" width="4.85546875" style="1271" customWidth="1"/>
    <col min="13350" max="13350" width="21.85546875" style="1271" bestFit="1" customWidth="1"/>
    <col min="13351" max="13351" width="8.85546875" style="1271" customWidth="1"/>
    <col min="13352" max="13352" width="7.5703125" style="1271" bestFit="1" customWidth="1"/>
    <col min="13353" max="13353" width="4.5703125" style="1271" customWidth="1"/>
    <col min="13354" max="13565" width="9.42578125" style="1271"/>
    <col min="13566" max="13566" width="2.42578125" style="1271" customWidth="1"/>
    <col min="13567" max="13567" width="29.7109375" style="1271" customWidth="1"/>
    <col min="13568" max="13568" width="9.28515625" style="1271" bestFit="1" customWidth="1"/>
    <col min="13569" max="13569" width="10.28515625" style="1271" customWidth="1"/>
    <col min="13570" max="13570" width="8.140625" style="1271" bestFit="1" customWidth="1"/>
    <col min="13571" max="13571" width="9.85546875" style="1271" bestFit="1" customWidth="1"/>
    <col min="13572" max="13572" width="9" style="1271" customWidth="1"/>
    <col min="13573" max="13573" width="11.7109375" style="1271" customWidth="1"/>
    <col min="13574" max="13574" width="12.42578125" style="1271" customWidth="1"/>
    <col min="13575" max="13575" width="2.85546875" style="1271" customWidth="1"/>
    <col min="13576" max="13576" width="29.85546875" style="1271" customWidth="1"/>
    <col min="13577" max="13577" width="9" style="1271" customWidth="1"/>
    <col min="13578" max="13578" width="10.85546875" style="1271" customWidth="1"/>
    <col min="13579" max="13579" width="8" style="1271" bestFit="1" customWidth="1"/>
    <col min="13580" max="13580" width="9" style="1271" bestFit="1" customWidth="1"/>
    <col min="13581" max="13581" width="11" style="1271" bestFit="1" customWidth="1"/>
    <col min="13582" max="13582" width="12.5703125" style="1271" bestFit="1" customWidth="1"/>
    <col min="13583" max="13583" width="12.140625" style="1271" customWidth="1"/>
    <col min="13584" max="13597" width="2.85546875" style="1271" customWidth="1"/>
    <col min="13598" max="13598" width="22.28515625" style="1271" customWidth="1"/>
    <col min="13599" max="13599" width="9.42578125" style="1271" customWidth="1"/>
    <col min="13600" max="13600" width="8.42578125" style="1271" customWidth="1"/>
    <col min="13601" max="13601" width="9.42578125" style="1271" customWidth="1"/>
    <col min="13602" max="13602" width="7.5703125" style="1271" customWidth="1"/>
    <col min="13603" max="13603" width="7.85546875" style="1271" bestFit="1" customWidth="1"/>
    <col min="13604" max="13604" width="10.28515625" style="1271" bestFit="1" customWidth="1"/>
    <col min="13605" max="13605" width="4.85546875" style="1271" customWidth="1"/>
    <col min="13606" max="13606" width="21.85546875" style="1271" bestFit="1" customWidth="1"/>
    <col min="13607" max="13607" width="8.85546875" style="1271" customWidth="1"/>
    <col min="13608" max="13608" width="7.5703125" style="1271" bestFit="1" customWidth="1"/>
    <col min="13609" max="13609" width="4.5703125" style="1271" customWidth="1"/>
    <col min="13610" max="13821" width="9.42578125" style="1271"/>
    <col min="13822" max="13822" width="2.42578125" style="1271" customWidth="1"/>
    <col min="13823" max="13823" width="29.7109375" style="1271" customWidth="1"/>
    <col min="13824" max="13824" width="9.28515625" style="1271" bestFit="1" customWidth="1"/>
    <col min="13825" max="13825" width="10.28515625" style="1271" customWidth="1"/>
    <col min="13826" max="13826" width="8.140625" style="1271" bestFit="1" customWidth="1"/>
    <col min="13827" max="13827" width="9.85546875" style="1271" bestFit="1" customWidth="1"/>
    <col min="13828" max="13828" width="9" style="1271" customWidth="1"/>
    <col min="13829" max="13829" width="11.7109375" style="1271" customWidth="1"/>
    <col min="13830" max="13830" width="12.42578125" style="1271" customWidth="1"/>
    <col min="13831" max="13831" width="2.85546875" style="1271" customWidth="1"/>
    <col min="13832" max="13832" width="29.85546875" style="1271" customWidth="1"/>
    <col min="13833" max="13833" width="9" style="1271" customWidth="1"/>
    <col min="13834" max="13834" width="10.85546875" style="1271" customWidth="1"/>
    <col min="13835" max="13835" width="8" style="1271" bestFit="1" customWidth="1"/>
    <col min="13836" max="13836" width="9" style="1271" bestFit="1" customWidth="1"/>
    <col min="13837" max="13837" width="11" style="1271" bestFit="1" customWidth="1"/>
    <col min="13838" max="13838" width="12.5703125" style="1271" bestFit="1" customWidth="1"/>
    <col min="13839" max="13839" width="12.140625" style="1271" customWidth="1"/>
    <col min="13840" max="13853" width="2.85546875" style="1271" customWidth="1"/>
    <col min="13854" max="13854" width="22.28515625" style="1271" customWidth="1"/>
    <col min="13855" max="13855" width="9.42578125" style="1271" customWidth="1"/>
    <col min="13856" max="13856" width="8.42578125" style="1271" customWidth="1"/>
    <col min="13857" max="13857" width="9.42578125" style="1271" customWidth="1"/>
    <col min="13858" max="13858" width="7.5703125" style="1271" customWidth="1"/>
    <col min="13859" max="13859" width="7.85546875" style="1271" bestFit="1" customWidth="1"/>
    <col min="13860" max="13860" width="10.28515625" style="1271" bestFit="1" customWidth="1"/>
    <col min="13861" max="13861" width="4.85546875" style="1271" customWidth="1"/>
    <col min="13862" max="13862" width="21.85546875" style="1271" bestFit="1" customWidth="1"/>
    <col min="13863" max="13863" width="8.85546875" style="1271" customWidth="1"/>
    <col min="13864" max="13864" width="7.5703125" style="1271" bestFit="1" customWidth="1"/>
    <col min="13865" max="13865" width="4.5703125" style="1271" customWidth="1"/>
    <col min="13866" max="14077" width="9.42578125" style="1271"/>
    <col min="14078" max="14078" width="2.42578125" style="1271" customWidth="1"/>
    <col min="14079" max="14079" width="29.7109375" style="1271" customWidth="1"/>
    <col min="14080" max="14080" width="9.28515625" style="1271" bestFit="1" customWidth="1"/>
    <col min="14081" max="14081" width="10.28515625" style="1271" customWidth="1"/>
    <col min="14082" max="14082" width="8.140625" style="1271" bestFit="1" customWidth="1"/>
    <col min="14083" max="14083" width="9.85546875" style="1271" bestFit="1" customWidth="1"/>
    <col min="14084" max="14084" width="9" style="1271" customWidth="1"/>
    <col min="14085" max="14085" width="11.7109375" style="1271" customWidth="1"/>
    <col min="14086" max="14086" width="12.42578125" style="1271" customWidth="1"/>
    <col min="14087" max="14087" width="2.85546875" style="1271" customWidth="1"/>
    <col min="14088" max="14088" width="29.85546875" style="1271" customWidth="1"/>
    <col min="14089" max="14089" width="9" style="1271" customWidth="1"/>
    <col min="14090" max="14090" width="10.85546875" style="1271" customWidth="1"/>
    <col min="14091" max="14091" width="8" style="1271" bestFit="1" customWidth="1"/>
    <col min="14092" max="14092" width="9" style="1271" bestFit="1" customWidth="1"/>
    <col min="14093" max="14093" width="11" style="1271" bestFit="1" customWidth="1"/>
    <col min="14094" max="14094" width="12.5703125" style="1271" bestFit="1" customWidth="1"/>
    <col min="14095" max="14095" width="12.140625" style="1271" customWidth="1"/>
    <col min="14096" max="14109" width="2.85546875" style="1271" customWidth="1"/>
    <col min="14110" max="14110" width="22.28515625" style="1271" customWidth="1"/>
    <col min="14111" max="14111" width="9.42578125" style="1271" customWidth="1"/>
    <col min="14112" max="14112" width="8.42578125" style="1271" customWidth="1"/>
    <col min="14113" max="14113" width="9.42578125" style="1271" customWidth="1"/>
    <col min="14114" max="14114" width="7.5703125" style="1271" customWidth="1"/>
    <col min="14115" max="14115" width="7.85546875" style="1271" bestFit="1" customWidth="1"/>
    <col min="14116" max="14116" width="10.28515625" style="1271" bestFit="1" customWidth="1"/>
    <col min="14117" max="14117" width="4.85546875" style="1271" customWidth="1"/>
    <col min="14118" max="14118" width="21.85546875" style="1271" bestFit="1" customWidth="1"/>
    <col min="14119" max="14119" width="8.85546875" style="1271" customWidth="1"/>
    <col min="14120" max="14120" width="7.5703125" style="1271" bestFit="1" customWidth="1"/>
    <col min="14121" max="14121" width="4.5703125" style="1271" customWidth="1"/>
    <col min="14122" max="14333" width="9.42578125" style="1271"/>
    <col min="14334" max="14334" width="2.42578125" style="1271" customWidth="1"/>
    <col min="14335" max="14335" width="29.7109375" style="1271" customWidth="1"/>
    <col min="14336" max="14336" width="9.28515625" style="1271" bestFit="1" customWidth="1"/>
    <col min="14337" max="14337" width="10.28515625" style="1271" customWidth="1"/>
    <col min="14338" max="14338" width="8.140625" style="1271" bestFit="1" customWidth="1"/>
    <col min="14339" max="14339" width="9.85546875" style="1271" bestFit="1" customWidth="1"/>
    <col min="14340" max="14340" width="9" style="1271" customWidth="1"/>
    <col min="14341" max="14341" width="11.7109375" style="1271" customWidth="1"/>
    <col min="14342" max="14342" width="12.42578125" style="1271" customWidth="1"/>
    <col min="14343" max="14343" width="2.85546875" style="1271" customWidth="1"/>
    <col min="14344" max="14344" width="29.85546875" style="1271" customWidth="1"/>
    <col min="14345" max="14345" width="9" style="1271" customWidth="1"/>
    <col min="14346" max="14346" width="10.85546875" style="1271" customWidth="1"/>
    <col min="14347" max="14347" width="8" style="1271" bestFit="1" customWidth="1"/>
    <col min="14348" max="14348" width="9" style="1271" bestFit="1" customWidth="1"/>
    <col min="14349" max="14349" width="11" style="1271" bestFit="1" customWidth="1"/>
    <col min="14350" max="14350" width="12.5703125" style="1271" bestFit="1" customWidth="1"/>
    <col min="14351" max="14351" width="12.140625" style="1271" customWidth="1"/>
    <col min="14352" max="14365" width="2.85546875" style="1271" customWidth="1"/>
    <col min="14366" max="14366" width="22.28515625" style="1271" customWidth="1"/>
    <col min="14367" max="14367" width="9.42578125" style="1271" customWidth="1"/>
    <col min="14368" max="14368" width="8.42578125" style="1271" customWidth="1"/>
    <col min="14369" max="14369" width="9.42578125" style="1271" customWidth="1"/>
    <col min="14370" max="14370" width="7.5703125" style="1271" customWidth="1"/>
    <col min="14371" max="14371" width="7.85546875" style="1271" bestFit="1" customWidth="1"/>
    <col min="14372" max="14372" width="10.28515625" style="1271" bestFit="1" customWidth="1"/>
    <col min="14373" max="14373" width="4.85546875" style="1271" customWidth="1"/>
    <col min="14374" max="14374" width="21.85546875" style="1271" bestFit="1" customWidth="1"/>
    <col min="14375" max="14375" width="8.85546875" style="1271" customWidth="1"/>
    <col min="14376" max="14376" width="7.5703125" style="1271" bestFit="1" customWidth="1"/>
    <col min="14377" max="14377" width="4.5703125" style="1271" customWidth="1"/>
    <col min="14378" max="14589" width="9.42578125" style="1271"/>
    <col min="14590" max="14590" width="2.42578125" style="1271" customWidth="1"/>
    <col min="14591" max="14591" width="29.7109375" style="1271" customWidth="1"/>
    <col min="14592" max="14592" width="9.28515625" style="1271" bestFit="1" customWidth="1"/>
    <col min="14593" max="14593" width="10.28515625" style="1271" customWidth="1"/>
    <col min="14594" max="14594" width="8.140625" style="1271" bestFit="1" customWidth="1"/>
    <col min="14595" max="14595" width="9.85546875" style="1271" bestFit="1" customWidth="1"/>
    <col min="14596" max="14596" width="9" style="1271" customWidth="1"/>
    <col min="14597" max="14597" width="11.7109375" style="1271" customWidth="1"/>
    <col min="14598" max="14598" width="12.42578125" style="1271" customWidth="1"/>
    <col min="14599" max="14599" width="2.85546875" style="1271" customWidth="1"/>
    <col min="14600" max="14600" width="29.85546875" style="1271" customWidth="1"/>
    <col min="14601" max="14601" width="9" style="1271" customWidth="1"/>
    <col min="14602" max="14602" width="10.85546875" style="1271" customWidth="1"/>
    <col min="14603" max="14603" width="8" style="1271" bestFit="1" customWidth="1"/>
    <col min="14604" max="14604" width="9" style="1271" bestFit="1" customWidth="1"/>
    <col min="14605" max="14605" width="11" style="1271" bestFit="1" customWidth="1"/>
    <col min="14606" max="14606" width="12.5703125" style="1271" bestFit="1" customWidth="1"/>
    <col min="14607" max="14607" width="12.140625" style="1271" customWidth="1"/>
    <col min="14608" max="14621" width="2.85546875" style="1271" customWidth="1"/>
    <col min="14622" max="14622" width="22.28515625" style="1271" customWidth="1"/>
    <col min="14623" max="14623" width="9.42578125" style="1271" customWidth="1"/>
    <col min="14624" max="14624" width="8.42578125" style="1271" customWidth="1"/>
    <col min="14625" max="14625" width="9.42578125" style="1271" customWidth="1"/>
    <col min="14626" max="14626" width="7.5703125" style="1271" customWidth="1"/>
    <col min="14627" max="14627" width="7.85546875" style="1271" bestFit="1" customWidth="1"/>
    <col min="14628" max="14628" width="10.28515625" style="1271" bestFit="1" customWidth="1"/>
    <col min="14629" max="14629" width="4.85546875" style="1271" customWidth="1"/>
    <col min="14630" max="14630" width="21.85546875" style="1271" bestFit="1" customWidth="1"/>
    <col min="14631" max="14631" width="8.85546875" style="1271" customWidth="1"/>
    <col min="14632" max="14632" width="7.5703125" style="1271" bestFit="1" customWidth="1"/>
    <col min="14633" max="14633" width="4.5703125" style="1271" customWidth="1"/>
    <col min="14634" max="14845" width="9.42578125" style="1271"/>
    <col min="14846" max="14846" width="2.42578125" style="1271" customWidth="1"/>
    <col min="14847" max="14847" width="29.7109375" style="1271" customWidth="1"/>
    <col min="14848" max="14848" width="9.28515625" style="1271" bestFit="1" customWidth="1"/>
    <col min="14849" max="14849" width="10.28515625" style="1271" customWidth="1"/>
    <col min="14850" max="14850" width="8.140625" style="1271" bestFit="1" customWidth="1"/>
    <col min="14851" max="14851" width="9.85546875" style="1271" bestFit="1" customWidth="1"/>
    <col min="14852" max="14852" width="9" style="1271" customWidth="1"/>
    <col min="14853" max="14853" width="11.7109375" style="1271" customWidth="1"/>
    <col min="14854" max="14854" width="12.42578125" style="1271" customWidth="1"/>
    <col min="14855" max="14855" width="2.85546875" style="1271" customWidth="1"/>
    <col min="14856" max="14856" width="29.85546875" style="1271" customWidth="1"/>
    <col min="14857" max="14857" width="9" style="1271" customWidth="1"/>
    <col min="14858" max="14858" width="10.85546875" style="1271" customWidth="1"/>
    <col min="14859" max="14859" width="8" style="1271" bestFit="1" customWidth="1"/>
    <col min="14860" max="14860" width="9" style="1271" bestFit="1" customWidth="1"/>
    <col min="14861" max="14861" width="11" style="1271" bestFit="1" customWidth="1"/>
    <col min="14862" max="14862" width="12.5703125" style="1271" bestFit="1" customWidth="1"/>
    <col min="14863" max="14863" width="12.140625" style="1271" customWidth="1"/>
    <col min="14864" max="14877" width="2.85546875" style="1271" customWidth="1"/>
    <col min="14878" max="14878" width="22.28515625" style="1271" customWidth="1"/>
    <col min="14879" max="14879" width="9.42578125" style="1271" customWidth="1"/>
    <col min="14880" max="14880" width="8.42578125" style="1271" customWidth="1"/>
    <col min="14881" max="14881" width="9.42578125" style="1271" customWidth="1"/>
    <col min="14882" max="14882" width="7.5703125" style="1271" customWidth="1"/>
    <col min="14883" max="14883" width="7.85546875" style="1271" bestFit="1" customWidth="1"/>
    <col min="14884" max="14884" width="10.28515625" style="1271" bestFit="1" customWidth="1"/>
    <col min="14885" max="14885" width="4.85546875" style="1271" customWidth="1"/>
    <col min="14886" max="14886" width="21.85546875" style="1271" bestFit="1" customWidth="1"/>
    <col min="14887" max="14887" width="8.85546875" style="1271" customWidth="1"/>
    <col min="14888" max="14888" width="7.5703125" style="1271" bestFit="1" customWidth="1"/>
    <col min="14889" max="14889" width="4.5703125" style="1271" customWidth="1"/>
    <col min="14890" max="15101" width="9.42578125" style="1271"/>
    <col min="15102" max="15102" width="2.42578125" style="1271" customWidth="1"/>
    <col min="15103" max="15103" width="29.7109375" style="1271" customWidth="1"/>
    <col min="15104" max="15104" width="9.28515625" style="1271" bestFit="1" customWidth="1"/>
    <col min="15105" max="15105" width="10.28515625" style="1271" customWidth="1"/>
    <col min="15106" max="15106" width="8.140625" style="1271" bestFit="1" customWidth="1"/>
    <col min="15107" max="15107" width="9.85546875" style="1271" bestFit="1" customWidth="1"/>
    <col min="15108" max="15108" width="9" style="1271" customWidth="1"/>
    <col min="15109" max="15109" width="11.7109375" style="1271" customWidth="1"/>
    <col min="15110" max="15110" width="12.42578125" style="1271" customWidth="1"/>
    <col min="15111" max="15111" width="2.85546875" style="1271" customWidth="1"/>
    <col min="15112" max="15112" width="29.85546875" style="1271" customWidth="1"/>
    <col min="15113" max="15113" width="9" style="1271" customWidth="1"/>
    <col min="15114" max="15114" width="10.85546875" style="1271" customWidth="1"/>
    <col min="15115" max="15115" width="8" style="1271" bestFit="1" customWidth="1"/>
    <col min="15116" max="15116" width="9" style="1271" bestFit="1" customWidth="1"/>
    <col min="15117" max="15117" width="11" style="1271" bestFit="1" customWidth="1"/>
    <col min="15118" max="15118" width="12.5703125" style="1271" bestFit="1" customWidth="1"/>
    <col min="15119" max="15119" width="12.140625" style="1271" customWidth="1"/>
    <col min="15120" max="15133" width="2.85546875" style="1271" customWidth="1"/>
    <col min="15134" max="15134" width="22.28515625" style="1271" customWidth="1"/>
    <col min="15135" max="15135" width="9.42578125" style="1271" customWidth="1"/>
    <col min="15136" max="15136" width="8.42578125" style="1271" customWidth="1"/>
    <col min="15137" max="15137" width="9.42578125" style="1271" customWidth="1"/>
    <col min="15138" max="15138" width="7.5703125" style="1271" customWidth="1"/>
    <col min="15139" max="15139" width="7.85546875" style="1271" bestFit="1" customWidth="1"/>
    <col min="15140" max="15140" width="10.28515625" style="1271" bestFit="1" customWidth="1"/>
    <col min="15141" max="15141" width="4.85546875" style="1271" customWidth="1"/>
    <col min="15142" max="15142" width="21.85546875" style="1271" bestFit="1" customWidth="1"/>
    <col min="15143" max="15143" width="8.85546875" style="1271" customWidth="1"/>
    <col min="15144" max="15144" width="7.5703125" style="1271" bestFit="1" customWidth="1"/>
    <col min="15145" max="15145" width="4.5703125" style="1271" customWidth="1"/>
    <col min="15146" max="15357" width="9.42578125" style="1271"/>
    <col min="15358" max="15358" width="2.42578125" style="1271" customWidth="1"/>
    <col min="15359" max="15359" width="29.7109375" style="1271" customWidth="1"/>
    <col min="15360" max="15360" width="9.28515625" style="1271" bestFit="1" customWidth="1"/>
    <col min="15361" max="15361" width="10.28515625" style="1271" customWidth="1"/>
    <col min="15362" max="15362" width="8.140625" style="1271" bestFit="1" customWidth="1"/>
    <col min="15363" max="15363" width="9.85546875" style="1271" bestFit="1" customWidth="1"/>
    <col min="15364" max="15364" width="9" style="1271" customWidth="1"/>
    <col min="15365" max="15365" width="11.7109375" style="1271" customWidth="1"/>
    <col min="15366" max="15366" width="12.42578125" style="1271" customWidth="1"/>
    <col min="15367" max="15367" width="2.85546875" style="1271" customWidth="1"/>
    <col min="15368" max="15368" width="29.85546875" style="1271" customWidth="1"/>
    <col min="15369" max="15369" width="9" style="1271" customWidth="1"/>
    <col min="15370" max="15370" width="10.85546875" style="1271" customWidth="1"/>
    <col min="15371" max="15371" width="8" style="1271" bestFit="1" customWidth="1"/>
    <col min="15372" max="15372" width="9" style="1271" bestFit="1" customWidth="1"/>
    <col min="15373" max="15373" width="11" style="1271" bestFit="1" customWidth="1"/>
    <col min="15374" max="15374" width="12.5703125" style="1271" bestFit="1" customWidth="1"/>
    <col min="15375" max="15375" width="12.140625" style="1271" customWidth="1"/>
    <col min="15376" max="15389" width="2.85546875" style="1271" customWidth="1"/>
    <col min="15390" max="15390" width="22.28515625" style="1271" customWidth="1"/>
    <col min="15391" max="15391" width="9.42578125" style="1271" customWidth="1"/>
    <col min="15392" max="15392" width="8.42578125" style="1271" customWidth="1"/>
    <col min="15393" max="15393" width="9.42578125" style="1271" customWidth="1"/>
    <col min="15394" max="15394" width="7.5703125" style="1271" customWidth="1"/>
    <col min="15395" max="15395" width="7.85546875" style="1271" bestFit="1" customWidth="1"/>
    <col min="15396" max="15396" width="10.28515625" style="1271" bestFit="1" customWidth="1"/>
    <col min="15397" max="15397" width="4.85546875" style="1271" customWidth="1"/>
    <col min="15398" max="15398" width="21.85546875" style="1271" bestFit="1" customWidth="1"/>
    <col min="15399" max="15399" width="8.85546875" style="1271" customWidth="1"/>
    <col min="15400" max="15400" width="7.5703125" style="1271" bestFit="1" customWidth="1"/>
    <col min="15401" max="15401" width="4.5703125" style="1271" customWidth="1"/>
    <col min="15402" max="15613" width="9.42578125" style="1271"/>
    <col min="15614" max="15614" width="2.42578125" style="1271" customWidth="1"/>
    <col min="15615" max="15615" width="29.7109375" style="1271" customWidth="1"/>
    <col min="15616" max="15616" width="9.28515625" style="1271" bestFit="1" customWidth="1"/>
    <col min="15617" max="15617" width="10.28515625" style="1271" customWidth="1"/>
    <col min="15618" max="15618" width="8.140625" style="1271" bestFit="1" customWidth="1"/>
    <col min="15619" max="15619" width="9.85546875" style="1271" bestFit="1" customWidth="1"/>
    <col min="15620" max="15620" width="9" style="1271" customWidth="1"/>
    <col min="15621" max="15621" width="11.7109375" style="1271" customWidth="1"/>
    <col min="15622" max="15622" width="12.42578125" style="1271" customWidth="1"/>
    <col min="15623" max="15623" width="2.85546875" style="1271" customWidth="1"/>
    <col min="15624" max="15624" width="29.85546875" style="1271" customWidth="1"/>
    <col min="15625" max="15625" width="9" style="1271" customWidth="1"/>
    <col min="15626" max="15626" width="10.85546875" style="1271" customWidth="1"/>
    <col min="15627" max="15627" width="8" style="1271" bestFit="1" customWidth="1"/>
    <col min="15628" max="15628" width="9" style="1271" bestFit="1" customWidth="1"/>
    <col min="15629" max="15629" width="11" style="1271" bestFit="1" customWidth="1"/>
    <col min="15630" max="15630" width="12.5703125" style="1271" bestFit="1" customWidth="1"/>
    <col min="15631" max="15631" width="12.140625" style="1271" customWidth="1"/>
    <col min="15632" max="15645" width="2.85546875" style="1271" customWidth="1"/>
    <col min="15646" max="15646" width="22.28515625" style="1271" customWidth="1"/>
    <col min="15647" max="15647" width="9.42578125" style="1271" customWidth="1"/>
    <col min="15648" max="15648" width="8.42578125" style="1271" customWidth="1"/>
    <col min="15649" max="15649" width="9.42578125" style="1271" customWidth="1"/>
    <col min="15650" max="15650" width="7.5703125" style="1271" customWidth="1"/>
    <col min="15651" max="15651" width="7.85546875" style="1271" bestFit="1" customWidth="1"/>
    <col min="15652" max="15652" width="10.28515625" style="1271" bestFit="1" customWidth="1"/>
    <col min="15653" max="15653" width="4.85546875" style="1271" customWidth="1"/>
    <col min="15654" max="15654" width="21.85546875" style="1271" bestFit="1" customWidth="1"/>
    <col min="15655" max="15655" width="8.85546875" style="1271" customWidth="1"/>
    <col min="15656" max="15656" width="7.5703125" style="1271" bestFit="1" customWidth="1"/>
    <col min="15657" max="15657" width="4.5703125" style="1271" customWidth="1"/>
    <col min="15658" max="15869" width="9.42578125" style="1271"/>
    <col min="15870" max="15870" width="2.42578125" style="1271" customWidth="1"/>
    <col min="15871" max="15871" width="29.7109375" style="1271" customWidth="1"/>
    <col min="15872" max="15872" width="9.28515625" style="1271" bestFit="1" customWidth="1"/>
    <col min="15873" max="15873" width="10.28515625" style="1271" customWidth="1"/>
    <col min="15874" max="15874" width="8.140625" style="1271" bestFit="1" customWidth="1"/>
    <col min="15875" max="15875" width="9.85546875" style="1271" bestFit="1" customWidth="1"/>
    <col min="15876" max="15876" width="9" style="1271" customWidth="1"/>
    <col min="15877" max="15877" width="11.7109375" style="1271" customWidth="1"/>
    <col min="15878" max="15878" width="12.42578125" style="1271" customWidth="1"/>
    <col min="15879" max="15879" width="2.85546875" style="1271" customWidth="1"/>
    <col min="15880" max="15880" width="29.85546875" style="1271" customWidth="1"/>
    <col min="15881" max="15881" width="9" style="1271" customWidth="1"/>
    <col min="15882" max="15882" width="10.85546875" style="1271" customWidth="1"/>
    <col min="15883" max="15883" width="8" style="1271" bestFit="1" customWidth="1"/>
    <col min="15884" max="15884" width="9" style="1271" bestFit="1" customWidth="1"/>
    <col min="15885" max="15885" width="11" style="1271" bestFit="1" customWidth="1"/>
    <col min="15886" max="15886" width="12.5703125" style="1271" bestFit="1" customWidth="1"/>
    <col min="15887" max="15887" width="12.140625" style="1271" customWidth="1"/>
    <col min="15888" max="15901" width="2.85546875" style="1271" customWidth="1"/>
    <col min="15902" max="15902" width="22.28515625" style="1271" customWidth="1"/>
    <col min="15903" max="15903" width="9.42578125" style="1271" customWidth="1"/>
    <col min="15904" max="15904" width="8.42578125" style="1271" customWidth="1"/>
    <col min="15905" max="15905" width="9.42578125" style="1271" customWidth="1"/>
    <col min="15906" max="15906" width="7.5703125" style="1271" customWidth="1"/>
    <col min="15907" max="15907" width="7.85546875" style="1271" bestFit="1" customWidth="1"/>
    <col min="15908" max="15908" width="10.28515625" style="1271" bestFit="1" customWidth="1"/>
    <col min="15909" max="15909" width="4.85546875" style="1271" customWidth="1"/>
    <col min="15910" max="15910" width="21.85546875" style="1271" bestFit="1" customWidth="1"/>
    <col min="15911" max="15911" width="8.85546875" style="1271" customWidth="1"/>
    <col min="15912" max="15912" width="7.5703125" style="1271" bestFit="1" customWidth="1"/>
    <col min="15913" max="15913" width="4.5703125" style="1271" customWidth="1"/>
    <col min="15914" max="16125" width="9.42578125" style="1271"/>
    <col min="16126" max="16126" width="2.42578125" style="1271" customWidth="1"/>
    <col min="16127" max="16127" width="29.7109375" style="1271" customWidth="1"/>
    <col min="16128" max="16128" width="9.28515625" style="1271" bestFit="1" customWidth="1"/>
    <col min="16129" max="16129" width="10.28515625" style="1271" customWidth="1"/>
    <col min="16130" max="16130" width="8.140625" style="1271" bestFit="1" customWidth="1"/>
    <col min="16131" max="16131" width="9.85546875" style="1271" bestFit="1" customWidth="1"/>
    <col min="16132" max="16132" width="9" style="1271" customWidth="1"/>
    <col min="16133" max="16133" width="11.7109375" style="1271" customWidth="1"/>
    <col min="16134" max="16134" width="12.42578125" style="1271" customWidth="1"/>
    <col min="16135" max="16135" width="2.85546875" style="1271" customWidth="1"/>
    <col min="16136" max="16136" width="29.85546875" style="1271" customWidth="1"/>
    <col min="16137" max="16137" width="9" style="1271" customWidth="1"/>
    <col min="16138" max="16138" width="10.85546875" style="1271" customWidth="1"/>
    <col min="16139" max="16139" width="8" style="1271" bestFit="1" customWidth="1"/>
    <col min="16140" max="16140" width="9" style="1271" bestFit="1" customWidth="1"/>
    <col min="16141" max="16141" width="11" style="1271" bestFit="1" customWidth="1"/>
    <col min="16142" max="16142" width="12.5703125" style="1271" bestFit="1" customWidth="1"/>
    <col min="16143" max="16143" width="12.140625" style="1271" customWidth="1"/>
    <col min="16144" max="16157" width="2.85546875" style="1271" customWidth="1"/>
    <col min="16158" max="16158" width="22.28515625" style="1271" customWidth="1"/>
    <col min="16159" max="16159" width="9.42578125" style="1271" customWidth="1"/>
    <col min="16160" max="16160" width="8.42578125" style="1271" customWidth="1"/>
    <col min="16161" max="16161" width="9.42578125" style="1271" customWidth="1"/>
    <col min="16162" max="16162" width="7.5703125" style="1271" customWidth="1"/>
    <col min="16163" max="16163" width="7.85546875" style="1271" bestFit="1" customWidth="1"/>
    <col min="16164" max="16164" width="10.28515625" style="1271" bestFit="1" customWidth="1"/>
    <col min="16165" max="16165" width="4.85546875" style="1271" customWidth="1"/>
    <col min="16166" max="16166" width="21.85546875" style="1271" bestFit="1" customWidth="1"/>
    <col min="16167" max="16167" width="8.85546875" style="1271" customWidth="1"/>
    <col min="16168" max="16168" width="7.5703125" style="1271" bestFit="1" customWidth="1"/>
    <col min="16169" max="16169" width="4.5703125" style="1271" customWidth="1"/>
    <col min="16170" max="16384" width="9.42578125" style="1271"/>
  </cols>
  <sheetData>
    <row r="1" spans="1:34" ht="15">
      <c r="B1" s="1285" t="s">
        <v>628</v>
      </c>
      <c r="C1" s="1286"/>
      <c r="D1" s="1286"/>
      <c r="E1" s="1286"/>
      <c r="F1" s="1286"/>
      <c r="G1" s="1286"/>
      <c r="H1" s="1286"/>
      <c r="I1" s="1286"/>
      <c r="J1" s="1286"/>
      <c r="K1" s="1287"/>
      <c r="L1" s="1287"/>
      <c r="M1" s="1287"/>
      <c r="N1" s="1287"/>
      <c r="O1" s="1287"/>
      <c r="P1" s="1287"/>
      <c r="Q1" s="1287"/>
      <c r="R1" s="1287"/>
      <c r="S1" s="1287"/>
      <c r="T1" s="1287"/>
      <c r="U1" s="1287"/>
      <c r="V1" s="1287"/>
      <c r="W1" s="1287"/>
      <c r="X1" s="1287"/>
      <c r="Y1" s="1287"/>
      <c r="Z1" s="1287"/>
      <c r="AD1" s="1273"/>
      <c r="AE1" s="1274"/>
      <c r="AF1" s="1273"/>
      <c r="AG1" s="1271"/>
    </row>
    <row r="2" spans="1:34" s="1275" customFormat="1" ht="15.75" thickBot="1">
      <c r="A2" s="1284"/>
      <c r="B2" s="1288"/>
      <c r="C2" s="1288"/>
      <c r="D2" s="1288"/>
      <c r="E2" s="1288"/>
      <c r="F2" s="1288"/>
      <c r="G2" s="1288"/>
      <c r="H2" s="1288"/>
      <c r="I2" s="1288"/>
      <c r="J2" s="1289"/>
      <c r="K2" s="1288"/>
      <c r="L2" s="1288"/>
      <c r="M2" s="1288"/>
      <c r="N2" s="1288"/>
      <c r="O2" s="1288"/>
      <c r="P2" s="1288"/>
      <c r="Q2" s="1288"/>
      <c r="R2" s="1288"/>
      <c r="S2" s="1288"/>
      <c r="T2" s="1287"/>
      <c r="U2" s="1287"/>
      <c r="V2" s="1287"/>
      <c r="W2" s="1287"/>
      <c r="X2" s="1287"/>
      <c r="Y2" s="1288"/>
      <c r="Z2" s="1288"/>
    </row>
    <row r="3" spans="1:34" ht="15" customHeight="1" thickBot="1">
      <c r="B3" s="3308" t="s">
        <v>628</v>
      </c>
      <c r="C3" s="3309"/>
      <c r="D3" s="3309"/>
      <c r="E3" s="3309"/>
      <c r="F3" s="3309"/>
      <c r="G3" s="3309"/>
      <c r="H3" s="3310"/>
      <c r="I3" s="1752"/>
      <c r="J3" s="1286"/>
      <c r="K3" s="3308" t="s">
        <v>627</v>
      </c>
      <c r="L3" s="3309"/>
      <c r="M3" s="3309"/>
      <c r="N3" s="3309"/>
      <c r="O3" s="3309"/>
      <c r="P3" s="3309"/>
      <c r="Q3" s="3310"/>
      <c r="R3" s="1752"/>
      <c r="S3" s="1290"/>
      <c r="T3" s="1291" t="s">
        <v>378</v>
      </c>
      <c r="U3" s="1292" t="s">
        <v>379</v>
      </c>
      <c r="V3" s="1293" t="s">
        <v>231</v>
      </c>
      <c r="W3" s="1292" t="s">
        <v>379</v>
      </c>
      <c r="X3" s="1293" t="s">
        <v>231</v>
      </c>
      <c r="Y3" s="1286"/>
      <c r="Z3" s="1286"/>
      <c r="AA3" s="1271"/>
      <c r="AB3" s="1271"/>
      <c r="AC3" s="1271"/>
      <c r="AD3" s="1271"/>
      <c r="AE3" s="1271"/>
      <c r="AF3" s="1271"/>
      <c r="AG3" s="1271"/>
    </row>
    <row r="4" spans="1:34" s="1277" customFormat="1" ht="15.75" thickBot="1">
      <c r="B4" s="1294" t="s">
        <v>380</v>
      </c>
      <c r="C4" s="1295">
        <v>5</v>
      </c>
      <c r="D4" s="1295"/>
      <c r="E4" s="1295"/>
      <c r="F4" s="1296" t="s">
        <v>381</v>
      </c>
      <c r="G4" s="1297">
        <v>365</v>
      </c>
      <c r="H4" s="1298">
        <v>1775</v>
      </c>
      <c r="I4" s="1299"/>
      <c r="J4" s="1285"/>
      <c r="K4" s="1294" t="s">
        <v>380</v>
      </c>
      <c r="L4" s="1295">
        <v>5</v>
      </c>
      <c r="M4" s="1295"/>
      <c r="N4" s="1295"/>
      <c r="O4" s="1296" t="s">
        <v>381</v>
      </c>
      <c r="P4" s="1297">
        <v>365</v>
      </c>
      <c r="Q4" s="1298">
        <v>1775</v>
      </c>
      <c r="R4" s="1299"/>
      <c r="S4" s="1299"/>
      <c r="T4" s="1300"/>
      <c r="U4" s="3317" t="s">
        <v>633</v>
      </c>
      <c r="V4" s="3318"/>
      <c r="W4" s="3317" t="s">
        <v>634</v>
      </c>
      <c r="X4" s="3318"/>
      <c r="Y4" s="1285"/>
      <c r="Z4" s="1285"/>
    </row>
    <row r="5" spans="1:34" s="1278" customFormat="1" ht="45">
      <c r="B5" s="1301"/>
      <c r="C5" s="1302" t="s">
        <v>384</v>
      </c>
      <c r="D5" s="1302" t="s">
        <v>385</v>
      </c>
      <c r="E5" s="1302" t="s">
        <v>386</v>
      </c>
      <c r="F5" s="1303" t="s">
        <v>342</v>
      </c>
      <c r="G5" s="1304" t="s">
        <v>190</v>
      </c>
      <c r="H5" s="1305" t="s">
        <v>343</v>
      </c>
      <c r="I5" s="1303"/>
      <c r="J5" s="1306"/>
      <c r="K5" s="1301"/>
      <c r="L5" s="1302" t="s">
        <v>384</v>
      </c>
      <c r="M5" s="1302" t="s">
        <v>385</v>
      </c>
      <c r="N5" s="1302" t="s">
        <v>386</v>
      </c>
      <c r="O5" s="1303" t="s">
        <v>342</v>
      </c>
      <c r="P5" s="1304" t="s">
        <v>190</v>
      </c>
      <c r="Q5" s="1305" t="s">
        <v>343</v>
      </c>
      <c r="R5" s="1303"/>
      <c r="S5" s="1307"/>
      <c r="T5" s="1308" t="s">
        <v>281</v>
      </c>
      <c r="U5" s="1309">
        <v>15</v>
      </c>
      <c r="V5" s="1310">
        <f>U5*8</f>
        <v>120</v>
      </c>
      <c r="W5" s="1309">
        <v>15</v>
      </c>
      <c r="X5" s="1310">
        <f>W5*8</f>
        <v>120</v>
      </c>
      <c r="Y5" s="1306"/>
      <c r="Z5" s="1306"/>
    </row>
    <row r="6" spans="1:34" s="1273" customFormat="1" ht="15">
      <c r="B6" s="1311" t="s">
        <v>388</v>
      </c>
      <c r="C6" s="1312">
        <v>8</v>
      </c>
      <c r="D6" s="1313">
        <v>5</v>
      </c>
      <c r="E6" s="1314"/>
      <c r="F6" s="1315">
        <f>U13</f>
        <v>47306.268678689732</v>
      </c>
      <c r="G6" s="1316">
        <f>(C$4/C6)*(D6/5)</f>
        <v>0.625</v>
      </c>
      <c r="H6" s="1317">
        <f t="shared" ref="H6:H9" si="0">F6*G6</f>
        <v>29566.417924181082</v>
      </c>
      <c r="I6" s="1287"/>
      <c r="J6" s="1318"/>
      <c r="K6" s="1311" t="s">
        <v>388</v>
      </c>
      <c r="L6" s="1312">
        <v>8</v>
      </c>
      <c r="M6" s="1313">
        <v>5</v>
      </c>
      <c r="N6" s="1314"/>
      <c r="O6" s="1315">
        <f>U13</f>
        <v>47306.268678689732</v>
      </c>
      <c r="P6" s="1316">
        <f>(L$4/L6)*(M6/5)</f>
        <v>0.625</v>
      </c>
      <c r="Q6" s="1317">
        <f t="shared" ref="Q6:Q10" si="1">O6*P6</f>
        <v>29566.417924181082</v>
      </c>
      <c r="R6" s="1287"/>
      <c r="S6" s="1287"/>
      <c r="T6" s="1308" t="s">
        <v>382</v>
      </c>
      <c r="U6" s="1309">
        <v>10</v>
      </c>
      <c r="V6" s="1310">
        <f>U6*8</f>
        <v>80</v>
      </c>
      <c r="W6" s="1309">
        <v>10</v>
      </c>
      <c r="X6" s="1310">
        <f>W6*8</f>
        <v>80</v>
      </c>
      <c r="Y6" s="1318"/>
      <c r="Z6" s="1318"/>
    </row>
    <row r="7" spans="1:34" s="1279" customFormat="1" ht="15">
      <c r="B7" s="1311" t="s">
        <v>641</v>
      </c>
      <c r="C7" s="1312">
        <v>2.5</v>
      </c>
      <c r="D7" s="1313">
        <v>7</v>
      </c>
      <c r="E7" s="1314"/>
      <c r="F7" s="1315">
        <f>U16</f>
        <v>31200</v>
      </c>
      <c r="G7" s="1316">
        <v>7</v>
      </c>
      <c r="H7" s="1317">
        <f t="shared" si="0"/>
        <v>218400</v>
      </c>
      <c r="I7" s="1287"/>
      <c r="J7" s="1319"/>
      <c r="K7" s="1311" t="s">
        <v>390</v>
      </c>
      <c r="L7" s="1312">
        <v>5</v>
      </c>
      <c r="M7" s="1313">
        <v>5</v>
      </c>
      <c r="N7" s="1314"/>
      <c r="O7" s="1315">
        <f>U14</f>
        <v>62206.325726904674</v>
      </c>
      <c r="P7" s="1316">
        <f>(L$4/L7)*(M7/5)</f>
        <v>1</v>
      </c>
      <c r="Q7" s="1317">
        <f t="shared" si="1"/>
        <v>62206.325726904674</v>
      </c>
      <c r="R7" s="1287"/>
      <c r="S7" s="1287"/>
      <c r="T7" s="1308" t="s">
        <v>383</v>
      </c>
      <c r="U7" s="1309">
        <v>12</v>
      </c>
      <c r="V7" s="1310">
        <f>U7*8</f>
        <v>96</v>
      </c>
      <c r="W7" s="1309">
        <v>0</v>
      </c>
      <c r="X7" s="1310">
        <f>W7*8</f>
        <v>0</v>
      </c>
      <c r="Y7" s="1319"/>
      <c r="Z7" s="1319"/>
    </row>
    <row r="8" spans="1:34" s="1279" customFormat="1" ht="15">
      <c r="B8" s="1311"/>
      <c r="C8" s="1312"/>
      <c r="D8" s="1313"/>
      <c r="E8" s="1314"/>
      <c r="F8" s="2441"/>
      <c r="G8" s="1316"/>
      <c r="H8" s="2442"/>
      <c r="I8" s="1287"/>
      <c r="J8" s="1319"/>
      <c r="K8" s="1311" t="s">
        <v>641</v>
      </c>
      <c r="L8" s="1312">
        <v>2.5</v>
      </c>
      <c r="M8" s="1313">
        <v>7</v>
      </c>
      <c r="N8" s="1314"/>
      <c r="O8" s="1315">
        <f>U16</f>
        <v>31200</v>
      </c>
      <c r="P8" s="1316">
        <v>7.3</v>
      </c>
      <c r="Q8" s="1317">
        <f t="shared" si="1"/>
        <v>227760</v>
      </c>
      <c r="R8" s="1287"/>
      <c r="S8" s="1287"/>
      <c r="T8" s="1320"/>
      <c r="U8" s="1321"/>
      <c r="V8" s="1322"/>
      <c r="W8" s="1321"/>
      <c r="X8" s="1322"/>
      <c r="Y8" s="1319"/>
      <c r="Z8" s="1319"/>
    </row>
    <row r="9" spans="1:34" s="1279" customFormat="1" ht="17.25" customHeight="1">
      <c r="B9" s="1333" t="s">
        <v>399</v>
      </c>
      <c r="C9" s="1334">
        <v>25</v>
      </c>
      <c r="D9" s="1334">
        <v>5</v>
      </c>
      <c r="E9" s="1335"/>
      <c r="F9" s="1315">
        <f>U15</f>
        <v>33306.070298122926</v>
      </c>
      <c r="G9" s="1316">
        <f>(C$4/C9)*(D9/5)</f>
        <v>0.2</v>
      </c>
      <c r="H9" s="1317">
        <f t="shared" si="0"/>
        <v>6661.2140596245854</v>
      </c>
      <c r="I9" s="1287"/>
      <c r="J9" s="1285"/>
      <c r="K9" s="1311"/>
      <c r="L9" s="1290"/>
      <c r="M9" s="1290"/>
      <c r="N9" s="1729"/>
      <c r="O9" s="2441"/>
      <c r="P9" s="1316"/>
      <c r="Q9" s="2442"/>
      <c r="R9" s="1287"/>
      <c r="S9" s="1287"/>
      <c r="T9" s="1323"/>
      <c r="U9" s="1324" t="s">
        <v>387</v>
      </c>
      <c r="V9" s="1325">
        <f>SUM(V5:V8)</f>
        <v>296</v>
      </c>
      <c r="W9" s="1324" t="s">
        <v>387</v>
      </c>
      <c r="X9" s="1325">
        <f>SUM(X5:X8)</f>
        <v>200</v>
      </c>
      <c r="Y9" s="1319"/>
      <c r="Z9" s="1319"/>
    </row>
    <row r="10" spans="1:34" s="1279" customFormat="1" ht="15.75" thickBot="1">
      <c r="B10" s="1336" t="s">
        <v>194</v>
      </c>
      <c r="C10" s="1337"/>
      <c r="D10" s="1338"/>
      <c r="E10" s="1338"/>
      <c r="F10" s="1339"/>
      <c r="G10" s="1340">
        <f>SUM(G6:G9)</f>
        <v>7.8250000000000002</v>
      </c>
      <c r="H10" s="1341">
        <f>SUM(H6:H9)</f>
        <v>254627.63198380568</v>
      </c>
      <c r="I10" s="1343"/>
      <c r="J10" s="1285"/>
      <c r="K10" s="1333" t="s">
        <v>399</v>
      </c>
      <c r="L10" s="1334">
        <v>25</v>
      </c>
      <c r="M10" s="1334">
        <v>5</v>
      </c>
      <c r="N10" s="1335"/>
      <c r="O10" s="1315">
        <f>U15</f>
        <v>33306.070298122926</v>
      </c>
      <c r="P10" s="1316">
        <f>(L$4/L10)*(M10/5)</f>
        <v>0.2</v>
      </c>
      <c r="Q10" s="1317">
        <f t="shared" si="1"/>
        <v>6661.2140596245854</v>
      </c>
      <c r="R10" s="1287"/>
      <c r="S10" s="1287"/>
      <c r="T10" s="1326"/>
      <c r="U10" s="1327" t="s">
        <v>389</v>
      </c>
      <c r="V10" s="1328">
        <f>V9/(52*40)</f>
        <v>0.1423076923076923</v>
      </c>
      <c r="W10" s="1327" t="s">
        <v>389</v>
      </c>
      <c r="X10" s="1328">
        <f>X9/(52*40)</f>
        <v>9.6153846153846159E-2</v>
      </c>
      <c r="Y10" s="1319"/>
      <c r="Z10" s="1319"/>
    </row>
    <row r="11" spans="1:34" s="1279" customFormat="1" ht="15" customHeight="1" thickBot="1">
      <c r="B11" s="1300"/>
      <c r="C11" s="1290"/>
      <c r="D11" s="1290"/>
      <c r="E11" s="1290"/>
      <c r="F11" s="1343"/>
      <c r="G11" s="1344"/>
      <c r="H11" s="1345"/>
      <c r="I11" s="1290"/>
      <c r="J11" s="1285"/>
      <c r="K11" s="1336" t="s">
        <v>194</v>
      </c>
      <c r="L11" s="1337"/>
      <c r="M11" s="1338"/>
      <c r="N11" s="1338"/>
      <c r="O11" s="1339"/>
      <c r="P11" s="1340">
        <f>SUM(P6:P10)</f>
        <v>9.125</v>
      </c>
      <c r="Q11" s="1341">
        <f>SUM(Q6:Q10)</f>
        <v>326193.95771071035</v>
      </c>
      <c r="R11" s="1287"/>
      <c r="S11" s="1287"/>
      <c r="T11" s="1329"/>
      <c r="U11" s="1330"/>
      <c r="V11" s="1331"/>
      <c r="W11" s="1319"/>
      <c r="X11" s="1319"/>
      <c r="Y11" s="1319"/>
      <c r="Z11" s="1319"/>
    </row>
    <row r="12" spans="1:34" s="1279" customFormat="1" ht="15">
      <c r="B12" s="1346" t="s">
        <v>195</v>
      </c>
      <c r="C12" s="1332"/>
      <c r="D12" s="1332"/>
      <c r="E12" s="1332"/>
      <c r="F12" s="1347"/>
      <c r="G12" s="1348" t="s">
        <v>401</v>
      </c>
      <c r="H12" s="1349"/>
      <c r="I12" s="1347"/>
      <c r="J12" s="1350"/>
      <c r="K12" s="1300"/>
      <c r="L12" s="1290"/>
      <c r="M12" s="1290"/>
      <c r="N12" s="1290"/>
      <c r="O12" s="1343"/>
      <c r="P12" s="1344"/>
      <c r="Q12" s="1351"/>
      <c r="R12" s="1287"/>
      <c r="S12" s="1287"/>
      <c r="T12" s="3313" t="s">
        <v>632</v>
      </c>
      <c r="U12" s="3314"/>
      <c r="V12" s="1730"/>
      <c r="W12" s="1731"/>
      <c r="X12" s="1731"/>
      <c r="Y12" s="1732"/>
      <c r="Z12" s="2591"/>
      <c r="AA12" s="1277"/>
      <c r="AB12" s="1277"/>
    </row>
    <row r="13" spans="1:34" s="1273" customFormat="1" ht="15">
      <c r="B13" s="1352" t="s">
        <v>196</v>
      </c>
      <c r="C13" s="1330"/>
      <c r="D13" s="1330"/>
      <c r="E13" s="1353">
        <f>U18</f>
        <v>0.22</v>
      </c>
      <c r="F13" s="1329"/>
      <c r="G13" s="1354"/>
      <c r="H13" s="1317">
        <f>E13*H10</f>
        <v>56018.079036437251</v>
      </c>
      <c r="I13" s="1287"/>
      <c r="J13" s="1286"/>
      <c r="K13" s="1346" t="s">
        <v>195</v>
      </c>
      <c r="L13" s="1332"/>
      <c r="M13" s="1332"/>
      <c r="N13" s="1332"/>
      <c r="O13" s="1347"/>
      <c r="P13" s="1348" t="s">
        <v>401</v>
      </c>
      <c r="Q13" s="1349"/>
      <c r="R13" s="1287"/>
      <c r="S13" s="1287"/>
      <c r="T13" s="2629" t="s">
        <v>388</v>
      </c>
      <c r="U13" s="2605">
        <v>47306.268678689732</v>
      </c>
      <c r="V13" s="1308" t="s">
        <v>717</v>
      </c>
      <c r="W13" s="1287"/>
      <c r="X13" s="1287"/>
      <c r="Y13" s="1345"/>
      <c r="Z13" s="2592"/>
      <c r="AA13" s="1277"/>
      <c r="AB13" s="1277"/>
      <c r="AC13" s="1277"/>
      <c r="AD13" s="1281"/>
      <c r="AE13" s="1281"/>
      <c r="AF13" s="1281"/>
      <c r="AG13" s="1281"/>
    </row>
    <row r="14" spans="1:34" s="1277" customFormat="1" ht="15">
      <c r="B14" s="1355" t="s">
        <v>198</v>
      </c>
      <c r="C14" s="1356"/>
      <c r="D14" s="1356"/>
      <c r="E14" s="1356"/>
      <c r="F14" s="1357"/>
      <c r="G14" s="1358">
        <f>H14/H4</f>
        <v>175.01166818041855</v>
      </c>
      <c r="H14" s="1359">
        <f>H10+H13</f>
        <v>310645.71102024295</v>
      </c>
      <c r="I14" s="1347"/>
      <c r="J14" s="1286"/>
      <c r="K14" s="1352" t="s">
        <v>196</v>
      </c>
      <c r="L14" s="1330"/>
      <c r="M14" s="1330"/>
      <c r="N14" s="1353">
        <f>U18</f>
        <v>0.22</v>
      </c>
      <c r="O14" s="1329"/>
      <c r="P14" s="1354"/>
      <c r="Q14" s="1317">
        <f>N14*Q11</f>
        <v>71762.670696356276</v>
      </c>
      <c r="R14" s="1287"/>
      <c r="S14" s="1287"/>
      <c r="T14" s="2629" t="s">
        <v>390</v>
      </c>
      <c r="U14" s="2605">
        <v>62206.325726904674</v>
      </c>
      <c r="V14" s="1308" t="s">
        <v>717</v>
      </c>
      <c r="W14" s="1290"/>
      <c r="X14" s="1290"/>
      <c r="Y14" s="1345"/>
      <c r="Z14" s="2592"/>
      <c r="AD14" s="1271"/>
      <c r="AE14" s="1271"/>
      <c r="AF14" s="1271"/>
      <c r="AG14" s="1271"/>
    </row>
    <row r="15" spans="1:34" s="1277" customFormat="1" ht="15">
      <c r="B15" s="1308"/>
      <c r="C15" s="1329"/>
      <c r="D15" s="1329"/>
      <c r="E15" s="1329"/>
      <c r="F15" s="1287"/>
      <c r="G15" s="1360"/>
      <c r="H15" s="1317"/>
      <c r="I15" s="1287"/>
      <c r="J15" s="1286"/>
      <c r="K15" s="1355" t="s">
        <v>198</v>
      </c>
      <c r="L15" s="1356"/>
      <c r="M15" s="1356"/>
      <c r="N15" s="1356"/>
      <c r="O15" s="1357"/>
      <c r="P15" s="1358">
        <f>Q15/Q4</f>
        <v>224.20091741243189</v>
      </c>
      <c r="Q15" s="1359">
        <f>Q11+Q14</f>
        <v>397956.62840706663</v>
      </c>
      <c r="R15" s="1287"/>
      <c r="S15" s="1287"/>
      <c r="T15" s="2629" t="s">
        <v>399</v>
      </c>
      <c r="U15" s="1963">
        <v>33306.070298122926</v>
      </c>
      <c r="V15" s="1352" t="s">
        <v>717</v>
      </c>
      <c r="W15" s="1330"/>
      <c r="X15" s="1330"/>
      <c r="Y15" s="2598"/>
      <c r="Z15" s="2593"/>
      <c r="AA15" s="1281"/>
      <c r="AB15" s="1281"/>
      <c r="AC15" s="1281"/>
      <c r="AD15" s="1271"/>
      <c r="AE15" s="1271"/>
      <c r="AF15" s="1271"/>
      <c r="AG15" s="1271"/>
    </row>
    <row r="16" spans="1:34" s="1277" customFormat="1" ht="15">
      <c r="B16" s="1308" t="s">
        <v>313</v>
      </c>
      <c r="C16" s="1329"/>
      <c r="D16" s="1329"/>
      <c r="E16" s="2607">
        <f>'Master Look Up'!F4</f>
        <v>5155.4902174195804</v>
      </c>
      <c r="F16" s="1287"/>
      <c r="G16" s="1316"/>
      <c r="H16" s="1317">
        <f>E16*G10</f>
        <v>40341.710951308218</v>
      </c>
      <c r="I16" s="1287"/>
      <c r="J16" s="1286"/>
      <c r="K16" s="1308"/>
      <c r="L16" s="1329"/>
      <c r="M16" s="1329"/>
      <c r="N16" s="1329"/>
      <c r="O16" s="1287"/>
      <c r="P16" s="1360"/>
      <c r="Q16" s="1317"/>
      <c r="R16" s="1343"/>
      <c r="S16" s="1343"/>
      <c r="T16" s="2597" t="s">
        <v>641</v>
      </c>
      <c r="U16" s="2605">
        <v>31200</v>
      </c>
      <c r="V16" s="1308" t="s">
        <v>875</v>
      </c>
      <c r="W16" s="1329"/>
      <c r="X16" s="1329"/>
      <c r="Y16" s="1735"/>
      <c r="Z16" s="2594"/>
      <c r="AA16" s="1280"/>
      <c r="AB16" s="1271"/>
      <c r="AC16" s="1271"/>
      <c r="AD16" s="1271"/>
      <c r="AE16" s="1271"/>
      <c r="AF16" s="1271"/>
      <c r="AG16" s="1271"/>
      <c r="AH16" s="1271"/>
    </row>
    <row r="17" spans="2:36" s="1281" customFormat="1" ht="15">
      <c r="B17" s="1308" t="s">
        <v>407</v>
      </c>
      <c r="C17" s="1329"/>
      <c r="D17" s="1329"/>
      <c r="E17" s="2607">
        <f>U20</f>
        <v>1572.2963237683009</v>
      </c>
      <c r="F17" s="1287"/>
      <c r="G17" s="1899"/>
      <c r="H17" s="1362">
        <f>E17*G10</f>
        <v>12303.218733486954</v>
      </c>
      <c r="I17" s="1287"/>
      <c r="J17" s="1286"/>
      <c r="K17" s="1308" t="s">
        <v>313</v>
      </c>
      <c r="L17" s="1329"/>
      <c r="M17" s="1329"/>
      <c r="N17" s="2607">
        <f>U19</f>
        <v>5155.4902174195804</v>
      </c>
      <c r="O17" s="1287"/>
      <c r="Q17" s="1317">
        <f>N17*(P6+P8+P10)</f>
        <v>41888.35801653409</v>
      </c>
      <c r="R17" s="1343"/>
      <c r="S17" s="1343"/>
      <c r="T17" s="3315" t="s">
        <v>240</v>
      </c>
      <c r="U17" s="3316"/>
      <c r="V17" s="3311"/>
      <c r="W17" s="3312"/>
      <c r="X17" s="3312"/>
      <c r="Y17" s="1734"/>
      <c r="Z17" s="2594"/>
      <c r="AA17" s="1280"/>
      <c r="AB17" s="1271"/>
      <c r="AC17" s="1271"/>
      <c r="AD17" s="1271"/>
      <c r="AE17" s="1271"/>
      <c r="AF17" s="1271"/>
      <c r="AG17" s="1271"/>
      <c r="AH17" s="1271"/>
      <c r="AI17" s="1271"/>
      <c r="AJ17" s="1271"/>
    </row>
    <row r="18" spans="2:36" ht="15">
      <c r="B18" s="1308"/>
      <c r="C18" s="1329"/>
      <c r="D18" s="1329"/>
      <c r="E18" s="1329"/>
      <c r="F18" s="1287"/>
      <c r="G18" s="2608"/>
      <c r="H18" s="1351">
        <f>SUM(H16:H17)</f>
        <v>52644.92968479517</v>
      </c>
      <c r="I18" s="1343"/>
      <c r="J18" s="1286"/>
      <c r="K18" s="1308" t="s">
        <v>407</v>
      </c>
      <c r="L18" s="1329"/>
      <c r="M18" s="1329"/>
      <c r="N18" s="2607">
        <f>U20</f>
        <v>1572.2963237683009</v>
      </c>
      <c r="O18" s="1287"/>
      <c r="Q18" s="1362">
        <f>N18*(P6+P8+P10)</f>
        <v>12774.907630617445</v>
      </c>
      <c r="R18" s="1347"/>
      <c r="S18" s="1347"/>
      <c r="T18" s="1308" t="s">
        <v>196</v>
      </c>
      <c r="U18" s="1728">
        <v>0.22</v>
      </c>
      <c r="V18" s="1737" t="s">
        <v>546</v>
      </c>
      <c r="W18" s="1329"/>
      <c r="X18" s="1329"/>
      <c r="Y18" s="1734"/>
      <c r="Z18" s="1329"/>
      <c r="AA18" s="1280"/>
      <c r="AB18" s="1271"/>
      <c r="AC18" s="1271"/>
      <c r="AD18" s="1271"/>
      <c r="AE18" s="1271"/>
      <c r="AF18" s="1271"/>
      <c r="AG18" s="1271"/>
    </row>
    <row r="19" spans="2:36" ht="15">
      <c r="B19" s="1366" t="s">
        <v>408</v>
      </c>
      <c r="C19" s="1367"/>
      <c r="D19" s="1367"/>
      <c r="E19" s="1367"/>
      <c r="F19" s="1339"/>
      <c r="G19" s="1340"/>
      <c r="H19" s="1341">
        <f>H14+H18</f>
        <v>363290.64070503809</v>
      </c>
      <c r="I19" s="1343"/>
      <c r="J19" s="1286"/>
      <c r="K19" s="1308"/>
      <c r="L19" s="1329"/>
      <c r="M19" s="1329"/>
      <c r="N19" s="1329"/>
      <c r="O19" s="1287"/>
      <c r="P19" s="2608"/>
      <c r="Q19" s="1351">
        <f>SUM(Q17:Q18)</f>
        <v>54663.265647151537</v>
      </c>
      <c r="R19" s="1287"/>
      <c r="S19" s="1315"/>
      <c r="T19" s="1308" t="s">
        <v>313</v>
      </c>
      <c r="U19" s="1963">
        <f>'Master Look Up'!F4</f>
        <v>5155.4902174195804</v>
      </c>
      <c r="V19" s="1737" t="s">
        <v>876</v>
      </c>
      <c r="W19" s="1329"/>
      <c r="X19" s="1329"/>
      <c r="Y19" s="1734"/>
      <c r="Z19" s="1329"/>
      <c r="AA19" s="1280"/>
      <c r="AB19" s="1271"/>
      <c r="AC19" s="1271"/>
      <c r="AD19" s="1271"/>
      <c r="AE19" s="1277"/>
      <c r="AF19" s="1271"/>
      <c r="AG19" s="1271"/>
    </row>
    <row r="20" spans="2:36" ht="15">
      <c r="B20" s="1308" t="s">
        <v>315</v>
      </c>
      <c r="C20" s="1329"/>
      <c r="D20" s="1329"/>
      <c r="E20" s="1368">
        <f>U21</f>
        <v>0.11</v>
      </c>
      <c r="F20" s="1290"/>
      <c r="G20" s="1369"/>
      <c r="H20" s="1317">
        <f>E20*H19</f>
        <v>39961.97047755419</v>
      </c>
      <c r="I20" s="1287"/>
      <c r="J20" s="1286"/>
      <c r="K20" s="1366" t="s">
        <v>408</v>
      </c>
      <c r="L20" s="1367"/>
      <c r="M20" s="1367"/>
      <c r="N20" s="1367"/>
      <c r="O20" s="1339"/>
      <c r="P20" s="1340"/>
      <c r="Q20" s="1341">
        <f>Q15+Q19</f>
        <v>452619.8940542182</v>
      </c>
      <c r="R20" s="1347"/>
      <c r="S20" s="1287"/>
      <c r="T20" s="1308" t="s">
        <v>407</v>
      </c>
      <c r="U20" s="1963">
        <f>'Master Look Up'!F18</f>
        <v>1572.2963237683009</v>
      </c>
      <c r="V20" s="1737" t="s">
        <v>876</v>
      </c>
      <c r="W20" s="1329"/>
      <c r="X20" s="1364"/>
      <c r="Y20" s="1738"/>
      <c r="Z20" s="1329"/>
      <c r="AA20" s="1280"/>
      <c r="AB20" s="1271"/>
      <c r="AC20" s="1271"/>
      <c r="AD20" s="1271"/>
      <c r="AE20" s="1282"/>
      <c r="AF20" s="1277"/>
      <c r="AG20" s="1271"/>
    </row>
    <row r="21" spans="2:36" ht="15">
      <c r="B21" s="1742" t="str">
        <f>T22</f>
        <v>PFMLA</v>
      </c>
      <c r="C21" s="1743"/>
      <c r="D21" s="1743"/>
      <c r="E21" s="1744">
        <f>U22</f>
        <v>6.3E-3</v>
      </c>
      <c r="F21" s="1743"/>
      <c r="G21" s="1745"/>
      <c r="H21" s="2557">
        <f>E21*H10</f>
        <v>1604.1540814979758</v>
      </c>
      <c r="I21" s="1749"/>
      <c r="J21" s="1286"/>
      <c r="K21" s="1742" t="str">
        <f>T22</f>
        <v>PFMLA</v>
      </c>
      <c r="L21" s="1743"/>
      <c r="M21" s="1743"/>
      <c r="N21" s="1747">
        <f>U22</f>
        <v>6.3E-3</v>
      </c>
      <c r="O21" s="1748"/>
      <c r="P21" s="1745"/>
      <c r="Q21" s="1746">
        <f>N21*Q11</f>
        <v>2055.0219335774755</v>
      </c>
      <c r="R21" s="1287"/>
      <c r="S21" s="1287"/>
      <c r="T21" s="1967" t="s">
        <v>547</v>
      </c>
      <c r="U21" s="2606">
        <v>0.11</v>
      </c>
      <c r="V21" s="1737" t="s">
        <v>546</v>
      </c>
      <c r="W21" s="1364"/>
      <c r="X21" s="1364"/>
      <c r="Y21" s="1734"/>
      <c r="Z21" s="1290"/>
      <c r="AA21" s="1280"/>
      <c r="AB21" s="1271"/>
      <c r="AC21" s="1271"/>
      <c r="AD21" s="1271"/>
      <c r="AE21" s="1282"/>
      <c r="AF21" s="1277"/>
      <c r="AG21" s="1271"/>
    </row>
    <row r="22" spans="2:36" ht="15.75" thickBot="1">
      <c r="B22" s="1370" t="s">
        <v>203</v>
      </c>
      <c r="C22" s="1371"/>
      <c r="D22" s="1371"/>
      <c r="E22" s="1371"/>
      <c r="F22" s="1372"/>
      <c r="G22" s="1373"/>
      <c r="H22" s="1374">
        <f>SUM(H19:H21)</f>
        <v>404856.76526409027</v>
      </c>
      <c r="I22" s="1343"/>
      <c r="J22" s="1285"/>
      <c r="K22" s="1308" t="s">
        <v>315</v>
      </c>
      <c r="L22" s="1329"/>
      <c r="M22" s="1329"/>
      <c r="N22" s="1368">
        <f>U21</f>
        <v>0.11</v>
      </c>
      <c r="O22" s="1290"/>
      <c r="P22" s="1369"/>
      <c r="Q22" s="1317">
        <f>N22*Q20</f>
        <v>49788.188345964001</v>
      </c>
      <c r="R22" s="1287"/>
      <c r="S22" s="1363"/>
      <c r="T22" s="1742" t="s">
        <v>653</v>
      </c>
      <c r="U22" s="1740">
        <v>6.3E-3</v>
      </c>
      <c r="V22" s="2599" t="s">
        <v>860</v>
      </c>
      <c r="W22" s="1287"/>
      <c r="X22" s="1329"/>
      <c r="Y22" s="1734"/>
      <c r="Z22" s="1365"/>
      <c r="AA22" s="1276"/>
      <c r="AB22" s="1277"/>
      <c r="AC22" s="1277"/>
      <c r="AD22" s="1277"/>
      <c r="AE22" s="1282"/>
      <c r="AF22" s="1282"/>
      <c r="AG22" s="1277"/>
      <c r="AH22" s="1277"/>
      <c r="AI22" s="1277"/>
    </row>
    <row r="23" spans="2:36" ht="16.5" thickTop="1" thickBot="1">
      <c r="B23" s="1346"/>
      <c r="C23" s="1332"/>
      <c r="D23" s="1332"/>
      <c r="E23" s="1332"/>
      <c r="F23" s="1347"/>
      <c r="G23" s="1377"/>
      <c r="H23" s="1349"/>
      <c r="I23" s="1347"/>
      <c r="J23" s="1285"/>
      <c r="K23" s="1370" t="s">
        <v>203</v>
      </c>
      <c r="L23" s="1371"/>
      <c r="M23" s="1371"/>
      <c r="N23" s="1371"/>
      <c r="O23" s="1372"/>
      <c r="P23" s="1373"/>
      <c r="Q23" s="1374">
        <f>SUM(Q20:Q22)</f>
        <v>504463.10433375969</v>
      </c>
      <c r="R23" s="1287"/>
      <c r="S23" s="1287"/>
      <c r="T23" s="2600" t="s">
        <v>716</v>
      </c>
      <c r="U23" s="2601">
        <f>'Spring 2019 CAF'!BU25</f>
        <v>1.8120393120392975E-2</v>
      </c>
      <c r="V23" s="2602" t="s">
        <v>652</v>
      </c>
      <c r="W23" s="1385"/>
      <c r="X23" s="2603"/>
      <c r="Y23" s="2604"/>
      <c r="Z23" s="1329"/>
      <c r="AA23" s="1283"/>
      <c r="AB23" s="1282"/>
      <c r="AC23" s="1282"/>
      <c r="AD23" s="1282"/>
      <c r="AE23" s="1271"/>
      <c r="AF23" s="1271"/>
      <c r="AG23" s="1271"/>
      <c r="AH23" s="1277"/>
      <c r="AI23" s="1277"/>
    </row>
    <row r="24" spans="2:36" ht="15.75" thickTop="1">
      <c r="B24" s="1346"/>
      <c r="C24" s="1332"/>
      <c r="D24" s="1332"/>
      <c r="E24" s="1332"/>
      <c r="F24" s="1347"/>
      <c r="G24" s="1377"/>
      <c r="H24" s="1378"/>
      <c r="I24" s="1391"/>
      <c r="J24" s="1379"/>
      <c r="K24" s="1346"/>
      <c r="L24" s="1332"/>
      <c r="M24" s="1332"/>
      <c r="N24" s="1332"/>
      <c r="O24" s="1347"/>
      <c r="P24" s="1377"/>
      <c r="Q24" s="1349"/>
      <c r="R24" s="1343"/>
      <c r="S24" s="1287"/>
      <c r="T24" s="1330"/>
      <c r="U24" s="2595"/>
      <c r="V24" s="2596"/>
      <c r="W24" s="1375"/>
      <c r="X24" s="1330"/>
      <c r="Y24" s="1364"/>
      <c r="Z24" s="1286"/>
      <c r="AA24" s="1280"/>
      <c r="AB24" s="1271"/>
      <c r="AC24" s="1271"/>
      <c r="AD24" s="1271"/>
      <c r="AE24" s="1271"/>
      <c r="AF24" s="1271"/>
      <c r="AG24" s="1271"/>
      <c r="AH24" s="1282"/>
      <c r="AI24" s="1282"/>
    </row>
    <row r="25" spans="2:36" ht="15">
      <c r="B25" s="1380" t="s">
        <v>318</v>
      </c>
      <c r="C25" s="1381"/>
      <c r="D25" s="1381"/>
      <c r="E25" s="1381"/>
      <c r="F25" s="1381"/>
      <c r="G25" s="1381"/>
      <c r="H25" s="1378">
        <f>H22/H4</f>
        <v>228.08831845864239</v>
      </c>
      <c r="I25" s="1391"/>
      <c r="J25" s="1379"/>
      <c r="K25" s="1380" t="s">
        <v>318</v>
      </c>
      <c r="L25" s="1381"/>
      <c r="M25" s="1381"/>
      <c r="N25" s="1381"/>
      <c r="O25" s="1381"/>
      <c r="P25" s="1381"/>
      <c r="Q25" s="1378">
        <f>Q23/Q4</f>
        <v>284.20456582183647</v>
      </c>
      <c r="R25" s="1343"/>
      <c r="S25" s="1343"/>
      <c r="T25" s="1286"/>
      <c r="U25" s="1286"/>
      <c r="V25" s="1286"/>
      <c r="W25" s="1285"/>
      <c r="X25" s="1285"/>
      <c r="Y25" s="1379"/>
      <c r="Z25" s="1286"/>
      <c r="AA25" s="1271"/>
      <c r="AB25" s="1271"/>
      <c r="AC25" s="1271"/>
      <c r="AD25" s="1271"/>
      <c r="AE25" s="1271"/>
      <c r="AF25" s="1271"/>
      <c r="AG25" s="1271"/>
      <c r="AH25" s="1282"/>
      <c r="AI25" s="1282"/>
      <c r="AJ25" s="1282"/>
    </row>
    <row r="26" spans="2:36" s="1277" customFormat="1" ht="15" customHeight="1" thickBot="1">
      <c r="B26" s="1380" t="s">
        <v>537</v>
      </c>
      <c r="C26" s="1381"/>
      <c r="D26" s="1381"/>
      <c r="E26" s="1361">
        <f>U23</f>
        <v>1.8120393120392975E-2</v>
      </c>
      <c r="F26" s="1329"/>
      <c r="G26" s="1381"/>
      <c r="H26" s="1378">
        <f>H25*(1+E26)</f>
        <v>232.2213684552824</v>
      </c>
      <c r="I26" s="1391"/>
      <c r="J26" s="1286"/>
      <c r="K26" s="1380" t="s">
        <v>537</v>
      </c>
      <c r="L26" s="1381"/>
      <c r="M26" s="1381"/>
      <c r="N26" s="1361">
        <f>U23</f>
        <v>1.8120393120392975E-2</v>
      </c>
      <c r="O26" s="1329"/>
      <c r="P26" s="1381"/>
      <c r="Q26" s="1378">
        <f>Q25*(1+N26)</f>
        <v>289.35446428113875</v>
      </c>
      <c r="R26" s="1748"/>
      <c r="S26" s="1375"/>
      <c r="T26" s="1286"/>
      <c r="U26" s="1286"/>
      <c r="V26" s="1286"/>
      <c r="W26" s="1379"/>
      <c r="X26" s="1379"/>
      <c r="Y26" s="1379"/>
      <c r="Z26" s="1285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</row>
    <row r="27" spans="2:36" s="1277" customFormat="1" ht="15.75" thickBot="1">
      <c r="B27" s="1382" t="s">
        <v>409</v>
      </c>
      <c r="C27" s="1383"/>
      <c r="D27" s="1383"/>
      <c r="E27" s="1384">
        <v>0.85</v>
      </c>
      <c r="F27" s="1385"/>
      <c r="G27" s="1386">
        <f>H$22/(Q$4*E27)</f>
        <v>268.3391981866381</v>
      </c>
      <c r="H27" s="1476">
        <f>H26/E27</f>
        <v>273.20160994739109</v>
      </c>
      <c r="I27" s="1750"/>
      <c r="J27" s="1286"/>
      <c r="K27" s="1382" t="s">
        <v>409</v>
      </c>
      <c r="L27" s="1383"/>
      <c r="M27" s="1383"/>
      <c r="N27" s="1384">
        <v>0.85</v>
      </c>
      <c r="O27" s="1385"/>
      <c r="P27" s="1386"/>
      <c r="Q27" s="1387">
        <f>Q26/N27</f>
        <v>340.41701680133968</v>
      </c>
      <c r="R27" s="1754"/>
      <c r="S27" s="1343"/>
      <c r="T27" s="1286"/>
      <c r="U27" s="1286"/>
      <c r="V27" s="1286"/>
      <c r="W27" s="1379"/>
      <c r="X27" s="1379"/>
      <c r="Y27" s="1286"/>
      <c r="Z27" s="1379"/>
    </row>
    <row r="28" spans="2:36" s="1282" customFormat="1" ht="15.75" thickBot="1">
      <c r="B28" s="1382" t="s">
        <v>409</v>
      </c>
      <c r="C28" s="1383"/>
      <c r="D28" s="1383"/>
      <c r="E28" s="1388">
        <v>0.95</v>
      </c>
      <c r="F28" s="1385"/>
      <c r="G28" s="1386">
        <f>H$22/(Q$4*E28)</f>
        <v>240.09296679857096</v>
      </c>
      <c r="H28" s="1389">
        <f>H26/E28</f>
        <v>244.44354574240253</v>
      </c>
      <c r="I28" s="1529"/>
      <c r="J28" s="1286"/>
      <c r="K28" s="1382" t="s">
        <v>409</v>
      </c>
      <c r="L28" s="1383"/>
      <c r="M28" s="1383"/>
      <c r="N28" s="1388">
        <v>0.95</v>
      </c>
      <c r="O28" s="1385"/>
      <c r="P28" s="1386"/>
      <c r="Q28" s="1389">
        <f>Q26/N28</f>
        <v>304.58364661172499</v>
      </c>
      <c r="R28" s="1529"/>
      <c r="S28" s="1347"/>
      <c r="T28" s="1286"/>
      <c r="U28" s="1286"/>
      <c r="V28" s="1286"/>
      <c r="W28" s="1286"/>
      <c r="X28" s="1286"/>
      <c r="Y28" s="1286"/>
      <c r="Z28" s="1379"/>
    </row>
    <row r="29" spans="2:36" s="1282" customFormat="1" ht="15.75" thickBot="1">
      <c r="B29" s="1381"/>
      <c r="C29" s="1381"/>
      <c r="D29" s="1381"/>
      <c r="E29" s="1390"/>
      <c r="F29" s="1287"/>
      <c r="G29" s="1391"/>
      <c r="H29" s="1391"/>
      <c r="I29" s="1751"/>
      <c r="J29" s="1289"/>
      <c r="K29" s="1381"/>
      <c r="L29" s="1381"/>
      <c r="M29" s="1381"/>
      <c r="N29" s="1390"/>
      <c r="O29" s="1287"/>
      <c r="P29" s="1391"/>
      <c r="Q29" s="1391"/>
      <c r="R29" s="1347"/>
      <c r="S29" s="1365"/>
      <c r="T29" s="1286"/>
      <c r="U29" s="1286"/>
      <c r="V29" s="1286"/>
      <c r="W29" s="1286"/>
      <c r="X29" s="1286"/>
      <c r="Y29" s="1286"/>
      <c r="Z29" s="1286"/>
    </row>
    <row r="30" spans="2:36" ht="15">
      <c r="B30" s="3308" t="s">
        <v>630</v>
      </c>
      <c r="C30" s="3309"/>
      <c r="D30" s="3309"/>
      <c r="E30" s="3309"/>
      <c r="F30" s="3309"/>
      <c r="G30" s="3309"/>
      <c r="H30" s="3310"/>
      <c r="I30" s="1752"/>
      <c r="J30" s="1289"/>
      <c r="K30" s="3308" t="s">
        <v>629</v>
      </c>
      <c r="L30" s="3309"/>
      <c r="M30" s="3309"/>
      <c r="N30" s="3309"/>
      <c r="O30" s="3309"/>
      <c r="P30" s="3309"/>
      <c r="Q30" s="3310"/>
      <c r="R30" s="1391"/>
      <c r="S30" s="1329"/>
      <c r="T30" s="1286"/>
      <c r="U30" s="1286"/>
      <c r="V30" s="1286"/>
      <c r="W30" s="1286"/>
      <c r="X30" s="1286"/>
      <c r="Y30" s="1286"/>
      <c r="Z30" s="1286"/>
      <c r="AA30" s="1271"/>
      <c r="AB30" s="1271"/>
      <c r="AC30" s="1271"/>
      <c r="AD30" s="1271"/>
      <c r="AE30" s="1271"/>
      <c r="AF30" s="1271"/>
      <c r="AG30" s="1271"/>
    </row>
    <row r="31" spans="2:36" ht="15">
      <c r="B31" s="1294" t="s">
        <v>380</v>
      </c>
      <c r="C31" s="1295">
        <v>5</v>
      </c>
      <c r="D31" s="1295"/>
      <c r="E31" s="1295"/>
      <c r="F31" s="1296" t="s">
        <v>381</v>
      </c>
      <c r="G31" s="1297">
        <v>104</v>
      </c>
      <c r="H31" s="1298">
        <f>G31*C31</f>
        <v>520</v>
      </c>
      <c r="I31" s="1753"/>
      <c r="J31" s="1289"/>
      <c r="K31" s="1294" t="s">
        <v>380</v>
      </c>
      <c r="L31" s="1295">
        <v>5</v>
      </c>
      <c r="M31" s="1295"/>
      <c r="N31" s="1295"/>
      <c r="O31" s="1296" t="s">
        <v>381</v>
      </c>
      <c r="P31" s="1297">
        <v>104</v>
      </c>
      <c r="Q31" s="1298">
        <f>P31*L31</f>
        <v>520</v>
      </c>
      <c r="R31" s="1391"/>
      <c r="S31" s="1289"/>
      <c r="Z31" s="1286"/>
      <c r="AA31" s="1271"/>
      <c r="AB31" s="1271"/>
      <c r="AC31" s="1271"/>
      <c r="AD31" s="1271"/>
      <c r="AE31" s="1271"/>
      <c r="AF31" s="1271"/>
      <c r="AG31" s="1271"/>
    </row>
    <row r="32" spans="2:36" ht="45">
      <c r="B32" s="1346"/>
      <c r="C32" s="1302" t="s">
        <v>384</v>
      </c>
      <c r="D32" s="1302" t="s">
        <v>385</v>
      </c>
      <c r="E32" s="1332" t="s">
        <v>386</v>
      </c>
      <c r="F32" s="1347" t="s">
        <v>342</v>
      </c>
      <c r="G32" s="1348" t="s">
        <v>190</v>
      </c>
      <c r="H32" s="1349" t="s">
        <v>343</v>
      </c>
      <c r="I32" s="1347"/>
      <c r="J32" s="1289"/>
      <c r="K32" s="1346"/>
      <c r="L32" s="1302" t="s">
        <v>384</v>
      </c>
      <c r="M32" s="1302" t="s">
        <v>385</v>
      </c>
      <c r="N32" s="1332" t="s">
        <v>386</v>
      </c>
      <c r="O32" s="1347" t="s">
        <v>342</v>
      </c>
      <c r="P32" s="1348" t="s">
        <v>190</v>
      </c>
      <c r="Q32" s="1349" t="s">
        <v>343</v>
      </c>
      <c r="S32" s="1289"/>
      <c r="Z32" s="1286"/>
      <c r="AA32" s="1271"/>
      <c r="AB32" s="1271"/>
      <c r="AC32" s="1271"/>
      <c r="AD32" s="1271"/>
      <c r="AE32" s="1271"/>
      <c r="AF32" s="1271"/>
      <c r="AG32" s="1271"/>
    </row>
    <row r="33" spans="2:33" ht="15">
      <c r="B33" s="1403" t="s">
        <v>388</v>
      </c>
      <c r="C33" s="1404">
        <v>8</v>
      </c>
      <c r="D33" s="1405">
        <v>2</v>
      </c>
      <c r="E33" s="1404"/>
      <c r="F33" s="1315">
        <f>U13</f>
        <v>47306.268678689732</v>
      </c>
      <c r="G33" s="1316">
        <f>(C31/C33)*(2/5)</f>
        <v>0.25</v>
      </c>
      <c r="H33" s="1317">
        <f t="shared" ref="H33:H36" si="2">F33*G33</f>
        <v>11826.567169672433</v>
      </c>
      <c r="I33" s="1287"/>
      <c r="J33" s="1289"/>
      <c r="K33" s="1311" t="s">
        <v>388</v>
      </c>
      <c r="L33" s="1314">
        <v>8</v>
      </c>
      <c r="M33" s="1313">
        <v>2</v>
      </c>
      <c r="N33" s="1314"/>
      <c r="O33" s="1315">
        <f>U13</f>
        <v>47306.268678689732</v>
      </c>
      <c r="P33" s="1316">
        <f>(L31/L33)*(2/5)</f>
        <v>0.25</v>
      </c>
      <c r="Q33" s="1317">
        <f t="shared" ref="Q33:Q36" si="3">O33*P33</f>
        <v>11826.567169672433</v>
      </c>
      <c r="S33" s="1391"/>
      <c r="AA33" s="1271"/>
      <c r="AB33" s="1271"/>
      <c r="AC33" s="1271"/>
      <c r="AD33" s="1271"/>
      <c r="AE33" s="1271"/>
      <c r="AF33" s="1271"/>
      <c r="AG33" s="1271"/>
    </row>
    <row r="34" spans="2:33" ht="15">
      <c r="B34" s="1403" t="s">
        <v>390</v>
      </c>
      <c r="C34" s="1404">
        <v>10</v>
      </c>
      <c r="D34" s="1405">
        <v>2</v>
      </c>
      <c r="E34" s="1404"/>
      <c r="F34" s="1315">
        <f>U14</f>
        <v>62206.325726904674</v>
      </c>
      <c r="G34" s="1316">
        <f>(C31/C34)*(2/5)</f>
        <v>0.2</v>
      </c>
      <c r="H34" s="1317">
        <f t="shared" si="2"/>
        <v>12441.265145380936</v>
      </c>
      <c r="I34" s="1287"/>
      <c r="J34" s="1289"/>
      <c r="K34" s="1311" t="s">
        <v>390</v>
      </c>
      <c r="L34" s="1314">
        <v>10</v>
      </c>
      <c r="M34" s="1313">
        <v>2</v>
      </c>
      <c r="N34" s="1314"/>
      <c r="O34" s="1315">
        <f>U14</f>
        <v>62206.325726904674</v>
      </c>
      <c r="P34" s="1316">
        <f>(L31/L34)*(2/5)</f>
        <v>0.2</v>
      </c>
      <c r="Q34" s="1317">
        <f t="shared" si="3"/>
        <v>12441.265145380936</v>
      </c>
      <c r="R34" s="1751"/>
      <c r="S34" s="1391"/>
      <c r="AA34" s="1271"/>
      <c r="AB34" s="1271"/>
      <c r="AC34" s="1271"/>
      <c r="AD34" s="1271"/>
      <c r="AE34" s="1271"/>
      <c r="AF34" s="1271"/>
      <c r="AG34" s="1271"/>
    </row>
    <row r="35" spans="2:33" ht="15">
      <c r="B35" s="1403" t="s">
        <v>641</v>
      </c>
      <c r="C35" s="1404">
        <v>2.5</v>
      </c>
      <c r="D35" s="1405">
        <v>2</v>
      </c>
      <c r="E35" s="1404"/>
      <c r="F35" s="1315">
        <f>U16</f>
        <v>31200</v>
      </c>
      <c r="G35" s="1316">
        <v>2.63</v>
      </c>
      <c r="H35" s="1317">
        <f t="shared" si="2"/>
        <v>82056</v>
      </c>
      <c r="I35" s="1287"/>
      <c r="J35" s="1289"/>
      <c r="K35" s="1311" t="s">
        <v>641</v>
      </c>
      <c r="L35" s="1314">
        <v>2</v>
      </c>
      <c r="M35" s="1313">
        <v>2</v>
      </c>
      <c r="N35" s="1314"/>
      <c r="O35" s="1315">
        <f>U16</f>
        <v>31200</v>
      </c>
      <c r="P35" s="1316">
        <v>3.69</v>
      </c>
      <c r="Q35" s="1317">
        <f t="shared" si="3"/>
        <v>115128</v>
      </c>
      <c r="R35" s="1752"/>
      <c r="S35" s="1391"/>
      <c r="AA35" s="1271"/>
      <c r="AB35" s="1271"/>
      <c r="AC35" s="1271"/>
      <c r="AD35" s="1271"/>
      <c r="AE35" s="1271"/>
      <c r="AF35" s="1271"/>
      <c r="AG35" s="1271"/>
    </row>
    <row r="36" spans="2:33" ht="15">
      <c r="B36" s="1418" t="s">
        <v>399</v>
      </c>
      <c r="C36" s="1419">
        <v>25</v>
      </c>
      <c r="D36" s="1419">
        <v>2</v>
      </c>
      <c r="E36" s="1419"/>
      <c r="F36" s="1420">
        <f>U15</f>
        <v>33306.070298122926</v>
      </c>
      <c r="G36" s="1421">
        <f>(L31/C36)*(2/5)</f>
        <v>8.0000000000000016E-2</v>
      </c>
      <c r="H36" s="1362">
        <f t="shared" si="2"/>
        <v>2664.4856238498346</v>
      </c>
      <c r="I36" s="1287"/>
      <c r="J36" s="1289"/>
      <c r="K36" s="1333" t="s">
        <v>399</v>
      </c>
      <c r="L36" s="1334">
        <v>25</v>
      </c>
      <c r="M36" s="1422">
        <v>2</v>
      </c>
      <c r="N36" s="1335"/>
      <c r="O36" s="1420">
        <f>U15</f>
        <v>33306.070298122926</v>
      </c>
      <c r="P36" s="1316">
        <f>(L31/L36)*(2/5)</f>
        <v>8.0000000000000016E-2</v>
      </c>
      <c r="Q36" s="1362">
        <f t="shared" si="3"/>
        <v>2664.4856238498346</v>
      </c>
      <c r="R36" s="1287"/>
      <c r="S36" s="1391"/>
      <c r="AA36" s="1271"/>
      <c r="AB36" s="1271"/>
      <c r="AC36" s="1271"/>
      <c r="AD36" s="1271"/>
      <c r="AE36" s="1271"/>
      <c r="AF36" s="1271"/>
      <c r="AG36" s="1271"/>
    </row>
    <row r="37" spans="2:33" ht="15">
      <c r="B37" s="1336" t="s">
        <v>194</v>
      </c>
      <c r="C37" s="1337"/>
      <c r="D37" s="1430"/>
      <c r="E37" s="1338"/>
      <c r="F37" s="1339"/>
      <c r="G37" s="1431">
        <f>SUM(G33:G36)</f>
        <v>3.16</v>
      </c>
      <c r="H37" s="1432">
        <f>SUM(H33:H36)</f>
        <v>108988.3179389032</v>
      </c>
      <c r="I37" s="1347"/>
      <c r="J37" s="1289"/>
      <c r="K37" s="1336" t="s">
        <v>194</v>
      </c>
      <c r="L37" s="1337"/>
      <c r="M37" s="1430"/>
      <c r="N37" s="1338"/>
      <c r="O37" s="1339"/>
      <c r="P37" s="1340">
        <f>SUM(P33:P36)</f>
        <v>4.22</v>
      </c>
      <c r="Q37" s="1432">
        <f>SUM(Q33:Q36)</f>
        <v>142060.31793890323</v>
      </c>
      <c r="R37" s="1287"/>
      <c r="S37" s="1391"/>
      <c r="AA37" s="1271"/>
      <c r="AB37" s="1271"/>
      <c r="AC37" s="1271"/>
      <c r="AD37" s="1271"/>
      <c r="AE37" s="1271"/>
      <c r="AF37" s="1271"/>
      <c r="AG37" s="1271"/>
    </row>
    <row r="38" spans="2:33" ht="15">
      <c r="B38" s="1346"/>
      <c r="C38" s="1302"/>
      <c r="D38" s="1302"/>
      <c r="E38" s="1332"/>
      <c r="F38" s="1347"/>
      <c r="G38" s="1348"/>
      <c r="H38" s="1349"/>
      <c r="I38" s="1347"/>
      <c r="J38" s="1289"/>
      <c r="K38" s="1300"/>
      <c r="L38" s="1290"/>
      <c r="M38" s="1290"/>
      <c r="N38" s="1290"/>
      <c r="O38" s="1343"/>
      <c r="P38" s="1344"/>
      <c r="Q38" s="1349"/>
      <c r="R38" s="1287"/>
      <c r="S38" s="1391"/>
      <c r="AA38" s="1271"/>
      <c r="AB38" s="1271"/>
      <c r="AC38" s="1271"/>
      <c r="AD38" s="1271"/>
      <c r="AE38" s="1271"/>
      <c r="AF38" s="1271"/>
      <c r="AG38" s="1271"/>
    </row>
    <row r="39" spans="2:33" ht="15">
      <c r="B39" s="1346" t="s">
        <v>195</v>
      </c>
      <c r="C39" s="1332"/>
      <c r="D39" s="1332"/>
      <c r="E39" s="1332"/>
      <c r="F39" s="1347"/>
      <c r="G39" s="1348" t="s">
        <v>401</v>
      </c>
      <c r="H39" s="1349"/>
      <c r="I39" s="1347"/>
      <c r="J39" s="1289"/>
      <c r="K39" s="1346" t="s">
        <v>195</v>
      </c>
      <c r="L39" s="1332"/>
      <c r="M39" s="1332"/>
      <c r="N39" s="1332"/>
      <c r="O39" s="1347"/>
      <c r="P39" s="1348" t="s">
        <v>401</v>
      </c>
      <c r="Q39" s="1349"/>
      <c r="R39" s="1287"/>
      <c r="S39" s="1391"/>
      <c r="AA39" s="1271"/>
      <c r="AB39" s="1271"/>
      <c r="AC39" s="1271"/>
      <c r="AD39" s="1271"/>
      <c r="AE39" s="1271"/>
      <c r="AF39" s="1271"/>
      <c r="AG39" s="1271"/>
    </row>
    <row r="40" spans="2:33" ht="15">
      <c r="B40" s="1352" t="s">
        <v>196</v>
      </c>
      <c r="C40" s="1330"/>
      <c r="D40" s="1330"/>
      <c r="E40" s="1353">
        <f>U18</f>
        <v>0.22</v>
      </c>
      <c r="F40" s="1329"/>
      <c r="G40" s="1354"/>
      <c r="H40" s="1317">
        <f>E40*H37</f>
        <v>23977.429946558703</v>
      </c>
      <c r="I40" s="1287"/>
      <c r="J40" s="1289"/>
      <c r="K40" s="1352" t="s">
        <v>196</v>
      </c>
      <c r="L40" s="1330"/>
      <c r="M40" s="1330"/>
      <c r="N40" s="1353">
        <f>U18</f>
        <v>0.22</v>
      </c>
      <c r="O40" s="1329"/>
      <c r="P40" s="1354"/>
      <c r="Q40" s="1317">
        <f>N39:N40*Q37</f>
        <v>31253.26994655871</v>
      </c>
      <c r="R40" s="1287"/>
      <c r="S40" s="1391"/>
      <c r="AA40" s="1271"/>
      <c r="AB40" s="1271"/>
      <c r="AC40" s="1271"/>
      <c r="AD40" s="1271"/>
      <c r="AE40" s="1271"/>
      <c r="AF40" s="1271"/>
      <c r="AG40" s="1271"/>
    </row>
    <row r="41" spans="2:33" ht="15">
      <c r="B41" s="1355" t="s">
        <v>198</v>
      </c>
      <c r="C41" s="1356"/>
      <c r="D41" s="1356"/>
      <c r="E41" s="1356"/>
      <c r="F41" s="1357"/>
      <c r="G41" s="1358">
        <f>H41/H31</f>
        <v>255.70336131819596</v>
      </c>
      <c r="H41" s="1359">
        <f>H37+H40</f>
        <v>132965.7478854619</v>
      </c>
      <c r="I41" s="1347"/>
      <c r="J41" s="1289"/>
      <c r="K41" s="1355" t="s">
        <v>198</v>
      </c>
      <c r="L41" s="1356"/>
      <c r="M41" s="1356"/>
      <c r="N41" s="1356"/>
      <c r="O41" s="1357"/>
      <c r="P41" s="1358">
        <f>Q41/Q31</f>
        <v>333.29536131819606</v>
      </c>
      <c r="Q41" s="1359">
        <f>Q37+Q40</f>
        <v>173313.58788546195</v>
      </c>
      <c r="R41" s="1287"/>
      <c r="S41" s="1391"/>
      <c r="AA41" s="1271"/>
      <c r="AB41" s="1271"/>
      <c r="AC41" s="1271"/>
      <c r="AD41" s="1271"/>
      <c r="AE41" s="1271"/>
      <c r="AF41" s="1271"/>
      <c r="AG41" s="1271"/>
    </row>
    <row r="42" spans="2:33" ht="15">
      <c r="B42" s="1308"/>
      <c r="C42" s="1329"/>
      <c r="D42" s="1329"/>
      <c r="E42" s="1329"/>
      <c r="F42" s="1287"/>
      <c r="G42" s="1360"/>
      <c r="H42" s="1317"/>
      <c r="I42" s="1287"/>
      <c r="J42" s="1289"/>
      <c r="K42" s="1308"/>
      <c r="L42" s="1329"/>
      <c r="M42" s="1329"/>
      <c r="N42" s="1329"/>
      <c r="O42" s="1287"/>
      <c r="P42" s="1360"/>
      <c r="Q42" s="1317"/>
      <c r="R42" s="1347"/>
      <c r="S42" s="1391"/>
      <c r="AA42" s="1271"/>
      <c r="AB42" s="1271"/>
      <c r="AC42" s="1271"/>
      <c r="AD42" s="1271"/>
      <c r="AE42" s="1271"/>
      <c r="AF42" s="1271"/>
      <c r="AG42" s="1271"/>
    </row>
    <row r="43" spans="2:33" ht="15">
      <c r="B43" s="1308" t="s">
        <v>313</v>
      </c>
      <c r="C43" s="1329"/>
      <c r="D43" s="1329"/>
      <c r="E43" s="2607">
        <f>U19</f>
        <v>5155.4902174195804</v>
      </c>
      <c r="F43" s="1287"/>
      <c r="H43" s="1317">
        <f>E43*G37</f>
        <v>16291.349087045875</v>
      </c>
      <c r="I43" s="1287"/>
      <c r="J43" s="1289"/>
      <c r="K43" s="1308" t="s">
        <v>313</v>
      </c>
      <c r="L43" s="1329"/>
      <c r="M43" s="1329"/>
      <c r="N43" s="2607">
        <f>U19</f>
        <v>5155.4902174195804</v>
      </c>
      <c r="O43" s="1287"/>
      <c r="Q43" s="1317">
        <f>N43*P37</f>
        <v>21756.168717510627</v>
      </c>
      <c r="R43" s="1347"/>
      <c r="S43" s="1391"/>
      <c r="AA43" s="1271"/>
      <c r="AB43" s="1271"/>
      <c r="AC43" s="1271"/>
      <c r="AD43" s="1271"/>
      <c r="AE43" s="1271"/>
      <c r="AF43" s="1271"/>
      <c r="AG43" s="1271"/>
    </row>
    <row r="44" spans="2:33" ht="15">
      <c r="B44" s="1308" t="s">
        <v>407</v>
      </c>
      <c r="C44" s="1329"/>
      <c r="D44" s="1329"/>
      <c r="E44" s="2607">
        <f>U20</f>
        <v>1572.2963237683009</v>
      </c>
      <c r="F44" s="1287"/>
      <c r="G44" s="1280"/>
      <c r="H44" s="1362">
        <f>E44*G37</f>
        <v>4968.4563831078312</v>
      </c>
      <c r="I44" s="1287"/>
      <c r="J44" s="1289"/>
      <c r="K44" s="1308" t="s">
        <v>407</v>
      </c>
      <c r="L44" s="1329"/>
      <c r="M44" s="1329"/>
      <c r="N44" s="2607">
        <f>U20</f>
        <v>1572.2963237683009</v>
      </c>
      <c r="O44" s="1287"/>
      <c r="Q44" s="1362">
        <f>N44*P37</f>
        <v>6635.0904863022297</v>
      </c>
      <c r="R44" s="1347"/>
      <c r="S44" s="1391"/>
      <c r="AA44" s="1271"/>
      <c r="AB44" s="1271"/>
      <c r="AC44" s="1271"/>
      <c r="AD44" s="1271"/>
      <c r="AE44" s="1271"/>
      <c r="AF44" s="1271"/>
      <c r="AG44" s="1271"/>
    </row>
    <row r="45" spans="2:33" ht="15">
      <c r="B45" s="1308"/>
      <c r="C45" s="1329"/>
      <c r="D45" s="1329"/>
      <c r="E45" s="1329"/>
      <c r="F45" s="1287"/>
      <c r="G45" s="2608"/>
      <c r="H45" s="1351">
        <f>SUM(H43:H44)</f>
        <v>21259.805470153708</v>
      </c>
      <c r="I45" s="1343"/>
      <c r="J45" s="1289"/>
      <c r="K45" s="1308"/>
      <c r="L45" s="1329"/>
      <c r="M45" s="1329"/>
      <c r="N45" s="1329"/>
      <c r="O45" s="1287"/>
      <c r="P45" s="2608"/>
      <c r="Q45" s="1351">
        <f>SUM(Q43:Q44)</f>
        <v>28391.259203812857</v>
      </c>
      <c r="R45" s="1287"/>
      <c r="S45" s="1391"/>
      <c r="AA45" s="1271"/>
      <c r="AB45" s="1271"/>
      <c r="AC45" s="1271"/>
      <c r="AD45" s="1271"/>
      <c r="AE45" s="1271"/>
      <c r="AF45" s="1271"/>
      <c r="AG45" s="1271"/>
    </row>
    <row r="46" spans="2:33" ht="15">
      <c r="B46" s="1366" t="s">
        <v>408</v>
      </c>
      <c r="C46" s="1367"/>
      <c r="D46" s="1367"/>
      <c r="E46" s="1367"/>
      <c r="F46" s="1339"/>
      <c r="G46" s="1340"/>
      <c r="H46" s="1341">
        <f>H41+H45</f>
        <v>154225.55335561562</v>
      </c>
      <c r="I46" s="1343"/>
      <c r="J46" s="1289"/>
      <c r="K46" s="1366" t="s">
        <v>408</v>
      </c>
      <c r="L46" s="1367"/>
      <c r="M46" s="1367"/>
      <c r="N46" s="1367"/>
      <c r="O46" s="1339"/>
      <c r="P46" s="1340"/>
      <c r="Q46" s="1341">
        <f>Q41+Q45</f>
        <v>201704.84708927482</v>
      </c>
      <c r="R46" s="1347"/>
      <c r="S46" s="1391"/>
      <c r="AA46" s="1271"/>
      <c r="AB46" s="1271"/>
      <c r="AC46" s="1271"/>
      <c r="AD46" s="1271"/>
      <c r="AE46" s="1271"/>
      <c r="AF46" s="1271"/>
      <c r="AG46" s="1271"/>
    </row>
    <row r="47" spans="2:33" ht="15">
      <c r="B47" s="1308" t="s">
        <v>315</v>
      </c>
      <c r="C47" s="1329"/>
      <c r="D47" s="1329"/>
      <c r="E47" s="1368">
        <f>U21</f>
        <v>0.11</v>
      </c>
      <c r="F47" s="1290"/>
      <c r="G47" s="1369"/>
      <c r="H47" s="1317">
        <f>E47*H46</f>
        <v>16964.810869117719</v>
      </c>
      <c r="I47" s="1287"/>
      <c r="J47" s="1289"/>
      <c r="K47" s="1308" t="s">
        <v>315</v>
      </c>
      <c r="L47" s="1329"/>
      <c r="M47" s="1329"/>
      <c r="N47" s="1368">
        <f>U21</f>
        <v>0.11</v>
      </c>
      <c r="O47" s="1290"/>
      <c r="P47" s="1369"/>
      <c r="Q47" s="1317">
        <f>N47*Q46</f>
        <v>22187.533179820231</v>
      </c>
      <c r="R47" s="1287"/>
      <c r="S47" s="1391"/>
      <c r="AA47" s="1271"/>
      <c r="AB47" s="1271"/>
      <c r="AC47" s="1271"/>
      <c r="AD47" s="1271"/>
      <c r="AE47" s="1271"/>
      <c r="AF47" s="1271"/>
      <c r="AG47" s="1271"/>
    </row>
    <row r="48" spans="2:33" ht="15">
      <c r="B48" s="1742" t="str">
        <f>T22</f>
        <v>PFMLA</v>
      </c>
      <c r="C48" s="1743"/>
      <c r="D48" s="1743"/>
      <c r="E48" s="1744">
        <f>U22</f>
        <v>6.3E-3</v>
      </c>
      <c r="F48" s="1743"/>
      <c r="G48" s="1745"/>
      <c r="H48" s="1746">
        <f>E48*H37</f>
        <v>686.6264030150902</v>
      </c>
      <c r="I48" s="1748"/>
      <c r="J48" s="1289"/>
      <c r="K48" s="1742" t="str">
        <f>T22</f>
        <v>PFMLA</v>
      </c>
      <c r="L48" s="1743"/>
      <c r="M48" s="1743"/>
      <c r="N48" s="1744">
        <f>U22</f>
        <v>6.3E-3</v>
      </c>
      <c r="O48" s="1743"/>
      <c r="P48" s="1745"/>
      <c r="Q48" s="1746">
        <f>N48*Q37</f>
        <v>894.98000301509035</v>
      </c>
      <c r="R48" s="1287"/>
      <c r="S48" s="1391"/>
      <c r="AA48" s="1271"/>
      <c r="AB48" s="1271"/>
      <c r="AC48" s="1271"/>
      <c r="AD48" s="1271"/>
      <c r="AE48" s="1271"/>
      <c r="AF48" s="1271"/>
      <c r="AG48" s="1271"/>
    </row>
    <row r="49" spans="1:43" ht="15.75" thickBot="1">
      <c r="B49" s="1370" t="s">
        <v>203</v>
      </c>
      <c r="C49" s="1371"/>
      <c r="D49" s="1371"/>
      <c r="E49" s="1371"/>
      <c r="F49" s="1372"/>
      <c r="G49" s="1373"/>
      <c r="H49" s="1374">
        <v>174289</v>
      </c>
      <c r="I49" s="1343"/>
      <c r="J49" s="1289"/>
      <c r="K49" s="1370" t="s">
        <v>203</v>
      </c>
      <c r="L49" s="1371"/>
      <c r="M49" s="1371"/>
      <c r="N49" s="1371"/>
      <c r="O49" s="1372"/>
      <c r="P49" s="1373"/>
      <c r="Q49" s="1374">
        <f>Q46+Q47</f>
        <v>223892.38026909504</v>
      </c>
      <c r="R49" s="1287"/>
      <c r="S49" s="1391"/>
      <c r="AA49" s="1271"/>
      <c r="AB49" s="1271"/>
      <c r="AC49" s="1271"/>
      <c r="AD49" s="1271"/>
      <c r="AE49" s="1271"/>
      <c r="AF49" s="1271"/>
      <c r="AG49" s="1271"/>
    </row>
    <row r="50" spans="1:43" ht="15.75" thickTop="1">
      <c r="B50" s="1346"/>
      <c r="C50" s="1332"/>
      <c r="D50" s="1332"/>
      <c r="E50" s="1332"/>
      <c r="F50" s="1347"/>
      <c r="G50" s="1377"/>
      <c r="H50" s="1351"/>
      <c r="I50" s="1343"/>
      <c r="J50" s="1289"/>
      <c r="K50" s="1346"/>
      <c r="L50" s="1332"/>
      <c r="M50" s="1332"/>
      <c r="N50" s="1332"/>
      <c r="O50" s="1347"/>
      <c r="P50" s="1377"/>
      <c r="Q50" s="1351"/>
      <c r="R50" s="1343"/>
      <c r="S50" s="1391"/>
      <c r="AA50" s="1271"/>
      <c r="AB50" s="1271"/>
      <c r="AC50" s="1271"/>
      <c r="AD50" s="1271"/>
      <c r="AE50" s="1271"/>
      <c r="AF50" s="1271"/>
      <c r="AG50" s="1271"/>
    </row>
    <row r="51" spans="1:43" ht="15">
      <c r="B51" s="1380" t="s">
        <v>318</v>
      </c>
      <c r="C51" s="1381"/>
      <c r="D51" s="1381"/>
      <c r="E51" s="1381"/>
      <c r="F51" s="1381"/>
      <c r="G51" s="1381"/>
      <c r="H51" s="1378">
        <f>H49/H31</f>
        <v>335.17115384615386</v>
      </c>
      <c r="I51" s="1391"/>
      <c r="J51" s="1289"/>
      <c r="K51" s="1380" t="s">
        <v>318</v>
      </c>
      <c r="L51" s="1381"/>
      <c r="M51" s="1381"/>
      <c r="N51" s="1381"/>
      <c r="O51" s="1381"/>
      <c r="P51" s="1381"/>
      <c r="Q51" s="1378">
        <f>Q49/Q31</f>
        <v>430.56226974825967</v>
      </c>
      <c r="R51" s="1343"/>
      <c r="S51" s="1391"/>
      <c r="AA51" s="1271"/>
      <c r="AB51" s="1271"/>
      <c r="AC51" s="1271"/>
      <c r="AD51" s="1271"/>
      <c r="AE51" s="1271"/>
      <c r="AF51" s="1271"/>
      <c r="AG51" s="1271"/>
    </row>
    <row r="52" spans="1:43" ht="15.75" thickBot="1">
      <c r="B52" s="1380" t="s">
        <v>205</v>
      </c>
      <c r="C52" s="1381"/>
      <c r="D52" s="1381"/>
      <c r="E52" s="1361">
        <f>U23</f>
        <v>1.8120393120392975E-2</v>
      </c>
      <c r="F52" s="1329"/>
      <c r="G52" s="1381"/>
      <c r="H52" s="1378">
        <f>H51*(1+E52)</f>
        <v>341.24458691646191</v>
      </c>
      <c r="I52" s="1391"/>
      <c r="J52" s="1289"/>
      <c r="K52" s="1380" t="s">
        <v>205</v>
      </c>
      <c r="L52" s="1381"/>
      <c r="M52" s="1381"/>
      <c r="N52" s="1361">
        <f>U23</f>
        <v>1.8120393120392975E-2</v>
      </c>
      <c r="O52" s="1329"/>
      <c r="P52" s="1381"/>
      <c r="Q52" s="1378">
        <f>Q51*(1+N52)</f>
        <v>438.36422733890686</v>
      </c>
      <c r="R52" s="1271"/>
      <c r="S52" s="1391"/>
      <c r="AA52" s="1271"/>
      <c r="AB52" s="1271"/>
      <c r="AC52" s="1271"/>
      <c r="AD52" s="1271"/>
      <c r="AE52" s="1271"/>
      <c r="AF52" s="1271"/>
      <c r="AG52" s="1271"/>
    </row>
    <row r="53" spans="1:43" ht="15.75" thickBot="1">
      <c r="B53" s="1382" t="s">
        <v>409</v>
      </c>
      <c r="C53" s="1383"/>
      <c r="D53" s="1383"/>
      <c r="E53" s="1384">
        <v>0.85</v>
      </c>
      <c r="F53" s="1385"/>
      <c r="G53" s="1386"/>
      <c r="H53" s="1387">
        <f>H52/E53</f>
        <v>401.4642199017199</v>
      </c>
      <c r="I53" s="1754"/>
      <c r="J53" s="1289"/>
      <c r="K53" s="1382" t="s">
        <v>409</v>
      </c>
      <c r="L53" s="1383"/>
      <c r="M53" s="1383"/>
      <c r="N53" s="1384">
        <v>0.85</v>
      </c>
      <c r="O53" s="1385"/>
      <c r="P53" s="1386"/>
      <c r="Q53" s="1387">
        <f>Q52/N53</f>
        <v>515.72262039871396</v>
      </c>
      <c r="R53" s="1754"/>
      <c r="S53" s="1391"/>
      <c r="AA53" s="1271"/>
      <c r="AB53" s="1271"/>
      <c r="AC53" s="1271"/>
      <c r="AD53" s="1271"/>
      <c r="AE53" s="1271"/>
      <c r="AF53" s="1271"/>
      <c r="AG53" s="1271"/>
    </row>
    <row r="54" spans="1:43" ht="15">
      <c r="B54" s="1468" t="s">
        <v>409</v>
      </c>
      <c r="C54" s="1469"/>
      <c r="D54" s="1469"/>
      <c r="E54" s="1470">
        <v>0.95</v>
      </c>
      <c r="F54" s="1471"/>
      <c r="G54" s="1472"/>
      <c r="H54" s="1473">
        <f>H52/E54</f>
        <v>359.2048283331178</v>
      </c>
      <c r="I54" s="1529"/>
      <c r="J54" s="1289"/>
      <c r="K54" s="1468" t="s">
        <v>409</v>
      </c>
      <c r="L54" s="1469"/>
      <c r="M54" s="1469"/>
      <c r="N54" s="1470">
        <v>0.95</v>
      </c>
      <c r="O54" s="1471"/>
      <c r="P54" s="1472"/>
      <c r="Q54" s="1473">
        <f>Q52/N54</f>
        <v>461.43602877779671</v>
      </c>
      <c r="R54" s="1529"/>
      <c r="S54" s="1391"/>
      <c r="AA54" s="1271"/>
      <c r="AB54" s="1271"/>
      <c r="AC54" s="1271"/>
      <c r="AD54" s="1271"/>
      <c r="AE54" s="1271"/>
      <c r="AF54" s="1271"/>
      <c r="AG54" s="1271"/>
    </row>
    <row r="55" spans="1:43" ht="15.75" thickBot="1">
      <c r="B55" s="1380" t="s">
        <v>447</v>
      </c>
      <c r="C55" s="1381"/>
      <c r="D55" s="1381"/>
      <c r="E55" s="1390"/>
      <c r="F55" s="1287"/>
      <c r="G55" s="1391"/>
      <c r="H55" s="1378">
        <f>H53/8+0.01</f>
        <v>50.193027487714986</v>
      </c>
      <c r="I55" s="1751"/>
      <c r="J55" s="1289"/>
      <c r="K55" s="1380" t="s">
        <v>447</v>
      </c>
      <c r="L55" s="1381"/>
      <c r="M55" s="1381"/>
      <c r="N55" s="1390"/>
      <c r="O55" s="1287"/>
      <c r="P55" s="1391"/>
      <c r="Q55" s="1378">
        <f>Q53/8+0.01</f>
        <v>64.47532754983925</v>
      </c>
      <c r="R55" s="1751"/>
      <c r="S55" s="1391"/>
      <c r="T55" s="1286"/>
      <c r="U55" s="1286"/>
      <c r="V55" s="1286"/>
      <c r="W55" s="1286"/>
      <c r="X55" s="1286"/>
      <c r="Y55" s="1286"/>
      <c r="AA55" s="1271"/>
      <c r="AB55" s="1271"/>
      <c r="AC55" s="1271"/>
      <c r="AD55" s="1271"/>
      <c r="AE55" s="1271"/>
      <c r="AF55" s="1271"/>
      <c r="AG55" s="1271"/>
    </row>
    <row r="56" spans="1:43" ht="15.75" thickBot="1">
      <c r="B56" s="1382" t="s">
        <v>631</v>
      </c>
      <c r="C56" s="1383"/>
      <c r="D56" s="1383"/>
      <c r="E56" s="1388"/>
      <c r="F56" s="1385"/>
      <c r="G56" s="1386"/>
      <c r="H56" s="1387">
        <f>H55/2</f>
        <v>25.096513743857493</v>
      </c>
      <c r="I56" s="1754"/>
      <c r="J56" s="1289"/>
      <c r="K56" s="1382" t="s">
        <v>631</v>
      </c>
      <c r="L56" s="1383"/>
      <c r="M56" s="1383"/>
      <c r="N56" s="1388"/>
      <c r="O56" s="1385"/>
      <c r="P56" s="1386"/>
      <c r="Q56" s="1387">
        <f>Q55*0.5</f>
        <v>32.237663774919625</v>
      </c>
      <c r="R56" s="1754"/>
      <c r="S56" s="1391"/>
      <c r="T56" s="1286"/>
      <c r="U56" s="1286"/>
      <c r="V56" s="1286"/>
      <c r="W56" s="1286"/>
      <c r="X56" s="1286"/>
      <c r="Y56" s="1286"/>
      <c r="AA56" s="1271"/>
      <c r="AB56" s="1271"/>
      <c r="AC56" s="1271"/>
      <c r="AD56" s="1271"/>
      <c r="AE56" s="1271"/>
      <c r="AF56" s="1271"/>
      <c r="AG56" s="1271"/>
    </row>
    <row r="57" spans="1:43" ht="15">
      <c r="B57" s="1381"/>
      <c r="C57" s="1381"/>
      <c r="D57" s="1381"/>
      <c r="E57" s="1390"/>
      <c r="F57" s="1287"/>
      <c r="G57" s="1391"/>
      <c r="H57" s="1391"/>
      <c r="I57" s="1529"/>
      <c r="J57" s="1289"/>
      <c r="K57" s="1381"/>
      <c r="L57" s="1381"/>
      <c r="M57" s="1381"/>
      <c r="N57" s="1390"/>
      <c r="O57" s="1287"/>
      <c r="P57" s="1287"/>
      <c r="Q57" s="1391"/>
      <c r="R57" s="821"/>
      <c r="S57" s="1391"/>
      <c r="T57" s="1286"/>
      <c r="U57" s="1286"/>
      <c r="V57" s="1286"/>
      <c r="W57" s="1286"/>
      <c r="X57" s="1286"/>
      <c r="Y57" s="1286"/>
      <c r="Z57" s="1286"/>
      <c r="AA57" s="1271"/>
      <c r="AB57" s="1271"/>
      <c r="AC57" s="1271"/>
      <c r="AD57" s="1271"/>
      <c r="AE57" s="1271"/>
      <c r="AF57" s="1271"/>
      <c r="AG57" s="1271"/>
    </row>
    <row r="58" spans="1:43" ht="15">
      <c r="B58" s="1381"/>
      <c r="C58" s="1381"/>
      <c r="D58" s="1381"/>
      <c r="E58" s="1390"/>
      <c r="F58" s="1287"/>
      <c r="G58" s="1391"/>
      <c r="H58" s="1391"/>
      <c r="I58" s="1391"/>
      <c r="J58" s="1289"/>
      <c r="K58" s="1381"/>
      <c r="L58" s="1381"/>
      <c r="M58" s="1381"/>
      <c r="N58" s="1390"/>
      <c r="O58" s="1287"/>
      <c r="P58" s="1287"/>
      <c r="Q58" s="1391"/>
      <c r="R58" s="1271"/>
      <c r="S58" s="1391"/>
      <c r="T58" s="1287"/>
      <c r="U58" s="1318"/>
      <c r="V58" s="1376"/>
      <c r="W58" s="1318"/>
      <c r="X58" s="1286"/>
      <c r="Y58" s="1286"/>
      <c r="Z58" s="1286"/>
      <c r="AA58" s="1271"/>
      <c r="AB58" s="1271"/>
      <c r="AC58" s="1271"/>
      <c r="AD58" s="1271"/>
      <c r="AE58" s="1271"/>
      <c r="AF58" s="1271"/>
      <c r="AG58" s="1271"/>
    </row>
    <row r="59" spans="1:43" ht="15">
      <c r="B59" s="1381"/>
      <c r="C59" s="1381"/>
      <c r="D59" s="1381"/>
      <c r="E59" s="1390"/>
      <c r="F59" s="1287"/>
      <c r="G59" s="1391"/>
      <c r="H59" s="1391"/>
      <c r="I59" s="1391"/>
      <c r="J59" s="1289"/>
      <c r="K59" s="1391"/>
      <c r="L59" s="1391"/>
      <c r="M59" s="1391"/>
      <c r="N59" s="1391"/>
      <c r="O59" s="1391"/>
      <c r="P59" s="1391"/>
      <c r="Q59" s="1391"/>
      <c r="R59" s="1271"/>
      <c r="S59" s="1391"/>
      <c r="T59" s="1287"/>
      <c r="U59" s="1318"/>
      <c r="V59" s="1376"/>
      <c r="W59" s="1318"/>
      <c r="X59" s="1286"/>
      <c r="Y59" s="1286"/>
      <c r="Z59" s="1286"/>
      <c r="AA59" s="1271"/>
      <c r="AB59" s="1271"/>
      <c r="AC59" s="1271"/>
      <c r="AD59" s="1271"/>
      <c r="AE59" s="1271"/>
      <c r="AF59" s="1271"/>
      <c r="AG59" s="1271"/>
    </row>
    <row r="60" spans="1:43" ht="15">
      <c r="B60" s="1286"/>
      <c r="C60" s="1286"/>
      <c r="D60" s="1286"/>
      <c r="E60" s="1286"/>
      <c r="F60" s="1286"/>
      <c r="G60" s="1286"/>
      <c r="H60" s="1286"/>
      <c r="I60" s="1286"/>
      <c r="J60" s="1289"/>
      <c r="K60" s="1391"/>
      <c r="L60" s="1391"/>
      <c r="M60" s="1391"/>
      <c r="N60" s="1391"/>
      <c r="O60" s="1391"/>
      <c r="P60" s="1391"/>
      <c r="Q60" s="1391"/>
      <c r="R60" s="1271"/>
      <c r="S60" s="1391"/>
      <c r="T60" s="1287"/>
      <c r="U60" s="1318"/>
      <c r="V60" s="1376"/>
      <c r="W60" s="1318"/>
      <c r="X60" s="1286"/>
      <c r="Y60" s="1286"/>
      <c r="Z60" s="1286"/>
      <c r="AA60" s="1271"/>
      <c r="AB60" s="1271"/>
      <c r="AC60" s="1271"/>
      <c r="AD60" s="1271"/>
      <c r="AE60" s="1271"/>
      <c r="AF60" s="1271"/>
      <c r="AG60" s="1271"/>
    </row>
    <row r="61" spans="1:43" ht="15">
      <c r="R61" s="1271"/>
      <c r="S61" s="1391"/>
      <c r="Z61" s="1286"/>
      <c r="AA61" s="1271"/>
      <c r="AB61" s="1271"/>
      <c r="AC61" s="1271"/>
      <c r="AD61" s="1271"/>
      <c r="AE61" s="1271"/>
      <c r="AF61" s="1271"/>
      <c r="AG61" s="1271"/>
    </row>
    <row r="62" spans="1:43" ht="15">
      <c r="R62" s="1271"/>
      <c r="S62" s="1391"/>
      <c r="Z62" s="1286"/>
      <c r="AA62" s="1271"/>
      <c r="AB62" s="1271"/>
      <c r="AC62" s="1271"/>
      <c r="AD62" s="1271"/>
      <c r="AE62" s="1271"/>
      <c r="AF62" s="1271"/>
      <c r="AG62" s="1271"/>
    </row>
    <row r="63" spans="1:43" ht="15">
      <c r="R63" s="1391"/>
      <c r="S63" s="1391"/>
      <c r="AA63" s="1271"/>
      <c r="AB63" s="1271"/>
      <c r="AC63" s="1271"/>
      <c r="AD63" s="1271"/>
      <c r="AE63" s="1277"/>
      <c r="AF63" s="1277"/>
      <c r="AG63" s="1277"/>
    </row>
    <row r="64" spans="1:43" s="1272" customFormat="1" ht="15">
      <c r="A64" s="1271"/>
      <c r="B64" s="1271"/>
      <c r="C64" s="1271"/>
      <c r="D64" s="1271"/>
      <c r="E64" s="1271"/>
      <c r="F64" s="1271"/>
      <c r="G64" s="1271"/>
      <c r="H64" s="1271"/>
      <c r="I64" s="1271"/>
      <c r="J64" s="1271"/>
      <c r="R64" s="1391"/>
      <c r="AE64" s="1273"/>
      <c r="AF64" s="1274"/>
      <c r="AG64" s="1273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</row>
    <row r="65" spans="1:43" s="1272" customFormat="1" ht="15">
      <c r="A65" s="1271"/>
      <c r="B65" s="1271"/>
      <c r="C65" s="1271"/>
      <c r="D65" s="1271"/>
      <c r="E65" s="1271"/>
      <c r="F65" s="1271"/>
      <c r="G65" s="1271"/>
      <c r="H65" s="1271"/>
      <c r="I65" s="1271"/>
      <c r="J65" s="1271"/>
      <c r="R65" s="1391"/>
      <c r="AE65" s="1273"/>
      <c r="AF65" s="1274"/>
      <c r="AG65" s="1273"/>
      <c r="AH65" s="1271"/>
      <c r="AI65" s="1271"/>
      <c r="AJ65" s="1271"/>
      <c r="AK65" s="1271"/>
      <c r="AL65" s="1271"/>
      <c r="AM65" s="1271"/>
      <c r="AN65" s="1271"/>
      <c r="AO65" s="1271"/>
      <c r="AP65" s="1271"/>
      <c r="AQ65" s="1271"/>
    </row>
    <row r="66" spans="1:43" s="1272" customFormat="1">
      <c r="A66" s="1271"/>
      <c r="B66" s="1271"/>
      <c r="C66" s="1271"/>
      <c r="D66" s="1271"/>
      <c r="E66" s="1271"/>
      <c r="F66" s="1271"/>
      <c r="G66" s="1271"/>
      <c r="H66" s="1271"/>
      <c r="I66" s="1271"/>
      <c r="J66" s="1271"/>
      <c r="AE66" s="1273"/>
      <c r="AF66" s="1274"/>
      <c r="AG66" s="1273"/>
      <c r="AH66" s="1271"/>
      <c r="AI66" s="1271"/>
      <c r="AJ66" s="1271"/>
      <c r="AK66" s="1271"/>
      <c r="AL66" s="1271"/>
      <c r="AM66" s="1271"/>
      <c r="AN66" s="1271"/>
      <c r="AO66" s="1271"/>
      <c r="AP66" s="1271"/>
      <c r="AQ66" s="1271"/>
    </row>
    <row r="67" spans="1:43" s="1272" customFormat="1">
      <c r="A67" s="1271"/>
      <c r="B67" s="1271"/>
      <c r="C67" s="1271"/>
      <c r="D67" s="1271"/>
      <c r="E67" s="1271"/>
      <c r="F67" s="1271"/>
      <c r="G67" s="1271"/>
      <c r="H67" s="1271"/>
      <c r="I67" s="1271"/>
      <c r="J67" s="1271"/>
      <c r="AE67" s="1273"/>
      <c r="AF67" s="1274"/>
      <c r="AG67" s="1273"/>
      <c r="AH67" s="1271"/>
      <c r="AI67" s="1271"/>
      <c r="AJ67" s="1271"/>
      <c r="AK67" s="1271"/>
      <c r="AL67" s="1271"/>
      <c r="AM67" s="1271"/>
      <c r="AN67" s="1271"/>
      <c r="AO67" s="1271"/>
      <c r="AP67" s="1271"/>
      <c r="AQ67" s="1271"/>
    </row>
    <row r="187" spans="20:26" ht="13.5" thickBot="1"/>
    <row r="188" spans="20:26" ht="15">
      <c r="T188" s="2537" t="s">
        <v>410</v>
      </c>
      <c r="U188" s="2538"/>
      <c r="V188" s="2538"/>
      <c r="W188" s="2538"/>
      <c r="X188" s="2538"/>
      <c r="Y188" s="2538"/>
    </row>
    <row r="189" spans="20:26" ht="15.75" thickBot="1">
      <c r="T189" s="1392" t="s">
        <v>380</v>
      </c>
      <c r="U189" s="1393">
        <v>5</v>
      </c>
      <c r="V189" s="1393"/>
      <c r="W189" s="1393"/>
      <c r="X189" s="1394" t="s">
        <v>381</v>
      </c>
      <c r="Y189" s="1395">
        <v>104</v>
      </c>
    </row>
    <row r="190" spans="20:26" ht="45">
      <c r="T190" s="1397"/>
      <c r="U190" s="1398" t="s">
        <v>384</v>
      </c>
      <c r="V190" s="1398" t="s">
        <v>385</v>
      </c>
      <c r="W190" s="1399" t="s">
        <v>386</v>
      </c>
      <c r="X190" s="1400" t="s">
        <v>342</v>
      </c>
      <c r="Y190" s="1401" t="s">
        <v>190</v>
      </c>
      <c r="Z190" s="2539"/>
    </row>
    <row r="191" spans="20:26" ht="15">
      <c r="T191" s="1406" t="s">
        <v>388</v>
      </c>
      <c r="U191" s="1407">
        <v>8</v>
      </c>
      <c r="V191" s="1408">
        <v>2</v>
      </c>
      <c r="W191" s="1407"/>
      <c r="X191" s="1409">
        <v>46052.497065501666</v>
      </c>
      <c r="Y191" s="1410">
        <f>(U189/U191)*(2/5)</f>
        <v>0.25</v>
      </c>
      <c r="Z191" s="1396">
        <f>Y189*U189</f>
        <v>520</v>
      </c>
    </row>
    <row r="192" spans="20:26" ht="15">
      <c r="T192" s="1406" t="s">
        <v>412</v>
      </c>
      <c r="U192" s="1407">
        <v>2.5</v>
      </c>
      <c r="V192" s="1408">
        <v>2</v>
      </c>
      <c r="W192" s="1407"/>
      <c r="X192" s="1409">
        <v>26813.53787707692</v>
      </c>
      <c r="Y192" s="1410">
        <f>ROUNDUP((U$189/U192),0)*(V192/5)</f>
        <v>0.8</v>
      </c>
      <c r="Z192" s="1402" t="s">
        <v>343</v>
      </c>
    </row>
    <row r="193" spans="20:26" ht="15">
      <c r="T193" s="1406" t="s">
        <v>413</v>
      </c>
      <c r="U193" s="1407">
        <v>2.5</v>
      </c>
      <c r="V193" s="1408">
        <v>2</v>
      </c>
      <c r="W193" s="1407"/>
      <c r="X193" s="1409">
        <v>26813.53787707692</v>
      </c>
      <c r="Y193" s="1410">
        <f>ROUNDUP((U$189/U193),0)*(V193/5)</f>
        <v>0.8</v>
      </c>
      <c r="Z193" s="1411">
        <f t="shared" ref="Z193:Z198" si="4">X191*Y191</f>
        <v>11513.124266375416</v>
      </c>
    </row>
    <row r="194" spans="20:26" ht="15">
      <c r="T194" s="1406" t="s">
        <v>414</v>
      </c>
      <c r="U194" s="1407">
        <v>2.5</v>
      </c>
      <c r="V194" s="1408">
        <v>2</v>
      </c>
      <c r="W194" s="1407"/>
      <c r="X194" s="1409">
        <v>26813.53787707692</v>
      </c>
      <c r="Y194" s="1410">
        <f>ROUNDUP((U$189/U194),0)*(V194/5)</f>
        <v>0.8</v>
      </c>
      <c r="Z194" s="1411">
        <f t="shared" si="4"/>
        <v>21450.830301661539</v>
      </c>
    </row>
    <row r="195" spans="20:26" ht="15">
      <c r="T195" s="1406" t="s">
        <v>397</v>
      </c>
      <c r="U195" s="1412"/>
      <c r="V195" s="1412"/>
      <c r="W195" s="1413">
        <f>$X$10</f>
        <v>9.6153846153846159E-2</v>
      </c>
      <c r="X195" s="1409">
        <v>26813.53787707692</v>
      </c>
      <c r="Y195" s="1410">
        <f>SUM(Y192:Y194)*W195</f>
        <v>0.23076923076923081</v>
      </c>
      <c r="Z195" s="1411">
        <f t="shared" si="4"/>
        <v>21450.830301661539</v>
      </c>
    </row>
    <row r="196" spans="20:26" ht="15">
      <c r="T196" s="1414" t="s">
        <v>399</v>
      </c>
      <c r="U196" s="1415">
        <v>25</v>
      </c>
      <c r="V196" s="1416">
        <v>2</v>
      </c>
      <c r="W196" s="1417"/>
      <c r="X196" s="1409">
        <v>32423.441303659107</v>
      </c>
      <c r="Y196" s="1410">
        <f>(U189/U196)*(2/5)</f>
        <v>8.0000000000000016E-2</v>
      </c>
      <c r="Z196" s="1411">
        <f t="shared" si="4"/>
        <v>21450.830301661539</v>
      </c>
    </row>
    <row r="197" spans="20:26" ht="15">
      <c r="T197" s="1423" t="s">
        <v>194</v>
      </c>
      <c r="U197" s="1424"/>
      <c r="V197" s="1425"/>
      <c r="W197" s="1426"/>
      <c r="X197" s="1427"/>
      <c r="Y197" s="1428">
        <f>SUM(Y191:Y196)</f>
        <v>2.9607692307692313</v>
      </c>
      <c r="Z197" s="1411">
        <f t="shared" si="4"/>
        <v>6187.7395100946751</v>
      </c>
    </row>
    <row r="198" spans="20:26" ht="15">
      <c r="T198" s="1433"/>
      <c r="U198" s="1412"/>
      <c r="V198" s="1412"/>
      <c r="W198" s="1412"/>
      <c r="X198" s="1434"/>
      <c r="Y198" s="1435"/>
      <c r="Z198" s="1411">
        <f t="shared" si="4"/>
        <v>2593.8753042927292</v>
      </c>
    </row>
    <row r="199" spans="20:26" ht="15">
      <c r="T199" s="1397" t="s">
        <v>195</v>
      </c>
      <c r="U199" s="1399"/>
      <c r="V199" s="1399"/>
      <c r="W199" s="1399"/>
      <c r="X199" s="1400"/>
      <c r="Y199" s="1401" t="s">
        <v>401</v>
      </c>
      <c r="Z199" s="1429">
        <f>SUM(Z193:Z198)</f>
        <v>84647.229985747428</v>
      </c>
    </row>
    <row r="200" spans="20:26" ht="15">
      <c r="T200" s="1437" t="s">
        <v>196</v>
      </c>
      <c r="U200" s="1438"/>
      <c r="V200" s="1438"/>
      <c r="W200" s="1439">
        <v>0.22</v>
      </c>
      <c r="X200" s="1438"/>
      <c r="Y200" s="1440"/>
      <c r="Z200" s="1436"/>
    </row>
    <row r="201" spans="20:26" ht="15">
      <c r="T201" s="1441" t="s">
        <v>198</v>
      </c>
      <c r="U201" s="1442"/>
      <c r="V201" s="1442"/>
      <c r="W201" s="1442"/>
      <c r="X201" s="1443"/>
      <c r="Y201" s="1444">
        <f>Z203/Z191</f>
        <v>198.59542419733052</v>
      </c>
      <c r="Z201" s="1402"/>
    </row>
    <row r="202" spans="20:26" ht="15">
      <c r="T202" s="1437"/>
      <c r="U202" s="1438"/>
      <c r="V202" s="1438"/>
      <c r="W202" s="1438"/>
      <c r="X202" s="1446"/>
      <c r="Y202" s="1447"/>
      <c r="Z202" s="1411">
        <f>W200*Z199</f>
        <v>18622.390596864436</v>
      </c>
    </row>
    <row r="203" spans="20:26" ht="15">
      <c r="T203" s="1437" t="s">
        <v>313</v>
      </c>
      <c r="U203" s="1438"/>
      <c r="V203" s="1438"/>
      <c r="W203" s="1438"/>
      <c r="X203" s="1446"/>
      <c r="Y203" s="1410">
        <v>50.470562508471446</v>
      </c>
      <c r="Z203" s="1445">
        <f>Z199+Z202</f>
        <v>103269.62058261187</v>
      </c>
    </row>
    <row r="204" spans="20:26" ht="15">
      <c r="T204" s="1437" t="s">
        <v>407</v>
      </c>
      <c r="U204" s="1438"/>
      <c r="V204" s="1438"/>
      <c r="W204" s="1438"/>
      <c r="X204" s="1446"/>
      <c r="Y204" s="1410">
        <v>11.59</v>
      </c>
      <c r="Z204" s="1411"/>
    </row>
    <row r="205" spans="20:26" ht="15">
      <c r="T205" s="1437"/>
      <c r="U205" s="1438"/>
      <c r="V205" s="1438"/>
      <c r="W205" s="1438"/>
      <c r="X205" s="1446"/>
      <c r="Y205" s="1449">
        <f>SUM(Y203:Y204)</f>
        <v>62.060562508471449</v>
      </c>
      <c r="Z205" s="1411">
        <f>Y203*Z191</f>
        <v>26244.692504405153</v>
      </c>
    </row>
    <row r="206" spans="20:26" ht="15">
      <c r="T206" s="1450" t="s">
        <v>408</v>
      </c>
      <c r="U206" s="1451"/>
      <c r="V206" s="1451"/>
      <c r="W206" s="1451"/>
      <c r="X206" s="1427"/>
      <c r="Y206" s="1428"/>
      <c r="Z206" s="1448">
        <f>Y204*Z191</f>
        <v>6026.8</v>
      </c>
    </row>
    <row r="207" spans="20:26" ht="15">
      <c r="T207" s="1437" t="s">
        <v>315</v>
      </c>
      <c r="U207" s="1438"/>
      <c r="V207" s="1438"/>
      <c r="W207" s="1439">
        <v>0.11</v>
      </c>
      <c r="X207" s="1412"/>
      <c r="Y207" s="1410"/>
      <c r="Z207" s="1436">
        <f>SUM(Z205:Z206)</f>
        <v>32271.492504405152</v>
      </c>
    </row>
    <row r="208" spans="20:26" ht="15.75" thickBot="1">
      <c r="T208" s="1452" t="s">
        <v>203</v>
      </c>
      <c r="U208" s="1453"/>
      <c r="V208" s="1453"/>
      <c r="W208" s="1453"/>
      <c r="X208" s="1454"/>
      <c r="Y208" s="1455"/>
      <c r="Z208" s="1429">
        <f>Z203+Z207</f>
        <v>135541.11308701703</v>
      </c>
    </row>
    <row r="209" spans="20:26" ht="15.75" thickTop="1">
      <c r="T209" s="1397"/>
      <c r="U209" s="1399"/>
      <c r="V209" s="1399"/>
      <c r="W209" s="1399"/>
      <c r="X209" s="1400"/>
      <c r="Y209" s="1457"/>
      <c r="Z209" s="1411">
        <f>W207*Z208</f>
        <v>14909.522439571874</v>
      </c>
    </row>
    <row r="210" spans="20:26" ht="15.75" thickBot="1">
      <c r="T210" s="1397"/>
      <c r="U210" s="1399"/>
      <c r="V210" s="1399"/>
      <c r="W210" s="1399"/>
      <c r="X210" s="1400"/>
      <c r="Y210" s="1457"/>
      <c r="Z210" s="1456">
        <f>Z208+Z209</f>
        <v>150450.63552658891</v>
      </c>
    </row>
    <row r="211" spans="20:26" ht="15.75" thickTop="1">
      <c r="T211" s="1458" t="s">
        <v>318</v>
      </c>
      <c r="U211" s="1459"/>
      <c r="V211" s="1459"/>
      <c r="W211" s="1459"/>
      <c r="X211" s="1459"/>
      <c r="Y211" s="1459"/>
      <c r="Z211" s="1436"/>
    </row>
    <row r="212" spans="20:26" ht="15.75" thickBot="1">
      <c r="T212" s="1458" t="s">
        <v>205</v>
      </c>
      <c r="U212" s="1459"/>
      <c r="V212" s="1459"/>
      <c r="W212" s="1461">
        <f>U24</f>
        <v>0</v>
      </c>
      <c r="X212" s="1438"/>
      <c r="Y212" s="1459"/>
      <c r="Z212" s="1436"/>
    </row>
    <row r="213" spans="20:26" ht="15.75" thickBot="1">
      <c r="T213" s="1462" t="s">
        <v>409</v>
      </c>
      <c r="U213" s="1463"/>
      <c r="V213" s="1463"/>
      <c r="W213" s="1464">
        <v>0.85</v>
      </c>
      <c r="X213" s="1465"/>
      <c r="Y213" s="1466"/>
      <c r="Z213" s="1460">
        <f>Z210/Z191</f>
        <v>289.32814524344025</v>
      </c>
    </row>
    <row r="214" spans="20:26" ht="15.75" thickBot="1">
      <c r="T214" s="1462" t="s">
        <v>409</v>
      </c>
      <c r="U214" s="1463"/>
      <c r="V214" s="1463"/>
      <c r="W214" s="1474">
        <v>0.95</v>
      </c>
      <c r="X214" s="1465"/>
      <c r="Y214" s="1466"/>
      <c r="Z214" s="1460">
        <f>Z213*(1+W212)</f>
        <v>289.32814524344025</v>
      </c>
    </row>
    <row r="215" spans="20:26" ht="15.75" thickBot="1">
      <c r="Z215" s="1467">
        <f>Z214/W213</f>
        <v>340.38605322757678</v>
      </c>
    </row>
    <row r="216" spans="20:26" ht="15.75" thickBot="1">
      <c r="Z216" s="1475">
        <f>Z214/W214</f>
        <v>304.55594236151609</v>
      </c>
    </row>
  </sheetData>
  <mergeCells count="9">
    <mergeCell ref="B30:H30"/>
    <mergeCell ref="K3:Q3"/>
    <mergeCell ref="B3:H3"/>
    <mergeCell ref="V17:X17"/>
    <mergeCell ref="K30:Q30"/>
    <mergeCell ref="T12:U12"/>
    <mergeCell ref="T17:U17"/>
    <mergeCell ref="U4:V4"/>
    <mergeCell ref="W4:X4"/>
  </mergeCells>
  <pageMargins left="0.17" right="0.17" top="0.4" bottom="0.49" header="0.34" footer="0.5"/>
  <pageSetup scale="41" orientation="landscape" r:id="rId1"/>
  <headerFooter alignWithMargins="0">
    <oddHeader>&amp;F</oddHeader>
    <oddFooter>&amp;LDRAFT&amp;RPage 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291"/>
  <sheetViews>
    <sheetView topLeftCell="A28" zoomScale="80" zoomScaleNormal="80" workbookViewId="0">
      <selection activeCell="P69" sqref="P69"/>
    </sheetView>
  </sheetViews>
  <sheetFormatPr defaultRowHeight="15"/>
  <cols>
    <col min="1" max="1" width="30.5703125" customWidth="1"/>
    <col min="2" max="2" width="11.85546875" customWidth="1"/>
    <col min="3" max="3" width="10.5703125" customWidth="1"/>
    <col min="7" max="7" width="33.140625" customWidth="1"/>
    <col min="8" max="8" width="10" customWidth="1"/>
    <col min="9" max="9" width="11.140625" customWidth="1"/>
    <col min="10" max="10" width="9.5703125" customWidth="1"/>
    <col min="11" max="11" width="11" customWidth="1"/>
    <col min="12" max="12" width="9.85546875" customWidth="1"/>
    <col min="13" max="13" width="32.42578125" customWidth="1"/>
    <col min="16" max="16" width="11" customWidth="1"/>
    <col min="17" max="18" width="10" customWidth="1"/>
    <col min="19" max="19" width="10.140625" customWidth="1"/>
    <col min="21" max="21" width="9.42578125" bestFit="1" customWidth="1"/>
    <col min="23" max="23" width="28" bestFit="1" customWidth="1"/>
    <col min="24" max="24" width="11.5703125" customWidth="1"/>
    <col min="244" max="244" width="22.140625" bestFit="1" customWidth="1"/>
    <col min="245" max="245" width="6.85546875" customWidth="1"/>
    <col min="246" max="246" width="7.140625" customWidth="1"/>
    <col min="247" max="247" width="10.42578125" customWidth="1"/>
    <col min="253" max="253" width="22.140625" bestFit="1" customWidth="1"/>
    <col min="254" max="254" width="5.140625" bestFit="1" customWidth="1"/>
    <col min="255" max="255" width="7.140625" customWidth="1"/>
    <col min="256" max="256" width="11.42578125" customWidth="1"/>
    <col min="260" max="260" width="9.85546875" customWidth="1"/>
    <col min="262" max="262" width="22.28515625" customWidth="1"/>
    <col min="263" max="263" width="5.140625" bestFit="1" customWidth="1"/>
    <col min="264" max="264" width="6.85546875" customWidth="1"/>
    <col min="265" max="265" width="8.140625" bestFit="1" customWidth="1"/>
    <col min="267" max="267" width="9.42578125" bestFit="1" customWidth="1"/>
    <col min="269" max="269" width="10.5703125" customWidth="1"/>
    <col min="271" max="271" width="22.140625" bestFit="1" customWidth="1"/>
    <col min="278" max="278" width="38.7109375" customWidth="1"/>
    <col min="279" max="279" width="28" bestFit="1" customWidth="1"/>
    <col min="280" max="280" width="11.5703125" customWidth="1"/>
    <col min="500" max="500" width="22.140625" bestFit="1" customWidth="1"/>
    <col min="501" max="501" width="6.85546875" customWidth="1"/>
    <col min="502" max="502" width="7.140625" customWidth="1"/>
    <col min="503" max="503" width="10.42578125" customWidth="1"/>
    <col min="509" max="509" width="22.140625" bestFit="1" customWidth="1"/>
    <col min="510" max="510" width="5.140625" bestFit="1" customWidth="1"/>
    <col min="511" max="511" width="7.140625" customWidth="1"/>
    <col min="512" max="512" width="11.42578125" customWidth="1"/>
    <col min="516" max="516" width="9.85546875" customWidth="1"/>
    <col min="518" max="518" width="22.28515625" customWidth="1"/>
    <col min="519" max="519" width="5.140625" bestFit="1" customWidth="1"/>
    <col min="520" max="520" width="6.85546875" customWidth="1"/>
    <col min="521" max="521" width="8.140625" bestFit="1" customWidth="1"/>
    <col min="523" max="523" width="9.42578125" bestFit="1" customWidth="1"/>
    <col min="525" max="525" width="10.5703125" customWidth="1"/>
    <col min="527" max="527" width="22.140625" bestFit="1" customWidth="1"/>
    <col min="534" max="534" width="38.7109375" customWidth="1"/>
    <col min="535" max="535" width="28" bestFit="1" customWidth="1"/>
    <col min="536" max="536" width="11.5703125" customWidth="1"/>
    <col min="756" max="756" width="22.140625" bestFit="1" customWidth="1"/>
    <col min="757" max="757" width="6.85546875" customWidth="1"/>
    <col min="758" max="758" width="7.140625" customWidth="1"/>
    <col min="759" max="759" width="10.42578125" customWidth="1"/>
    <col min="765" max="765" width="22.140625" bestFit="1" customWidth="1"/>
    <col min="766" max="766" width="5.140625" bestFit="1" customWidth="1"/>
    <col min="767" max="767" width="7.140625" customWidth="1"/>
    <col min="768" max="768" width="11.42578125" customWidth="1"/>
    <col min="772" max="772" width="9.85546875" customWidth="1"/>
    <col min="774" max="774" width="22.28515625" customWidth="1"/>
    <col min="775" max="775" width="5.140625" bestFit="1" customWidth="1"/>
    <col min="776" max="776" width="6.85546875" customWidth="1"/>
    <col min="777" max="777" width="8.140625" bestFit="1" customWidth="1"/>
    <col min="779" max="779" width="9.42578125" bestFit="1" customWidth="1"/>
    <col min="781" max="781" width="10.5703125" customWidth="1"/>
    <col min="783" max="783" width="22.140625" bestFit="1" customWidth="1"/>
    <col min="790" max="790" width="38.7109375" customWidth="1"/>
    <col min="791" max="791" width="28" bestFit="1" customWidth="1"/>
    <col min="792" max="792" width="11.5703125" customWidth="1"/>
    <col min="1012" max="1012" width="22.140625" bestFit="1" customWidth="1"/>
    <col min="1013" max="1013" width="6.85546875" customWidth="1"/>
    <col min="1014" max="1014" width="7.140625" customWidth="1"/>
    <col min="1015" max="1015" width="10.42578125" customWidth="1"/>
    <col min="1021" max="1021" width="22.140625" bestFit="1" customWidth="1"/>
    <col min="1022" max="1022" width="5.140625" bestFit="1" customWidth="1"/>
    <col min="1023" max="1023" width="7.140625" customWidth="1"/>
    <col min="1024" max="1024" width="11.42578125" customWidth="1"/>
    <col min="1028" max="1028" width="9.85546875" customWidth="1"/>
    <col min="1030" max="1030" width="22.28515625" customWidth="1"/>
    <col min="1031" max="1031" width="5.140625" bestFit="1" customWidth="1"/>
    <col min="1032" max="1032" width="6.85546875" customWidth="1"/>
    <col min="1033" max="1033" width="8.140625" bestFit="1" customWidth="1"/>
    <col min="1035" max="1035" width="9.42578125" bestFit="1" customWidth="1"/>
    <col min="1037" max="1037" width="10.5703125" customWidth="1"/>
    <col min="1039" max="1039" width="22.140625" bestFit="1" customWidth="1"/>
    <col min="1046" max="1046" width="38.7109375" customWidth="1"/>
    <col min="1047" max="1047" width="28" bestFit="1" customWidth="1"/>
    <col min="1048" max="1048" width="11.5703125" customWidth="1"/>
    <col min="1268" max="1268" width="22.140625" bestFit="1" customWidth="1"/>
    <col min="1269" max="1269" width="6.85546875" customWidth="1"/>
    <col min="1270" max="1270" width="7.140625" customWidth="1"/>
    <col min="1271" max="1271" width="10.42578125" customWidth="1"/>
    <col min="1277" max="1277" width="22.140625" bestFit="1" customWidth="1"/>
    <col min="1278" max="1278" width="5.140625" bestFit="1" customWidth="1"/>
    <col min="1279" max="1279" width="7.140625" customWidth="1"/>
    <col min="1280" max="1280" width="11.42578125" customWidth="1"/>
    <col min="1284" max="1284" width="9.85546875" customWidth="1"/>
    <col min="1286" max="1286" width="22.28515625" customWidth="1"/>
    <col min="1287" max="1287" width="5.140625" bestFit="1" customWidth="1"/>
    <col min="1288" max="1288" width="6.85546875" customWidth="1"/>
    <col min="1289" max="1289" width="8.140625" bestFit="1" customWidth="1"/>
    <col min="1291" max="1291" width="9.42578125" bestFit="1" customWidth="1"/>
    <col min="1293" max="1293" width="10.5703125" customWidth="1"/>
    <col min="1295" max="1295" width="22.140625" bestFit="1" customWidth="1"/>
    <col min="1302" max="1302" width="38.7109375" customWidth="1"/>
    <col min="1303" max="1303" width="28" bestFit="1" customWidth="1"/>
    <col min="1304" max="1304" width="11.5703125" customWidth="1"/>
    <col min="1524" max="1524" width="22.140625" bestFit="1" customWidth="1"/>
    <col min="1525" max="1525" width="6.85546875" customWidth="1"/>
    <col min="1526" max="1526" width="7.140625" customWidth="1"/>
    <col min="1527" max="1527" width="10.42578125" customWidth="1"/>
    <col min="1533" max="1533" width="22.140625" bestFit="1" customWidth="1"/>
    <col min="1534" max="1534" width="5.140625" bestFit="1" customWidth="1"/>
    <col min="1535" max="1535" width="7.140625" customWidth="1"/>
    <col min="1536" max="1536" width="11.42578125" customWidth="1"/>
    <col min="1540" max="1540" width="9.85546875" customWidth="1"/>
    <col min="1542" max="1542" width="22.28515625" customWidth="1"/>
    <col min="1543" max="1543" width="5.140625" bestFit="1" customWidth="1"/>
    <col min="1544" max="1544" width="6.85546875" customWidth="1"/>
    <col min="1545" max="1545" width="8.140625" bestFit="1" customWidth="1"/>
    <col min="1547" max="1547" width="9.42578125" bestFit="1" customWidth="1"/>
    <col min="1549" max="1549" width="10.5703125" customWidth="1"/>
    <col min="1551" max="1551" width="22.140625" bestFit="1" customWidth="1"/>
    <col min="1558" max="1558" width="38.7109375" customWidth="1"/>
    <col min="1559" max="1559" width="28" bestFit="1" customWidth="1"/>
    <col min="1560" max="1560" width="11.5703125" customWidth="1"/>
    <col min="1780" max="1780" width="22.140625" bestFit="1" customWidth="1"/>
    <col min="1781" max="1781" width="6.85546875" customWidth="1"/>
    <col min="1782" max="1782" width="7.140625" customWidth="1"/>
    <col min="1783" max="1783" width="10.42578125" customWidth="1"/>
    <col min="1789" max="1789" width="22.140625" bestFit="1" customWidth="1"/>
    <col min="1790" max="1790" width="5.140625" bestFit="1" customWidth="1"/>
    <col min="1791" max="1791" width="7.140625" customWidth="1"/>
    <col min="1792" max="1792" width="11.42578125" customWidth="1"/>
    <col min="1796" max="1796" width="9.85546875" customWidth="1"/>
    <col min="1798" max="1798" width="22.28515625" customWidth="1"/>
    <col min="1799" max="1799" width="5.140625" bestFit="1" customWidth="1"/>
    <col min="1800" max="1800" width="6.85546875" customWidth="1"/>
    <col min="1801" max="1801" width="8.140625" bestFit="1" customWidth="1"/>
    <col min="1803" max="1803" width="9.42578125" bestFit="1" customWidth="1"/>
    <col min="1805" max="1805" width="10.5703125" customWidth="1"/>
    <col min="1807" max="1807" width="22.140625" bestFit="1" customWidth="1"/>
    <col min="1814" max="1814" width="38.7109375" customWidth="1"/>
    <col min="1815" max="1815" width="28" bestFit="1" customWidth="1"/>
    <col min="1816" max="1816" width="11.5703125" customWidth="1"/>
    <col min="2036" max="2036" width="22.140625" bestFit="1" customWidth="1"/>
    <col min="2037" max="2037" width="6.85546875" customWidth="1"/>
    <col min="2038" max="2038" width="7.140625" customWidth="1"/>
    <col min="2039" max="2039" width="10.42578125" customWidth="1"/>
    <col min="2045" max="2045" width="22.140625" bestFit="1" customWidth="1"/>
    <col min="2046" max="2046" width="5.140625" bestFit="1" customWidth="1"/>
    <col min="2047" max="2047" width="7.140625" customWidth="1"/>
    <col min="2048" max="2048" width="11.42578125" customWidth="1"/>
    <col min="2052" max="2052" width="9.85546875" customWidth="1"/>
    <col min="2054" max="2054" width="22.28515625" customWidth="1"/>
    <col min="2055" max="2055" width="5.140625" bestFit="1" customWidth="1"/>
    <col min="2056" max="2056" width="6.85546875" customWidth="1"/>
    <col min="2057" max="2057" width="8.140625" bestFit="1" customWidth="1"/>
    <col min="2059" max="2059" width="9.42578125" bestFit="1" customWidth="1"/>
    <col min="2061" max="2061" width="10.5703125" customWidth="1"/>
    <col min="2063" max="2063" width="22.140625" bestFit="1" customWidth="1"/>
    <col min="2070" max="2070" width="38.7109375" customWidth="1"/>
    <col min="2071" max="2071" width="28" bestFit="1" customWidth="1"/>
    <col min="2072" max="2072" width="11.5703125" customWidth="1"/>
    <col min="2292" max="2292" width="22.140625" bestFit="1" customWidth="1"/>
    <col min="2293" max="2293" width="6.85546875" customWidth="1"/>
    <col min="2294" max="2294" width="7.140625" customWidth="1"/>
    <col min="2295" max="2295" width="10.42578125" customWidth="1"/>
    <col min="2301" max="2301" width="22.140625" bestFit="1" customWidth="1"/>
    <col min="2302" max="2302" width="5.140625" bestFit="1" customWidth="1"/>
    <col min="2303" max="2303" width="7.140625" customWidth="1"/>
    <col min="2304" max="2304" width="11.42578125" customWidth="1"/>
    <col min="2308" max="2308" width="9.85546875" customWidth="1"/>
    <col min="2310" max="2310" width="22.28515625" customWidth="1"/>
    <col min="2311" max="2311" width="5.140625" bestFit="1" customWidth="1"/>
    <col min="2312" max="2312" width="6.85546875" customWidth="1"/>
    <col min="2313" max="2313" width="8.140625" bestFit="1" customWidth="1"/>
    <col min="2315" max="2315" width="9.42578125" bestFit="1" customWidth="1"/>
    <col min="2317" max="2317" width="10.5703125" customWidth="1"/>
    <col min="2319" max="2319" width="22.140625" bestFit="1" customWidth="1"/>
    <col min="2326" max="2326" width="38.7109375" customWidth="1"/>
    <col min="2327" max="2327" width="28" bestFit="1" customWidth="1"/>
    <col min="2328" max="2328" width="11.5703125" customWidth="1"/>
    <col min="2548" max="2548" width="22.140625" bestFit="1" customWidth="1"/>
    <col min="2549" max="2549" width="6.85546875" customWidth="1"/>
    <col min="2550" max="2550" width="7.140625" customWidth="1"/>
    <col min="2551" max="2551" width="10.42578125" customWidth="1"/>
    <col min="2557" max="2557" width="22.140625" bestFit="1" customWidth="1"/>
    <col min="2558" max="2558" width="5.140625" bestFit="1" customWidth="1"/>
    <col min="2559" max="2559" width="7.140625" customWidth="1"/>
    <col min="2560" max="2560" width="11.42578125" customWidth="1"/>
    <col min="2564" max="2564" width="9.85546875" customWidth="1"/>
    <col min="2566" max="2566" width="22.28515625" customWidth="1"/>
    <col min="2567" max="2567" width="5.140625" bestFit="1" customWidth="1"/>
    <col min="2568" max="2568" width="6.85546875" customWidth="1"/>
    <col min="2569" max="2569" width="8.140625" bestFit="1" customWidth="1"/>
    <col min="2571" max="2571" width="9.42578125" bestFit="1" customWidth="1"/>
    <col min="2573" max="2573" width="10.5703125" customWidth="1"/>
    <col min="2575" max="2575" width="22.140625" bestFit="1" customWidth="1"/>
    <col min="2582" max="2582" width="38.7109375" customWidth="1"/>
    <col min="2583" max="2583" width="28" bestFit="1" customWidth="1"/>
    <col min="2584" max="2584" width="11.5703125" customWidth="1"/>
    <col min="2804" max="2804" width="22.140625" bestFit="1" customWidth="1"/>
    <col min="2805" max="2805" width="6.85546875" customWidth="1"/>
    <col min="2806" max="2806" width="7.140625" customWidth="1"/>
    <col min="2807" max="2807" width="10.42578125" customWidth="1"/>
    <col min="2813" max="2813" width="22.140625" bestFit="1" customWidth="1"/>
    <col min="2814" max="2814" width="5.140625" bestFit="1" customWidth="1"/>
    <col min="2815" max="2815" width="7.140625" customWidth="1"/>
    <col min="2816" max="2816" width="11.42578125" customWidth="1"/>
    <col min="2820" max="2820" width="9.85546875" customWidth="1"/>
    <col min="2822" max="2822" width="22.28515625" customWidth="1"/>
    <col min="2823" max="2823" width="5.140625" bestFit="1" customWidth="1"/>
    <col min="2824" max="2824" width="6.85546875" customWidth="1"/>
    <col min="2825" max="2825" width="8.140625" bestFit="1" customWidth="1"/>
    <col min="2827" max="2827" width="9.42578125" bestFit="1" customWidth="1"/>
    <col min="2829" max="2829" width="10.5703125" customWidth="1"/>
    <col min="2831" max="2831" width="22.140625" bestFit="1" customWidth="1"/>
    <col min="2838" max="2838" width="38.7109375" customWidth="1"/>
    <col min="2839" max="2839" width="28" bestFit="1" customWidth="1"/>
    <col min="2840" max="2840" width="11.5703125" customWidth="1"/>
    <col min="3060" max="3060" width="22.140625" bestFit="1" customWidth="1"/>
    <col min="3061" max="3061" width="6.85546875" customWidth="1"/>
    <col min="3062" max="3062" width="7.140625" customWidth="1"/>
    <col min="3063" max="3063" width="10.42578125" customWidth="1"/>
    <col min="3069" max="3069" width="22.140625" bestFit="1" customWidth="1"/>
    <col min="3070" max="3070" width="5.140625" bestFit="1" customWidth="1"/>
    <col min="3071" max="3071" width="7.140625" customWidth="1"/>
    <col min="3072" max="3072" width="11.42578125" customWidth="1"/>
    <col min="3076" max="3076" width="9.85546875" customWidth="1"/>
    <col min="3078" max="3078" width="22.28515625" customWidth="1"/>
    <col min="3079" max="3079" width="5.140625" bestFit="1" customWidth="1"/>
    <col min="3080" max="3080" width="6.85546875" customWidth="1"/>
    <col min="3081" max="3081" width="8.140625" bestFit="1" customWidth="1"/>
    <col min="3083" max="3083" width="9.42578125" bestFit="1" customWidth="1"/>
    <col min="3085" max="3085" width="10.5703125" customWidth="1"/>
    <col min="3087" max="3087" width="22.140625" bestFit="1" customWidth="1"/>
    <col min="3094" max="3094" width="38.7109375" customWidth="1"/>
    <col min="3095" max="3095" width="28" bestFit="1" customWidth="1"/>
    <col min="3096" max="3096" width="11.5703125" customWidth="1"/>
    <col min="3316" max="3316" width="22.140625" bestFit="1" customWidth="1"/>
    <col min="3317" max="3317" width="6.85546875" customWidth="1"/>
    <col min="3318" max="3318" width="7.140625" customWidth="1"/>
    <col min="3319" max="3319" width="10.42578125" customWidth="1"/>
    <col min="3325" max="3325" width="22.140625" bestFit="1" customWidth="1"/>
    <col min="3326" max="3326" width="5.140625" bestFit="1" customWidth="1"/>
    <col min="3327" max="3327" width="7.140625" customWidth="1"/>
    <col min="3328" max="3328" width="11.42578125" customWidth="1"/>
    <col min="3332" max="3332" width="9.85546875" customWidth="1"/>
    <col min="3334" max="3334" width="22.28515625" customWidth="1"/>
    <col min="3335" max="3335" width="5.140625" bestFit="1" customWidth="1"/>
    <col min="3336" max="3336" width="6.85546875" customWidth="1"/>
    <col min="3337" max="3337" width="8.140625" bestFit="1" customWidth="1"/>
    <col min="3339" max="3339" width="9.42578125" bestFit="1" customWidth="1"/>
    <col min="3341" max="3341" width="10.5703125" customWidth="1"/>
    <col min="3343" max="3343" width="22.140625" bestFit="1" customWidth="1"/>
    <col min="3350" max="3350" width="38.7109375" customWidth="1"/>
    <col min="3351" max="3351" width="28" bestFit="1" customWidth="1"/>
    <col min="3352" max="3352" width="11.5703125" customWidth="1"/>
    <col min="3572" max="3572" width="22.140625" bestFit="1" customWidth="1"/>
    <col min="3573" max="3573" width="6.85546875" customWidth="1"/>
    <col min="3574" max="3574" width="7.140625" customWidth="1"/>
    <col min="3575" max="3575" width="10.42578125" customWidth="1"/>
    <col min="3581" max="3581" width="22.140625" bestFit="1" customWidth="1"/>
    <col min="3582" max="3582" width="5.140625" bestFit="1" customWidth="1"/>
    <col min="3583" max="3583" width="7.140625" customWidth="1"/>
    <col min="3584" max="3584" width="11.42578125" customWidth="1"/>
    <col min="3588" max="3588" width="9.85546875" customWidth="1"/>
    <col min="3590" max="3590" width="22.28515625" customWidth="1"/>
    <col min="3591" max="3591" width="5.140625" bestFit="1" customWidth="1"/>
    <col min="3592" max="3592" width="6.85546875" customWidth="1"/>
    <col min="3593" max="3593" width="8.140625" bestFit="1" customWidth="1"/>
    <col min="3595" max="3595" width="9.42578125" bestFit="1" customWidth="1"/>
    <col min="3597" max="3597" width="10.5703125" customWidth="1"/>
    <col min="3599" max="3599" width="22.140625" bestFit="1" customWidth="1"/>
    <col min="3606" max="3606" width="38.7109375" customWidth="1"/>
    <col min="3607" max="3607" width="28" bestFit="1" customWidth="1"/>
    <col min="3608" max="3608" width="11.5703125" customWidth="1"/>
    <col min="3828" max="3828" width="22.140625" bestFit="1" customWidth="1"/>
    <col min="3829" max="3829" width="6.85546875" customWidth="1"/>
    <col min="3830" max="3830" width="7.140625" customWidth="1"/>
    <col min="3831" max="3831" width="10.42578125" customWidth="1"/>
    <col min="3837" max="3837" width="22.140625" bestFit="1" customWidth="1"/>
    <col min="3838" max="3838" width="5.140625" bestFit="1" customWidth="1"/>
    <col min="3839" max="3839" width="7.140625" customWidth="1"/>
    <col min="3840" max="3840" width="11.42578125" customWidth="1"/>
    <col min="3844" max="3844" width="9.85546875" customWidth="1"/>
    <col min="3846" max="3846" width="22.28515625" customWidth="1"/>
    <col min="3847" max="3847" width="5.140625" bestFit="1" customWidth="1"/>
    <col min="3848" max="3848" width="6.85546875" customWidth="1"/>
    <col min="3849" max="3849" width="8.140625" bestFit="1" customWidth="1"/>
    <col min="3851" max="3851" width="9.42578125" bestFit="1" customWidth="1"/>
    <col min="3853" max="3853" width="10.5703125" customWidth="1"/>
    <col min="3855" max="3855" width="22.140625" bestFit="1" customWidth="1"/>
    <col min="3862" max="3862" width="38.7109375" customWidth="1"/>
    <col min="3863" max="3863" width="28" bestFit="1" customWidth="1"/>
    <col min="3864" max="3864" width="11.5703125" customWidth="1"/>
    <col min="4084" max="4084" width="22.140625" bestFit="1" customWidth="1"/>
    <col min="4085" max="4085" width="6.85546875" customWidth="1"/>
    <col min="4086" max="4086" width="7.140625" customWidth="1"/>
    <col min="4087" max="4087" width="10.42578125" customWidth="1"/>
    <col min="4093" max="4093" width="22.140625" bestFit="1" customWidth="1"/>
    <col min="4094" max="4094" width="5.140625" bestFit="1" customWidth="1"/>
    <col min="4095" max="4095" width="7.140625" customWidth="1"/>
    <col min="4096" max="4096" width="11.42578125" customWidth="1"/>
    <col min="4100" max="4100" width="9.85546875" customWidth="1"/>
    <col min="4102" max="4102" width="22.28515625" customWidth="1"/>
    <col min="4103" max="4103" width="5.140625" bestFit="1" customWidth="1"/>
    <col min="4104" max="4104" width="6.85546875" customWidth="1"/>
    <col min="4105" max="4105" width="8.140625" bestFit="1" customWidth="1"/>
    <col min="4107" max="4107" width="9.42578125" bestFit="1" customWidth="1"/>
    <col min="4109" max="4109" width="10.5703125" customWidth="1"/>
    <col min="4111" max="4111" width="22.140625" bestFit="1" customWidth="1"/>
    <col min="4118" max="4118" width="38.7109375" customWidth="1"/>
    <col min="4119" max="4119" width="28" bestFit="1" customWidth="1"/>
    <col min="4120" max="4120" width="11.5703125" customWidth="1"/>
    <col min="4340" max="4340" width="22.140625" bestFit="1" customWidth="1"/>
    <col min="4341" max="4341" width="6.85546875" customWidth="1"/>
    <col min="4342" max="4342" width="7.140625" customWidth="1"/>
    <col min="4343" max="4343" width="10.42578125" customWidth="1"/>
    <col min="4349" max="4349" width="22.140625" bestFit="1" customWidth="1"/>
    <col min="4350" max="4350" width="5.140625" bestFit="1" customWidth="1"/>
    <col min="4351" max="4351" width="7.140625" customWidth="1"/>
    <col min="4352" max="4352" width="11.42578125" customWidth="1"/>
    <col min="4356" max="4356" width="9.85546875" customWidth="1"/>
    <col min="4358" max="4358" width="22.28515625" customWidth="1"/>
    <col min="4359" max="4359" width="5.140625" bestFit="1" customWidth="1"/>
    <col min="4360" max="4360" width="6.85546875" customWidth="1"/>
    <col min="4361" max="4361" width="8.140625" bestFit="1" customWidth="1"/>
    <col min="4363" max="4363" width="9.42578125" bestFit="1" customWidth="1"/>
    <col min="4365" max="4365" width="10.5703125" customWidth="1"/>
    <col min="4367" max="4367" width="22.140625" bestFit="1" customWidth="1"/>
    <col min="4374" max="4374" width="38.7109375" customWidth="1"/>
    <col min="4375" max="4375" width="28" bestFit="1" customWidth="1"/>
    <col min="4376" max="4376" width="11.5703125" customWidth="1"/>
    <col min="4596" max="4596" width="22.140625" bestFit="1" customWidth="1"/>
    <col min="4597" max="4597" width="6.85546875" customWidth="1"/>
    <col min="4598" max="4598" width="7.140625" customWidth="1"/>
    <col min="4599" max="4599" width="10.42578125" customWidth="1"/>
    <col min="4605" max="4605" width="22.140625" bestFit="1" customWidth="1"/>
    <col min="4606" max="4606" width="5.140625" bestFit="1" customWidth="1"/>
    <col min="4607" max="4607" width="7.140625" customWidth="1"/>
    <col min="4608" max="4608" width="11.42578125" customWidth="1"/>
    <col min="4612" max="4612" width="9.85546875" customWidth="1"/>
    <col min="4614" max="4614" width="22.28515625" customWidth="1"/>
    <col min="4615" max="4615" width="5.140625" bestFit="1" customWidth="1"/>
    <col min="4616" max="4616" width="6.85546875" customWidth="1"/>
    <col min="4617" max="4617" width="8.140625" bestFit="1" customWidth="1"/>
    <col min="4619" max="4619" width="9.42578125" bestFit="1" customWidth="1"/>
    <col min="4621" max="4621" width="10.5703125" customWidth="1"/>
    <col min="4623" max="4623" width="22.140625" bestFit="1" customWidth="1"/>
    <col min="4630" max="4630" width="38.7109375" customWidth="1"/>
    <col min="4631" max="4631" width="28" bestFit="1" customWidth="1"/>
    <col min="4632" max="4632" width="11.5703125" customWidth="1"/>
    <col min="4852" max="4852" width="22.140625" bestFit="1" customWidth="1"/>
    <col min="4853" max="4853" width="6.85546875" customWidth="1"/>
    <col min="4854" max="4854" width="7.140625" customWidth="1"/>
    <col min="4855" max="4855" width="10.42578125" customWidth="1"/>
    <col min="4861" max="4861" width="22.140625" bestFit="1" customWidth="1"/>
    <col min="4862" max="4862" width="5.140625" bestFit="1" customWidth="1"/>
    <col min="4863" max="4863" width="7.140625" customWidth="1"/>
    <col min="4864" max="4864" width="11.42578125" customWidth="1"/>
    <col min="4868" max="4868" width="9.85546875" customWidth="1"/>
    <col min="4870" max="4870" width="22.28515625" customWidth="1"/>
    <col min="4871" max="4871" width="5.140625" bestFit="1" customWidth="1"/>
    <col min="4872" max="4872" width="6.85546875" customWidth="1"/>
    <col min="4873" max="4873" width="8.140625" bestFit="1" customWidth="1"/>
    <col min="4875" max="4875" width="9.42578125" bestFit="1" customWidth="1"/>
    <col min="4877" max="4877" width="10.5703125" customWidth="1"/>
    <col min="4879" max="4879" width="22.140625" bestFit="1" customWidth="1"/>
    <col min="4886" max="4886" width="38.7109375" customWidth="1"/>
    <col min="4887" max="4887" width="28" bestFit="1" customWidth="1"/>
    <col min="4888" max="4888" width="11.5703125" customWidth="1"/>
    <col min="5108" max="5108" width="22.140625" bestFit="1" customWidth="1"/>
    <col min="5109" max="5109" width="6.85546875" customWidth="1"/>
    <col min="5110" max="5110" width="7.140625" customWidth="1"/>
    <col min="5111" max="5111" width="10.42578125" customWidth="1"/>
    <col min="5117" max="5117" width="22.140625" bestFit="1" customWidth="1"/>
    <col min="5118" max="5118" width="5.140625" bestFit="1" customWidth="1"/>
    <col min="5119" max="5119" width="7.140625" customWidth="1"/>
    <col min="5120" max="5120" width="11.42578125" customWidth="1"/>
    <col min="5124" max="5124" width="9.85546875" customWidth="1"/>
    <col min="5126" max="5126" width="22.28515625" customWidth="1"/>
    <col min="5127" max="5127" width="5.140625" bestFit="1" customWidth="1"/>
    <col min="5128" max="5128" width="6.85546875" customWidth="1"/>
    <col min="5129" max="5129" width="8.140625" bestFit="1" customWidth="1"/>
    <col min="5131" max="5131" width="9.42578125" bestFit="1" customWidth="1"/>
    <col min="5133" max="5133" width="10.5703125" customWidth="1"/>
    <col min="5135" max="5135" width="22.140625" bestFit="1" customWidth="1"/>
    <col min="5142" max="5142" width="38.7109375" customWidth="1"/>
    <col min="5143" max="5143" width="28" bestFit="1" customWidth="1"/>
    <col min="5144" max="5144" width="11.5703125" customWidth="1"/>
    <col min="5364" max="5364" width="22.140625" bestFit="1" customWidth="1"/>
    <col min="5365" max="5365" width="6.85546875" customWidth="1"/>
    <col min="5366" max="5366" width="7.140625" customWidth="1"/>
    <col min="5367" max="5367" width="10.42578125" customWidth="1"/>
    <col min="5373" max="5373" width="22.140625" bestFit="1" customWidth="1"/>
    <col min="5374" max="5374" width="5.140625" bestFit="1" customWidth="1"/>
    <col min="5375" max="5375" width="7.140625" customWidth="1"/>
    <col min="5376" max="5376" width="11.42578125" customWidth="1"/>
    <col min="5380" max="5380" width="9.85546875" customWidth="1"/>
    <col min="5382" max="5382" width="22.28515625" customWidth="1"/>
    <col min="5383" max="5383" width="5.140625" bestFit="1" customWidth="1"/>
    <col min="5384" max="5384" width="6.85546875" customWidth="1"/>
    <col min="5385" max="5385" width="8.140625" bestFit="1" customWidth="1"/>
    <col min="5387" max="5387" width="9.42578125" bestFit="1" customWidth="1"/>
    <col min="5389" max="5389" width="10.5703125" customWidth="1"/>
    <col min="5391" max="5391" width="22.140625" bestFit="1" customWidth="1"/>
    <col min="5398" max="5398" width="38.7109375" customWidth="1"/>
    <col min="5399" max="5399" width="28" bestFit="1" customWidth="1"/>
    <col min="5400" max="5400" width="11.5703125" customWidth="1"/>
    <col min="5620" max="5620" width="22.140625" bestFit="1" customWidth="1"/>
    <col min="5621" max="5621" width="6.85546875" customWidth="1"/>
    <col min="5622" max="5622" width="7.140625" customWidth="1"/>
    <col min="5623" max="5623" width="10.42578125" customWidth="1"/>
    <col min="5629" max="5629" width="22.140625" bestFit="1" customWidth="1"/>
    <col min="5630" max="5630" width="5.140625" bestFit="1" customWidth="1"/>
    <col min="5631" max="5631" width="7.140625" customWidth="1"/>
    <col min="5632" max="5632" width="11.42578125" customWidth="1"/>
    <col min="5636" max="5636" width="9.85546875" customWidth="1"/>
    <col min="5638" max="5638" width="22.28515625" customWidth="1"/>
    <col min="5639" max="5639" width="5.140625" bestFit="1" customWidth="1"/>
    <col min="5640" max="5640" width="6.85546875" customWidth="1"/>
    <col min="5641" max="5641" width="8.140625" bestFit="1" customWidth="1"/>
    <col min="5643" max="5643" width="9.42578125" bestFit="1" customWidth="1"/>
    <col min="5645" max="5645" width="10.5703125" customWidth="1"/>
    <col min="5647" max="5647" width="22.140625" bestFit="1" customWidth="1"/>
    <col min="5654" max="5654" width="38.7109375" customWidth="1"/>
    <col min="5655" max="5655" width="28" bestFit="1" customWidth="1"/>
    <col min="5656" max="5656" width="11.5703125" customWidth="1"/>
    <col min="5876" max="5876" width="22.140625" bestFit="1" customWidth="1"/>
    <col min="5877" max="5877" width="6.85546875" customWidth="1"/>
    <col min="5878" max="5878" width="7.140625" customWidth="1"/>
    <col min="5879" max="5879" width="10.42578125" customWidth="1"/>
    <col min="5885" max="5885" width="22.140625" bestFit="1" customWidth="1"/>
    <col min="5886" max="5886" width="5.140625" bestFit="1" customWidth="1"/>
    <col min="5887" max="5887" width="7.140625" customWidth="1"/>
    <col min="5888" max="5888" width="11.42578125" customWidth="1"/>
    <col min="5892" max="5892" width="9.85546875" customWidth="1"/>
    <col min="5894" max="5894" width="22.28515625" customWidth="1"/>
    <col min="5895" max="5895" width="5.140625" bestFit="1" customWidth="1"/>
    <col min="5896" max="5896" width="6.85546875" customWidth="1"/>
    <col min="5897" max="5897" width="8.140625" bestFit="1" customWidth="1"/>
    <col min="5899" max="5899" width="9.42578125" bestFit="1" customWidth="1"/>
    <col min="5901" max="5901" width="10.5703125" customWidth="1"/>
    <col min="5903" max="5903" width="22.140625" bestFit="1" customWidth="1"/>
    <col min="5910" max="5910" width="38.7109375" customWidth="1"/>
    <col min="5911" max="5911" width="28" bestFit="1" customWidth="1"/>
    <col min="5912" max="5912" width="11.5703125" customWidth="1"/>
    <col min="6132" max="6132" width="22.140625" bestFit="1" customWidth="1"/>
    <col min="6133" max="6133" width="6.85546875" customWidth="1"/>
    <col min="6134" max="6134" width="7.140625" customWidth="1"/>
    <col min="6135" max="6135" width="10.42578125" customWidth="1"/>
    <col min="6141" max="6141" width="22.140625" bestFit="1" customWidth="1"/>
    <col min="6142" max="6142" width="5.140625" bestFit="1" customWidth="1"/>
    <col min="6143" max="6143" width="7.140625" customWidth="1"/>
    <col min="6144" max="6144" width="11.42578125" customWidth="1"/>
    <col min="6148" max="6148" width="9.85546875" customWidth="1"/>
    <col min="6150" max="6150" width="22.28515625" customWidth="1"/>
    <col min="6151" max="6151" width="5.140625" bestFit="1" customWidth="1"/>
    <col min="6152" max="6152" width="6.85546875" customWidth="1"/>
    <col min="6153" max="6153" width="8.140625" bestFit="1" customWidth="1"/>
    <col min="6155" max="6155" width="9.42578125" bestFit="1" customWidth="1"/>
    <col min="6157" max="6157" width="10.5703125" customWidth="1"/>
    <col min="6159" max="6159" width="22.140625" bestFit="1" customWidth="1"/>
    <col min="6166" max="6166" width="38.7109375" customWidth="1"/>
    <col min="6167" max="6167" width="28" bestFit="1" customWidth="1"/>
    <col min="6168" max="6168" width="11.5703125" customWidth="1"/>
    <col min="6388" max="6388" width="22.140625" bestFit="1" customWidth="1"/>
    <col min="6389" max="6389" width="6.85546875" customWidth="1"/>
    <col min="6390" max="6390" width="7.140625" customWidth="1"/>
    <col min="6391" max="6391" width="10.42578125" customWidth="1"/>
    <col min="6397" max="6397" width="22.140625" bestFit="1" customWidth="1"/>
    <col min="6398" max="6398" width="5.140625" bestFit="1" customWidth="1"/>
    <col min="6399" max="6399" width="7.140625" customWidth="1"/>
    <col min="6400" max="6400" width="11.42578125" customWidth="1"/>
    <col min="6404" max="6404" width="9.85546875" customWidth="1"/>
    <col min="6406" max="6406" width="22.28515625" customWidth="1"/>
    <col min="6407" max="6407" width="5.140625" bestFit="1" customWidth="1"/>
    <col min="6408" max="6408" width="6.85546875" customWidth="1"/>
    <col min="6409" max="6409" width="8.140625" bestFit="1" customWidth="1"/>
    <col min="6411" max="6411" width="9.42578125" bestFit="1" customWidth="1"/>
    <col min="6413" max="6413" width="10.5703125" customWidth="1"/>
    <col min="6415" max="6415" width="22.140625" bestFit="1" customWidth="1"/>
    <col min="6422" max="6422" width="38.7109375" customWidth="1"/>
    <col min="6423" max="6423" width="28" bestFit="1" customWidth="1"/>
    <col min="6424" max="6424" width="11.5703125" customWidth="1"/>
    <col min="6644" max="6644" width="22.140625" bestFit="1" customWidth="1"/>
    <col min="6645" max="6645" width="6.85546875" customWidth="1"/>
    <col min="6646" max="6646" width="7.140625" customWidth="1"/>
    <col min="6647" max="6647" width="10.42578125" customWidth="1"/>
    <col min="6653" max="6653" width="22.140625" bestFit="1" customWidth="1"/>
    <col min="6654" max="6654" width="5.140625" bestFit="1" customWidth="1"/>
    <col min="6655" max="6655" width="7.140625" customWidth="1"/>
    <col min="6656" max="6656" width="11.42578125" customWidth="1"/>
    <col min="6660" max="6660" width="9.85546875" customWidth="1"/>
    <col min="6662" max="6662" width="22.28515625" customWidth="1"/>
    <col min="6663" max="6663" width="5.140625" bestFit="1" customWidth="1"/>
    <col min="6664" max="6664" width="6.85546875" customWidth="1"/>
    <col min="6665" max="6665" width="8.140625" bestFit="1" customWidth="1"/>
    <col min="6667" max="6667" width="9.42578125" bestFit="1" customWidth="1"/>
    <col min="6669" max="6669" width="10.5703125" customWidth="1"/>
    <col min="6671" max="6671" width="22.140625" bestFit="1" customWidth="1"/>
    <col min="6678" max="6678" width="38.7109375" customWidth="1"/>
    <col min="6679" max="6679" width="28" bestFit="1" customWidth="1"/>
    <col min="6680" max="6680" width="11.5703125" customWidth="1"/>
    <col min="6900" max="6900" width="22.140625" bestFit="1" customWidth="1"/>
    <col min="6901" max="6901" width="6.85546875" customWidth="1"/>
    <col min="6902" max="6902" width="7.140625" customWidth="1"/>
    <col min="6903" max="6903" width="10.42578125" customWidth="1"/>
    <col min="6909" max="6909" width="22.140625" bestFit="1" customWidth="1"/>
    <col min="6910" max="6910" width="5.140625" bestFit="1" customWidth="1"/>
    <col min="6911" max="6911" width="7.140625" customWidth="1"/>
    <col min="6912" max="6912" width="11.42578125" customWidth="1"/>
    <col min="6916" max="6916" width="9.85546875" customWidth="1"/>
    <col min="6918" max="6918" width="22.28515625" customWidth="1"/>
    <col min="6919" max="6919" width="5.140625" bestFit="1" customWidth="1"/>
    <col min="6920" max="6920" width="6.85546875" customWidth="1"/>
    <col min="6921" max="6921" width="8.140625" bestFit="1" customWidth="1"/>
    <col min="6923" max="6923" width="9.42578125" bestFit="1" customWidth="1"/>
    <col min="6925" max="6925" width="10.5703125" customWidth="1"/>
    <col min="6927" max="6927" width="22.140625" bestFit="1" customWidth="1"/>
    <col min="6934" max="6934" width="38.7109375" customWidth="1"/>
    <col min="6935" max="6935" width="28" bestFit="1" customWidth="1"/>
    <col min="6936" max="6936" width="11.5703125" customWidth="1"/>
    <col min="7156" max="7156" width="22.140625" bestFit="1" customWidth="1"/>
    <col min="7157" max="7157" width="6.85546875" customWidth="1"/>
    <col min="7158" max="7158" width="7.140625" customWidth="1"/>
    <col min="7159" max="7159" width="10.42578125" customWidth="1"/>
    <col min="7165" max="7165" width="22.140625" bestFit="1" customWidth="1"/>
    <col min="7166" max="7166" width="5.140625" bestFit="1" customWidth="1"/>
    <col min="7167" max="7167" width="7.140625" customWidth="1"/>
    <col min="7168" max="7168" width="11.42578125" customWidth="1"/>
    <col min="7172" max="7172" width="9.85546875" customWidth="1"/>
    <col min="7174" max="7174" width="22.28515625" customWidth="1"/>
    <col min="7175" max="7175" width="5.140625" bestFit="1" customWidth="1"/>
    <col min="7176" max="7176" width="6.85546875" customWidth="1"/>
    <col min="7177" max="7177" width="8.140625" bestFit="1" customWidth="1"/>
    <col min="7179" max="7179" width="9.42578125" bestFit="1" customWidth="1"/>
    <col min="7181" max="7181" width="10.5703125" customWidth="1"/>
    <col min="7183" max="7183" width="22.140625" bestFit="1" customWidth="1"/>
    <col min="7190" max="7190" width="38.7109375" customWidth="1"/>
    <col min="7191" max="7191" width="28" bestFit="1" customWidth="1"/>
    <col min="7192" max="7192" width="11.5703125" customWidth="1"/>
    <col min="7412" max="7412" width="22.140625" bestFit="1" customWidth="1"/>
    <col min="7413" max="7413" width="6.85546875" customWidth="1"/>
    <col min="7414" max="7414" width="7.140625" customWidth="1"/>
    <col min="7415" max="7415" width="10.42578125" customWidth="1"/>
    <col min="7421" max="7421" width="22.140625" bestFit="1" customWidth="1"/>
    <col min="7422" max="7422" width="5.140625" bestFit="1" customWidth="1"/>
    <col min="7423" max="7423" width="7.140625" customWidth="1"/>
    <col min="7424" max="7424" width="11.42578125" customWidth="1"/>
    <col min="7428" max="7428" width="9.85546875" customWidth="1"/>
    <col min="7430" max="7430" width="22.28515625" customWidth="1"/>
    <col min="7431" max="7431" width="5.140625" bestFit="1" customWidth="1"/>
    <col min="7432" max="7432" width="6.85546875" customWidth="1"/>
    <col min="7433" max="7433" width="8.140625" bestFit="1" customWidth="1"/>
    <col min="7435" max="7435" width="9.42578125" bestFit="1" customWidth="1"/>
    <col min="7437" max="7437" width="10.5703125" customWidth="1"/>
    <col min="7439" max="7439" width="22.140625" bestFit="1" customWidth="1"/>
    <col min="7446" max="7446" width="38.7109375" customWidth="1"/>
    <col min="7447" max="7447" width="28" bestFit="1" customWidth="1"/>
    <col min="7448" max="7448" width="11.5703125" customWidth="1"/>
    <col min="7668" max="7668" width="22.140625" bestFit="1" customWidth="1"/>
    <col min="7669" max="7669" width="6.85546875" customWidth="1"/>
    <col min="7670" max="7670" width="7.140625" customWidth="1"/>
    <col min="7671" max="7671" width="10.42578125" customWidth="1"/>
    <col min="7677" max="7677" width="22.140625" bestFit="1" customWidth="1"/>
    <col min="7678" max="7678" width="5.140625" bestFit="1" customWidth="1"/>
    <col min="7679" max="7679" width="7.140625" customWidth="1"/>
    <col min="7680" max="7680" width="11.42578125" customWidth="1"/>
    <col min="7684" max="7684" width="9.85546875" customWidth="1"/>
    <col min="7686" max="7686" width="22.28515625" customWidth="1"/>
    <col min="7687" max="7687" width="5.140625" bestFit="1" customWidth="1"/>
    <col min="7688" max="7688" width="6.85546875" customWidth="1"/>
    <col min="7689" max="7689" width="8.140625" bestFit="1" customWidth="1"/>
    <col min="7691" max="7691" width="9.42578125" bestFit="1" customWidth="1"/>
    <col min="7693" max="7693" width="10.5703125" customWidth="1"/>
    <col min="7695" max="7695" width="22.140625" bestFit="1" customWidth="1"/>
    <col min="7702" max="7702" width="38.7109375" customWidth="1"/>
    <col min="7703" max="7703" width="28" bestFit="1" customWidth="1"/>
    <col min="7704" max="7704" width="11.5703125" customWidth="1"/>
    <col min="7924" max="7924" width="22.140625" bestFit="1" customWidth="1"/>
    <col min="7925" max="7925" width="6.85546875" customWidth="1"/>
    <col min="7926" max="7926" width="7.140625" customWidth="1"/>
    <col min="7927" max="7927" width="10.42578125" customWidth="1"/>
    <col min="7933" max="7933" width="22.140625" bestFit="1" customWidth="1"/>
    <col min="7934" max="7934" width="5.140625" bestFit="1" customWidth="1"/>
    <col min="7935" max="7935" width="7.140625" customWidth="1"/>
    <col min="7936" max="7936" width="11.42578125" customWidth="1"/>
    <col min="7940" max="7940" width="9.85546875" customWidth="1"/>
    <col min="7942" max="7942" width="22.28515625" customWidth="1"/>
    <col min="7943" max="7943" width="5.140625" bestFit="1" customWidth="1"/>
    <col min="7944" max="7944" width="6.85546875" customWidth="1"/>
    <col min="7945" max="7945" width="8.140625" bestFit="1" customWidth="1"/>
    <col min="7947" max="7947" width="9.42578125" bestFit="1" customWidth="1"/>
    <col min="7949" max="7949" width="10.5703125" customWidth="1"/>
    <col min="7951" max="7951" width="22.140625" bestFit="1" customWidth="1"/>
    <col min="7958" max="7958" width="38.7109375" customWidth="1"/>
    <col min="7959" max="7959" width="28" bestFit="1" customWidth="1"/>
    <col min="7960" max="7960" width="11.5703125" customWidth="1"/>
    <col min="8180" max="8180" width="22.140625" bestFit="1" customWidth="1"/>
    <col min="8181" max="8181" width="6.85546875" customWidth="1"/>
    <col min="8182" max="8182" width="7.140625" customWidth="1"/>
    <col min="8183" max="8183" width="10.42578125" customWidth="1"/>
    <col min="8189" max="8189" width="22.140625" bestFit="1" customWidth="1"/>
    <col min="8190" max="8190" width="5.140625" bestFit="1" customWidth="1"/>
    <col min="8191" max="8191" width="7.140625" customWidth="1"/>
    <col min="8192" max="8192" width="11.42578125" customWidth="1"/>
    <col min="8196" max="8196" width="9.85546875" customWidth="1"/>
    <col min="8198" max="8198" width="22.28515625" customWidth="1"/>
    <col min="8199" max="8199" width="5.140625" bestFit="1" customWidth="1"/>
    <col min="8200" max="8200" width="6.85546875" customWidth="1"/>
    <col min="8201" max="8201" width="8.140625" bestFit="1" customWidth="1"/>
    <col min="8203" max="8203" width="9.42578125" bestFit="1" customWidth="1"/>
    <col min="8205" max="8205" width="10.5703125" customWidth="1"/>
    <col min="8207" max="8207" width="22.140625" bestFit="1" customWidth="1"/>
    <col min="8214" max="8214" width="38.7109375" customWidth="1"/>
    <col min="8215" max="8215" width="28" bestFit="1" customWidth="1"/>
    <col min="8216" max="8216" width="11.5703125" customWidth="1"/>
    <col min="8436" max="8436" width="22.140625" bestFit="1" customWidth="1"/>
    <col min="8437" max="8437" width="6.85546875" customWidth="1"/>
    <col min="8438" max="8438" width="7.140625" customWidth="1"/>
    <col min="8439" max="8439" width="10.42578125" customWidth="1"/>
    <col min="8445" max="8445" width="22.140625" bestFit="1" customWidth="1"/>
    <col min="8446" max="8446" width="5.140625" bestFit="1" customWidth="1"/>
    <col min="8447" max="8447" width="7.140625" customWidth="1"/>
    <col min="8448" max="8448" width="11.42578125" customWidth="1"/>
    <col min="8452" max="8452" width="9.85546875" customWidth="1"/>
    <col min="8454" max="8454" width="22.28515625" customWidth="1"/>
    <col min="8455" max="8455" width="5.140625" bestFit="1" customWidth="1"/>
    <col min="8456" max="8456" width="6.85546875" customWidth="1"/>
    <col min="8457" max="8457" width="8.140625" bestFit="1" customWidth="1"/>
    <col min="8459" max="8459" width="9.42578125" bestFit="1" customWidth="1"/>
    <col min="8461" max="8461" width="10.5703125" customWidth="1"/>
    <col min="8463" max="8463" width="22.140625" bestFit="1" customWidth="1"/>
    <col min="8470" max="8470" width="38.7109375" customWidth="1"/>
    <col min="8471" max="8471" width="28" bestFit="1" customWidth="1"/>
    <col min="8472" max="8472" width="11.5703125" customWidth="1"/>
    <col min="8692" max="8692" width="22.140625" bestFit="1" customWidth="1"/>
    <col min="8693" max="8693" width="6.85546875" customWidth="1"/>
    <col min="8694" max="8694" width="7.140625" customWidth="1"/>
    <col min="8695" max="8695" width="10.42578125" customWidth="1"/>
    <col min="8701" max="8701" width="22.140625" bestFit="1" customWidth="1"/>
    <col min="8702" max="8702" width="5.140625" bestFit="1" customWidth="1"/>
    <col min="8703" max="8703" width="7.140625" customWidth="1"/>
    <col min="8704" max="8704" width="11.42578125" customWidth="1"/>
    <col min="8708" max="8708" width="9.85546875" customWidth="1"/>
    <col min="8710" max="8710" width="22.28515625" customWidth="1"/>
    <col min="8711" max="8711" width="5.140625" bestFit="1" customWidth="1"/>
    <col min="8712" max="8712" width="6.85546875" customWidth="1"/>
    <col min="8713" max="8713" width="8.140625" bestFit="1" customWidth="1"/>
    <col min="8715" max="8715" width="9.42578125" bestFit="1" customWidth="1"/>
    <col min="8717" max="8717" width="10.5703125" customWidth="1"/>
    <col min="8719" max="8719" width="22.140625" bestFit="1" customWidth="1"/>
    <col min="8726" max="8726" width="38.7109375" customWidth="1"/>
    <col min="8727" max="8727" width="28" bestFit="1" customWidth="1"/>
    <col min="8728" max="8728" width="11.5703125" customWidth="1"/>
    <col min="8948" max="8948" width="22.140625" bestFit="1" customWidth="1"/>
    <col min="8949" max="8949" width="6.85546875" customWidth="1"/>
    <col min="8950" max="8950" width="7.140625" customWidth="1"/>
    <col min="8951" max="8951" width="10.42578125" customWidth="1"/>
    <col min="8957" max="8957" width="22.140625" bestFit="1" customWidth="1"/>
    <col min="8958" max="8958" width="5.140625" bestFit="1" customWidth="1"/>
    <col min="8959" max="8959" width="7.140625" customWidth="1"/>
    <col min="8960" max="8960" width="11.42578125" customWidth="1"/>
    <col min="8964" max="8964" width="9.85546875" customWidth="1"/>
    <col min="8966" max="8966" width="22.28515625" customWidth="1"/>
    <col min="8967" max="8967" width="5.140625" bestFit="1" customWidth="1"/>
    <col min="8968" max="8968" width="6.85546875" customWidth="1"/>
    <col min="8969" max="8969" width="8.140625" bestFit="1" customWidth="1"/>
    <col min="8971" max="8971" width="9.42578125" bestFit="1" customWidth="1"/>
    <col min="8973" max="8973" width="10.5703125" customWidth="1"/>
    <col min="8975" max="8975" width="22.140625" bestFit="1" customWidth="1"/>
    <col min="8982" max="8982" width="38.7109375" customWidth="1"/>
    <col min="8983" max="8983" width="28" bestFit="1" customWidth="1"/>
    <col min="8984" max="8984" width="11.5703125" customWidth="1"/>
    <col min="9204" max="9204" width="22.140625" bestFit="1" customWidth="1"/>
    <col min="9205" max="9205" width="6.85546875" customWidth="1"/>
    <col min="9206" max="9206" width="7.140625" customWidth="1"/>
    <col min="9207" max="9207" width="10.42578125" customWidth="1"/>
    <col min="9213" max="9213" width="22.140625" bestFit="1" customWidth="1"/>
    <col min="9214" max="9214" width="5.140625" bestFit="1" customWidth="1"/>
    <col min="9215" max="9215" width="7.140625" customWidth="1"/>
    <col min="9216" max="9216" width="11.42578125" customWidth="1"/>
    <col min="9220" max="9220" width="9.85546875" customWidth="1"/>
    <col min="9222" max="9222" width="22.28515625" customWidth="1"/>
    <col min="9223" max="9223" width="5.140625" bestFit="1" customWidth="1"/>
    <col min="9224" max="9224" width="6.85546875" customWidth="1"/>
    <col min="9225" max="9225" width="8.140625" bestFit="1" customWidth="1"/>
    <col min="9227" max="9227" width="9.42578125" bestFit="1" customWidth="1"/>
    <col min="9229" max="9229" width="10.5703125" customWidth="1"/>
    <col min="9231" max="9231" width="22.140625" bestFit="1" customWidth="1"/>
    <col min="9238" max="9238" width="38.7109375" customWidth="1"/>
    <col min="9239" max="9239" width="28" bestFit="1" customWidth="1"/>
    <col min="9240" max="9240" width="11.5703125" customWidth="1"/>
    <col min="9460" max="9460" width="22.140625" bestFit="1" customWidth="1"/>
    <col min="9461" max="9461" width="6.85546875" customWidth="1"/>
    <col min="9462" max="9462" width="7.140625" customWidth="1"/>
    <col min="9463" max="9463" width="10.42578125" customWidth="1"/>
    <col min="9469" max="9469" width="22.140625" bestFit="1" customWidth="1"/>
    <col min="9470" max="9470" width="5.140625" bestFit="1" customWidth="1"/>
    <col min="9471" max="9471" width="7.140625" customWidth="1"/>
    <col min="9472" max="9472" width="11.42578125" customWidth="1"/>
    <col min="9476" max="9476" width="9.85546875" customWidth="1"/>
    <col min="9478" max="9478" width="22.28515625" customWidth="1"/>
    <col min="9479" max="9479" width="5.140625" bestFit="1" customWidth="1"/>
    <col min="9480" max="9480" width="6.85546875" customWidth="1"/>
    <col min="9481" max="9481" width="8.140625" bestFit="1" customWidth="1"/>
    <col min="9483" max="9483" width="9.42578125" bestFit="1" customWidth="1"/>
    <col min="9485" max="9485" width="10.5703125" customWidth="1"/>
    <col min="9487" max="9487" width="22.140625" bestFit="1" customWidth="1"/>
    <col min="9494" max="9494" width="38.7109375" customWidth="1"/>
    <col min="9495" max="9495" width="28" bestFit="1" customWidth="1"/>
    <col min="9496" max="9496" width="11.5703125" customWidth="1"/>
    <col min="9716" max="9716" width="22.140625" bestFit="1" customWidth="1"/>
    <col min="9717" max="9717" width="6.85546875" customWidth="1"/>
    <col min="9718" max="9718" width="7.140625" customWidth="1"/>
    <col min="9719" max="9719" width="10.42578125" customWidth="1"/>
    <col min="9725" max="9725" width="22.140625" bestFit="1" customWidth="1"/>
    <col min="9726" max="9726" width="5.140625" bestFit="1" customWidth="1"/>
    <col min="9727" max="9727" width="7.140625" customWidth="1"/>
    <col min="9728" max="9728" width="11.42578125" customWidth="1"/>
    <col min="9732" max="9732" width="9.85546875" customWidth="1"/>
    <col min="9734" max="9734" width="22.28515625" customWidth="1"/>
    <col min="9735" max="9735" width="5.140625" bestFit="1" customWidth="1"/>
    <col min="9736" max="9736" width="6.85546875" customWidth="1"/>
    <col min="9737" max="9737" width="8.140625" bestFit="1" customWidth="1"/>
    <col min="9739" max="9739" width="9.42578125" bestFit="1" customWidth="1"/>
    <col min="9741" max="9741" width="10.5703125" customWidth="1"/>
    <col min="9743" max="9743" width="22.140625" bestFit="1" customWidth="1"/>
    <col min="9750" max="9750" width="38.7109375" customWidth="1"/>
    <col min="9751" max="9751" width="28" bestFit="1" customWidth="1"/>
    <col min="9752" max="9752" width="11.5703125" customWidth="1"/>
    <col min="9972" max="9972" width="22.140625" bestFit="1" customWidth="1"/>
    <col min="9973" max="9973" width="6.85546875" customWidth="1"/>
    <col min="9974" max="9974" width="7.140625" customWidth="1"/>
    <col min="9975" max="9975" width="10.42578125" customWidth="1"/>
    <col min="9981" max="9981" width="22.140625" bestFit="1" customWidth="1"/>
    <col min="9982" max="9982" width="5.140625" bestFit="1" customWidth="1"/>
    <col min="9983" max="9983" width="7.140625" customWidth="1"/>
    <col min="9984" max="9984" width="11.42578125" customWidth="1"/>
    <col min="9988" max="9988" width="9.85546875" customWidth="1"/>
    <col min="9990" max="9990" width="22.28515625" customWidth="1"/>
    <col min="9991" max="9991" width="5.140625" bestFit="1" customWidth="1"/>
    <col min="9992" max="9992" width="6.85546875" customWidth="1"/>
    <col min="9993" max="9993" width="8.140625" bestFit="1" customWidth="1"/>
    <col min="9995" max="9995" width="9.42578125" bestFit="1" customWidth="1"/>
    <col min="9997" max="9997" width="10.5703125" customWidth="1"/>
    <col min="9999" max="9999" width="22.140625" bestFit="1" customWidth="1"/>
    <col min="10006" max="10006" width="38.7109375" customWidth="1"/>
    <col min="10007" max="10007" width="28" bestFit="1" customWidth="1"/>
    <col min="10008" max="10008" width="11.5703125" customWidth="1"/>
    <col min="10228" max="10228" width="22.140625" bestFit="1" customWidth="1"/>
    <col min="10229" max="10229" width="6.85546875" customWidth="1"/>
    <col min="10230" max="10230" width="7.140625" customWidth="1"/>
    <col min="10231" max="10231" width="10.42578125" customWidth="1"/>
    <col min="10237" max="10237" width="22.140625" bestFit="1" customWidth="1"/>
    <col min="10238" max="10238" width="5.140625" bestFit="1" customWidth="1"/>
    <col min="10239" max="10239" width="7.140625" customWidth="1"/>
    <col min="10240" max="10240" width="11.42578125" customWidth="1"/>
    <col min="10244" max="10244" width="9.85546875" customWidth="1"/>
    <col min="10246" max="10246" width="22.28515625" customWidth="1"/>
    <col min="10247" max="10247" width="5.140625" bestFit="1" customWidth="1"/>
    <col min="10248" max="10248" width="6.85546875" customWidth="1"/>
    <col min="10249" max="10249" width="8.140625" bestFit="1" customWidth="1"/>
    <col min="10251" max="10251" width="9.42578125" bestFit="1" customWidth="1"/>
    <col min="10253" max="10253" width="10.5703125" customWidth="1"/>
    <col min="10255" max="10255" width="22.140625" bestFit="1" customWidth="1"/>
    <col min="10262" max="10262" width="38.7109375" customWidth="1"/>
    <col min="10263" max="10263" width="28" bestFit="1" customWidth="1"/>
    <col min="10264" max="10264" width="11.5703125" customWidth="1"/>
    <col min="10484" max="10484" width="22.140625" bestFit="1" customWidth="1"/>
    <col min="10485" max="10485" width="6.85546875" customWidth="1"/>
    <col min="10486" max="10486" width="7.140625" customWidth="1"/>
    <col min="10487" max="10487" width="10.42578125" customWidth="1"/>
    <col min="10493" max="10493" width="22.140625" bestFit="1" customWidth="1"/>
    <col min="10494" max="10494" width="5.140625" bestFit="1" customWidth="1"/>
    <col min="10495" max="10495" width="7.140625" customWidth="1"/>
    <col min="10496" max="10496" width="11.42578125" customWidth="1"/>
    <col min="10500" max="10500" width="9.85546875" customWidth="1"/>
    <col min="10502" max="10502" width="22.28515625" customWidth="1"/>
    <col min="10503" max="10503" width="5.140625" bestFit="1" customWidth="1"/>
    <col min="10504" max="10504" width="6.85546875" customWidth="1"/>
    <col min="10505" max="10505" width="8.140625" bestFit="1" customWidth="1"/>
    <col min="10507" max="10507" width="9.42578125" bestFit="1" customWidth="1"/>
    <col min="10509" max="10509" width="10.5703125" customWidth="1"/>
    <col min="10511" max="10511" width="22.140625" bestFit="1" customWidth="1"/>
    <col min="10518" max="10518" width="38.7109375" customWidth="1"/>
    <col min="10519" max="10519" width="28" bestFit="1" customWidth="1"/>
    <col min="10520" max="10520" width="11.5703125" customWidth="1"/>
    <col min="10740" max="10740" width="22.140625" bestFit="1" customWidth="1"/>
    <col min="10741" max="10741" width="6.85546875" customWidth="1"/>
    <col min="10742" max="10742" width="7.140625" customWidth="1"/>
    <col min="10743" max="10743" width="10.42578125" customWidth="1"/>
    <col min="10749" max="10749" width="22.140625" bestFit="1" customWidth="1"/>
    <col min="10750" max="10750" width="5.140625" bestFit="1" customWidth="1"/>
    <col min="10751" max="10751" width="7.140625" customWidth="1"/>
    <col min="10752" max="10752" width="11.42578125" customWidth="1"/>
    <col min="10756" max="10756" width="9.85546875" customWidth="1"/>
    <col min="10758" max="10758" width="22.28515625" customWidth="1"/>
    <col min="10759" max="10759" width="5.140625" bestFit="1" customWidth="1"/>
    <col min="10760" max="10760" width="6.85546875" customWidth="1"/>
    <col min="10761" max="10761" width="8.140625" bestFit="1" customWidth="1"/>
    <col min="10763" max="10763" width="9.42578125" bestFit="1" customWidth="1"/>
    <col min="10765" max="10765" width="10.5703125" customWidth="1"/>
    <col min="10767" max="10767" width="22.140625" bestFit="1" customWidth="1"/>
    <col min="10774" max="10774" width="38.7109375" customWidth="1"/>
    <col min="10775" max="10775" width="28" bestFit="1" customWidth="1"/>
    <col min="10776" max="10776" width="11.5703125" customWidth="1"/>
    <col min="10996" max="10996" width="22.140625" bestFit="1" customWidth="1"/>
    <col min="10997" max="10997" width="6.85546875" customWidth="1"/>
    <col min="10998" max="10998" width="7.140625" customWidth="1"/>
    <col min="10999" max="10999" width="10.42578125" customWidth="1"/>
    <col min="11005" max="11005" width="22.140625" bestFit="1" customWidth="1"/>
    <col min="11006" max="11006" width="5.140625" bestFit="1" customWidth="1"/>
    <col min="11007" max="11007" width="7.140625" customWidth="1"/>
    <col min="11008" max="11008" width="11.42578125" customWidth="1"/>
    <col min="11012" max="11012" width="9.85546875" customWidth="1"/>
    <col min="11014" max="11014" width="22.28515625" customWidth="1"/>
    <col min="11015" max="11015" width="5.140625" bestFit="1" customWidth="1"/>
    <col min="11016" max="11016" width="6.85546875" customWidth="1"/>
    <col min="11017" max="11017" width="8.140625" bestFit="1" customWidth="1"/>
    <col min="11019" max="11019" width="9.42578125" bestFit="1" customWidth="1"/>
    <col min="11021" max="11021" width="10.5703125" customWidth="1"/>
    <col min="11023" max="11023" width="22.140625" bestFit="1" customWidth="1"/>
    <col min="11030" max="11030" width="38.7109375" customWidth="1"/>
    <col min="11031" max="11031" width="28" bestFit="1" customWidth="1"/>
    <col min="11032" max="11032" width="11.5703125" customWidth="1"/>
    <col min="11252" max="11252" width="22.140625" bestFit="1" customWidth="1"/>
    <col min="11253" max="11253" width="6.85546875" customWidth="1"/>
    <col min="11254" max="11254" width="7.140625" customWidth="1"/>
    <col min="11255" max="11255" width="10.42578125" customWidth="1"/>
    <col min="11261" max="11261" width="22.140625" bestFit="1" customWidth="1"/>
    <col min="11262" max="11262" width="5.140625" bestFit="1" customWidth="1"/>
    <col min="11263" max="11263" width="7.140625" customWidth="1"/>
    <col min="11264" max="11264" width="11.42578125" customWidth="1"/>
    <col min="11268" max="11268" width="9.85546875" customWidth="1"/>
    <col min="11270" max="11270" width="22.28515625" customWidth="1"/>
    <col min="11271" max="11271" width="5.140625" bestFit="1" customWidth="1"/>
    <col min="11272" max="11272" width="6.85546875" customWidth="1"/>
    <col min="11273" max="11273" width="8.140625" bestFit="1" customWidth="1"/>
    <col min="11275" max="11275" width="9.42578125" bestFit="1" customWidth="1"/>
    <col min="11277" max="11277" width="10.5703125" customWidth="1"/>
    <col min="11279" max="11279" width="22.140625" bestFit="1" customWidth="1"/>
    <col min="11286" max="11286" width="38.7109375" customWidth="1"/>
    <col min="11287" max="11287" width="28" bestFit="1" customWidth="1"/>
    <col min="11288" max="11288" width="11.5703125" customWidth="1"/>
    <col min="11508" max="11508" width="22.140625" bestFit="1" customWidth="1"/>
    <col min="11509" max="11509" width="6.85546875" customWidth="1"/>
    <col min="11510" max="11510" width="7.140625" customWidth="1"/>
    <col min="11511" max="11511" width="10.42578125" customWidth="1"/>
    <col min="11517" max="11517" width="22.140625" bestFit="1" customWidth="1"/>
    <col min="11518" max="11518" width="5.140625" bestFit="1" customWidth="1"/>
    <col min="11519" max="11519" width="7.140625" customWidth="1"/>
    <col min="11520" max="11520" width="11.42578125" customWidth="1"/>
    <col min="11524" max="11524" width="9.85546875" customWidth="1"/>
    <col min="11526" max="11526" width="22.28515625" customWidth="1"/>
    <col min="11527" max="11527" width="5.140625" bestFit="1" customWidth="1"/>
    <col min="11528" max="11528" width="6.85546875" customWidth="1"/>
    <col min="11529" max="11529" width="8.140625" bestFit="1" customWidth="1"/>
    <col min="11531" max="11531" width="9.42578125" bestFit="1" customWidth="1"/>
    <col min="11533" max="11533" width="10.5703125" customWidth="1"/>
    <col min="11535" max="11535" width="22.140625" bestFit="1" customWidth="1"/>
    <col min="11542" max="11542" width="38.7109375" customWidth="1"/>
    <col min="11543" max="11543" width="28" bestFit="1" customWidth="1"/>
    <col min="11544" max="11544" width="11.5703125" customWidth="1"/>
    <col min="11764" max="11764" width="22.140625" bestFit="1" customWidth="1"/>
    <col min="11765" max="11765" width="6.85546875" customWidth="1"/>
    <col min="11766" max="11766" width="7.140625" customWidth="1"/>
    <col min="11767" max="11767" width="10.42578125" customWidth="1"/>
    <col min="11773" max="11773" width="22.140625" bestFit="1" customWidth="1"/>
    <col min="11774" max="11774" width="5.140625" bestFit="1" customWidth="1"/>
    <col min="11775" max="11775" width="7.140625" customWidth="1"/>
    <col min="11776" max="11776" width="11.42578125" customWidth="1"/>
    <col min="11780" max="11780" width="9.85546875" customWidth="1"/>
    <col min="11782" max="11782" width="22.28515625" customWidth="1"/>
    <col min="11783" max="11783" width="5.140625" bestFit="1" customWidth="1"/>
    <col min="11784" max="11784" width="6.85546875" customWidth="1"/>
    <col min="11785" max="11785" width="8.140625" bestFit="1" customWidth="1"/>
    <col min="11787" max="11787" width="9.42578125" bestFit="1" customWidth="1"/>
    <col min="11789" max="11789" width="10.5703125" customWidth="1"/>
    <col min="11791" max="11791" width="22.140625" bestFit="1" customWidth="1"/>
    <col min="11798" max="11798" width="38.7109375" customWidth="1"/>
    <col min="11799" max="11799" width="28" bestFit="1" customWidth="1"/>
    <col min="11800" max="11800" width="11.5703125" customWidth="1"/>
    <col min="12020" max="12020" width="22.140625" bestFit="1" customWidth="1"/>
    <col min="12021" max="12021" width="6.85546875" customWidth="1"/>
    <col min="12022" max="12022" width="7.140625" customWidth="1"/>
    <col min="12023" max="12023" width="10.42578125" customWidth="1"/>
    <col min="12029" max="12029" width="22.140625" bestFit="1" customWidth="1"/>
    <col min="12030" max="12030" width="5.140625" bestFit="1" customWidth="1"/>
    <col min="12031" max="12031" width="7.140625" customWidth="1"/>
    <col min="12032" max="12032" width="11.42578125" customWidth="1"/>
    <col min="12036" max="12036" width="9.85546875" customWidth="1"/>
    <col min="12038" max="12038" width="22.28515625" customWidth="1"/>
    <col min="12039" max="12039" width="5.140625" bestFit="1" customWidth="1"/>
    <col min="12040" max="12040" width="6.85546875" customWidth="1"/>
    <col min="12041" max="12041" width="8.140625" bestFit="1" customWidth="1"/>
    <col min="12043" max="12043" width="9.42578125" bestFit="1" customWidth="1"/>
    <col min="12045" max="12045" width="10.5703125" customWidth="1"/>
    <col min="12047" max="12047" width="22.140625" bestFit="1" customWidth="1"/>
    <col min="12054" max="12054" width="38.7109375" customWidth="1"/>
    <col min="12055" max="12055" width="28" bestFit="1" customWidth="1"/>
    <col min="12056" max="12056" width="11.5703125" customWidth="1"/>
    <col min="12276" max="12276" width="22.140625" bestFit="1" customWidth="1"/>
    <col min="12277" max="12277" width="6.85546875" customWidth="1"/>
    <col min="12278" max="12278" width="7.140625" customWidth="1"/>
    <col min="12279" max="12279" width="10.42578125" customWidth="1"/>
    <col min="12285" max="12285" width="22.140625" bestFit="1" customWidth="1"/>
    <col min="12286" max="12286" width="5.140625" bestFit="1" customWidth="1"/>
    <col min="12287" max="12287" width="7.140625" customWidth="1"/>
    <col min="12288" max="12288" width="11.42578125" customWidth="1"/>
    <col min="12292" max="12292" width="9.85546875" customWidth="1"/>
    <col min="12294" max="12294" width="22.28515625" customWidth="1"/>
    <col min="12295" max="12295" width="5.140625" bestFit="1" customWidth="1"/>
    <col min="12296" max="12296" width="6.85546875" customWidth="1"/>
    <col min="12297" max="12297" width="8.140625" bestFit="1" customWidth="1"/>
    <col min="12299" max="12299" width="9.42578125" bestFit="1" customWidth="1"/>
    <col min="12301" max="12301" width="10.5703125" customWidth="1"/>
    <col min="12303" max="12303" width="22.140625" bestFit="1" customWidth="1"/>
    <col min="12310" max="12310" width="38.7109375" customWidth="1"/>
    <col min="12311" max="12311" width="28" bestFit="1" customWidth="1"/>
    <col min="12312" max="12312" width="11.5703125" customWidth="1"/>
    <col min="12532" max="12532" width="22.140625" bestFit="1" customWidth="1"/>
    <col min="12533" max="12533" width="6.85546875" customWidth="1"/>
    <col min="12534" max="12534" width="7.140625" customWidth="1"/>
    <col min="12535" max="12535" width="10.42578125" customWidth="1"/>
    <col min="12541" max="12541" width="22.140625" bestFit="1" customWidth="1"/>
    <col min="12542" max="12542" width="5.140625" bestFit="1" customWidth="1"/>
    <col min="12543" max="12543" width="7.140625" customWidth="1"/>
    <col min="12544" max="12544" width="11.42578125" customWidth="1"/>
    <col min="12548" max="12548" width="9.85546875" customWidth="1"/>
    <col min="12550" max="12550" width="22.28515625" customWidth="1"/>
    <col min="12551" max="12551" width="5.140625" bestFit="1" customWidth="1"/>
    <col min="12552" max="12552" width="6.85546875" customWidth="1"/>
    <col min="12553" max="12553" width="8.140625" bestFit="1" customWidth="1"/>
    <col min="12555" max="12555" width="9.42578125" bestFit="1" customWidth="1"/>
    <col min="12557" max="12557" width="10.5703125" customWidth="1"/>
    <col min="12559" max="12559" width="22.140625" bestFit="1" customWidth="1"/>
    <col min="12566" max="12566" width="38.7109375" customWidth="1"/>
    <col min="12567" max="12567" width="28" bestFit="1" customWidth="1"/>
    <col min="12568" max="12568" width="11.5703125" customWidth="1"/>
    <col min="12788" max="12788" width="22.140625" bestFit="1" customWidth="1"/>
    <col min="12789" max="12789" width="6.85546875" customWidth="1"/>
    <col min="12790" max="12790" width="7.140625" customWidth="1"/>
    <col min="12791" max="12791" width="10.42578125" customWidth="1"/>
    <col min="12797" max="12797" width="22.140625" bestFit="1" customWidth="1"/>
    <col min="12798" max="12798" width="5.140625" bestFit="1" customWidth="1"/>
    <col min="12799" max="12799" width="7.140625" customWidth="1"/>
    <col min="12800" max="12800" width="11.42578125" customWidth="1"/>
    <col min="12804" max="12804" width="9.85546875" customWidth="1"/>
    <col min="12806" max="12806" width="22.28515625" customWidth="1"/>
    <col min="12807" max="12807" width="5.140625" bestFit="1" customWidth="1"/>
    <col min="12808" max="12808" width="6.85546875" customWidth="1"/>
    <col min="12809" max="12809" width="8.140625" bestFit="1" customWidth="1"/>
    <col min="12811" max="12811" width="9.42578125" bestFit="1" customWidth="1"/>
    <col min="12813" max="12813" width="10.5703125" customWidth="1"/>
    <col min="12815" max="12815" width="22.140625" bestFit="1" customWidth="1"/>
    <col min="12822" max="12822" width="38.7109375" customWidth="1"/>
    <col min="12823" max="12823" width="28" bestFit="1" customWidth="1"/>
    <col min="12824" max="12824" width="11.5703125" customWidth="1"/>
    <col min="13044" max="13044" width="22.140625" bestFit="1" customWidth="1"/>
    <col min="13045" max="13045" width="6.85546875" customWidth="1"/>
    <col min="13046" max="13046" width="7.140625" customWidth="1"/>
    <col min="13047" max="13047" width="10.42578125" customWidth="1"/>
    <col min="13053" max="13053" width="22.140625" bestFit="1" customWidth="1"/>
    <col min="13054" max="13054" width="5.140625" bestFit="1" customWidth="1"/>
    <col min="13055" max="13055" width="7.140625" customWidth="1"/>
    <col min="13056" max="13056" width="11.42578125" customWidth="1"/>
    <col min="13060" max="13060" width="9.85546875" customWidth="1"/>
    <col min="13062" max="13062" width="22.28515625" customWidth="1"/>
    <col min="13063" max="13063" width="5.140625" bestFit="1" customWidth="1"/>
    <col min="13064" max="13064" width="6.85546875" customWidth="1"/>
    <col min="13065" max="13065" width="8.140625" bestFit="1" customWidth="1"/>
    <col min="13067" max="13067" width="9.42578125" bestFit="1" customWidth="1"/>
    <col min="13069" max="13069" width="10.5703125" customWidth="1"/>
    <col min="13071" max="13071" width="22.140625" bestFit="1" customWidth="1"/>
    <col min="13078" max="13078" width="38.7109375" customWidth="1"/>
    <col min="13079" max="13079" width="28" bestFit="1" customWidth="1"/>
    <col min="13080" max="13080" width="11.5703125" customWidth="1"/>
    <col min="13300" max="13300" width="22.140625" bestFit="1" customWidth="1"/>
    <col min="13301" max="13301" width="6.85546875" customWidth="1"/>
    <col min="13302" max="13302" width="7.140625" customWidth="1"/>
    <col min="13303" max="13303" width="10.42578125" customWidth="1"/>
    <col min="13309" max="13309" width="22.140625" bestFit="1" customWidth="1"/>
    <col min="13310" max="13310" width="5.140625" bestFit="1" customWidth="1"/>
    <col min="13311" max="13311" width="7.140625" customWidth="1"/>
    <col min="13312" max="13312" width="11.42578125" customWidth="1"/>
    <col min="13316" max="13316" width="9.85546875" customWidth="1"/>
    <col min="13318" max="13318" width="22.28515625" customWidth="1"/>
    <col min="13319" max="13319" width="5.140625" bestFit="1" customWidth="1"/>
    <col min="13320" max="13320" width="6.85546875" customWidth="1"/>
    <col min="13321" max="13321" width="8.140625" bestFit="1" customWidth="1"/>
    <col min="13323" max="13323" width="9.42578125" bestFit="1" customWidth="1"/>
    <col min="13325" max="13325" width="10.5703125" customWidth="1"/>
    <col min="13327" max="13327" width="22.140625" bestFit="1" customWidth="1"/>
    <col min="13334" max="13334" width="38.7109375" customWidth="1"/>
    <col min="13335" max="13335" width="28" bestFit="1" customWidth="1"/>
    <col min="13336" max="13336" width="11.5703125" customWidth="1"/>
    <col min="13556" max="13556" width="22.140625" bestFit="1" customWidth="1"/>
    <col min="13557" max="13557" width="6.85546875" customWidth="1"/>
    <col min="13558" max="13558" width="7.140625" customWidth="1"/>
    <col min="13559" max="13559" width="10.42578125" customWidth="1"/>
    <col min="13565" max="13565" width="22.140625" bestFit="1" customWidth="1"/>
    <col min="13566" max="13566" width="5.140625" bestFit="1" customWidth="1"/>
    <col min="13567" max="13567" width="7.140625" customWidth="1"/>
    <col min="13568" max="13568" width="11.42578125" customWidth="1"/>
    <col min="13572" max="13572" width="9.85546875" customWidth="1"/>
    <col min="13574" max="13574" width="22.28515625" customWidth="1"/>
    <col min="13575" max="13575" width="5.140625" bestFit="1" customWidth="1"/>
    <col min="13576" max="13576" width="6.85546875" customWidth="1"/>
    <col min="13577" max="13577" width="8.140625" bestFit="1" customWidth="1"/>
    <col min="13579" max="13579" width="9.42578125" bestFit="1" customWidth="1"/>
    <col min="13581" max="13581" width="10.5703125" customWidth="1"/>
    <col min="13583" max="13583" width="22.140625" bestFit="1" customWidth="1"/>
    <col min="13590" max="13590" width="38.7109375" customWidth="1"/>
    <col min="13591" max="13591" width="28" bestFit="1" customWidth="1"/>
    <col min="13592" max="13592" width="11.5703125" customWidth="1"/>
    <col min="13812" max="13812" width="22.140625" bestFit="1" customWidth="1"/>
    <col min="13813" max="13813" width="6.85546875" customWidth="1"/>
    <col min="13814" max="13814" width="7.140625" customWidth="1"/>
    <col min="13815" max="13815" width="10.42578125" customWidth="1"/>
    <col min="13821" max="13821" width="22.140625" bestFit="1" customWidth="1"/>
    <col min="13822" max="13822" width="5.140625" bestFit="1" customWidth="1"/>
    <col min="13823" max="13823" width="7.140625" customWidth="1"/>
    <col min="13824" max="13824" width="11.42578125" customWidth="1"/>
    <col min="13828" max="13828" width="9.85546875" customWidth="1"/>
    <col min="13830" max="13830" width="22.28515625" customWidth="1"/>
    <col min="13831" max="13831" width="5.140625" bestFit="1" customWidth="1"/>
    <col min="13832" max="13832" width="6.85546875" customWidth="1"/>
    <col min="13833" max="13833" width="8.140625" bestFit="1" customWidth="1"/>
    <col min="13835" max="13835" width="9.42578125" bestFit="1" customWidth="1"/>
    <col min="13837" max="13837" width="10.5703125" customWidth="1"/>
    <col min="13839" max="13839" width="22.140625" bestFit="1" customWidth="1"/>
    <col min="13846" max="13846" width="38.7109375" customWidth="1"/>
    <col min="13847" max="13847" width="28" bestFit="1" customWidth="1"/>
    <col min="13848" max="13848" width="11.5703125" customWidth="1"/>
    <col min="14068" max="14068" width="22.140625" bestFit="1" customWidth="1"/>
    <col min="14069" max="14069" width="6.85546875" customWidth="1"/>
    <col min="14070" max="14070" width="7.140625" customWidth="1"/>
    <col min="14071" max="14071" width="10.42578125" customWidth="1"/>
    <col min="14077" max="14077" width="22.140625" bestFit="1" customWidth="1"/>
    <col min="14078" max="14078" width="5.140625" bestFit="1" customWidth="1"/>
    <col min="14079" max="14079" width="7.140625" customWidth="1"/>
    <col min="14080" max="14080" width="11.42578125" customWidth="1"/>
    <col min="14084" max="14084" width="9.85546875" customWidth="1"/>
    <col min="14086" max="14086" width="22.28515625" customWidth="1"/>
    <col min="14087" max="14087" width="5.140625" bestFit="1" customWidth="1"/>
    <col min="14088" max="14088" width="6.85546875" customWidth="1"/>
    <col min="14089" max="14089" width="8.140625" bestFit="1" customWidth="1"/>
    <col min="14091" max="14091" width="9.42578125" bestFit="1" customWidth="1"/>
    <col min="14093" max="14093" width="10.5703125" customWidth="1"/>
    <col min="14095" max="14095" width="22.140625" bestFit="1" customWidth="1"/>
    <col min="14102" max="14102" width="38.7109375" customWidth="1"/>
    <col min="14103" max="14103" width="28" bestFit="1" customWidth="1"/>
    <col min="14104" max="14104" width="11.5703125" customWidth="1"/>
    <col min="14324" max="14324" width="22.140625" bestFit="1" customWidth="1"/>
    <col min="14325" max="14325" width="6.85546875" customWidth="1"/>
    <col min="14326" max="14326" width="7.140625" customWidth="1"/>
    <col min="14327" max="14327" width="10.42578125" customWidth="1"/>
    <col min="14333" max="14333" width="22.140625" bestFit="1" customWidth="1"/>
    <col min="14334" max="14334" width="5.140625" bestFit="1" customWidth="1"/>
    <col min="14335" max="14335" width="7.140625" customWidth="1"/>
    <col min="14336" max="14336" width="11.42578125" customWidth="1"/>
    <col min="14340" max="14340" width="9.85546875" customWidth="1"/>
    <col min="14342" max="14342" width="22.28515625" customWidth="1"/>
    <col min="14343" max="14343" width="5.140625" bestFit="1" customWidth="1"/>
    <col min="14344" max="14344" width="6.85546875" customWidth="1"/>
    <col min="14345" max="14345" width="8.140625" bestFit="1" customWidth="1"/>
    <col min="14347" max="14347" width="9.42578125" bestFit="1" customWidth="1"/>
    <col min="14349" max="14349" width="10.5703125" customWidth="1"/>
    <col min="14351" max="14351" width="22.140625" bestFit="1" customWidth="1"/>
    <col min="14358" max="14358" width="38.7109375" customWidth="1"/>
    <col min="14359" max="14359" width="28" bestFit="1" customWidth="1"/>
    <col min="14360" max="14360" width="11.5703125" customWidth="1"/>
    <col min="14580" max="14580" width="22.140625" bestFit="1" customWidth="1"/>
    <col min="14581" max="14581" width="6.85546875" customWidth="1"/>
    <col min="14582" max="14582" width="7.140625" customWidth="1"/>
    <col min="14583" max="14583" width="10.42578125" customWidth="1"/>
    <col min="14589" max="14589" width="22.140625" bestFit="1" customWidth="1"/>
    <col min="14590" max="14590" width="5.140625" bestFit="1" customWidth="1"/>
    <col min="14591" max="14591" width="7.140625" customWidth="1"/>
    <col min="14592" max="14592" width="11.42578125" customWidth="1"/>
    <col min="14596" max="14596" width="9.85546875" customWidth="1"/>
    <col min="14598" max="14598" width="22.28515625" customWidth="1"/>
    <col min="14599" max="14599" width="5.140625" bestFit="1" customWidth="1"/>
    <col min="14600" max="14600" width="6.85546875" customWidth="1"/>
    <col min="14601" max="14601" width="8.140625" bestFit="1" customWidth="1"/>
    <col min="14603" max="14603" width="9.42578125" bestFit="1" customWidth="1"/>
    <col min="14605" max="14605" width="10.5703125" customWidth="1"/>
    <col min="14607" max="14607" width="22.140625" bestFit="1" customWidth="1"/>
    <col min="14614" max="14614" width="38.7109375" customWidth="1"/>
    <col min="14615" max="14615" width="28" bestFit="1" customWidth="1"/>
    <col min="14616" max="14616" width="11.5703125" customWidth="1"/>
    <col min="14836" max="14836" width="22.140625" bestFit="1" customWidth="1"/>
    <col min="14837" max="14837" width="6.85546875" customWidth="1"/>
    <col min="14838" max="14838" width="7.140625" customWidth="1"/>
    <col min="14839" max="14839" width="10.42578125" customWidth="1"/>
    <col min="14845" max="14845" width="22.140625" bestFit="1" customWidth="1"/>
    <col min="14846" max="14846" width="5.140625" bestFit="1" customWidth="1"/>
    <col min="14847" max="14847" width="7.140625" customWidth="1"/>
    <col min="14848" max="14848" width="11.42578125" customWidth="1"/>
    <col min="14852" max="14852" width="9.85546875" customWidth="1"/>
    <col min="14854" max="14854" width="22.28515625" customWidth="1"/>
    <col min="14855" max="14855" width="5.140625" bestFit="1" customWidth="1"/>
    <col min="14856" max="14856" width="6.85546875" customWidth="1"/>
    <col min="14857" max="14857" width="8.140625" bestFit="1" customWidth="1"/>
    <col min="14859" max="14859" width="9.42578125" bestFit="1" customWidth="1"/>
    <col min="14861" max="14861" width="10.5703125" customWidth="1"/>
    <col min="14863" max="14863" width="22.140625" bestFit="1" customWidth="1"/>
    <col min="14870" max="14870" width="38.7109375" customWidth="1"/>
    <col min="14871" max="14871" width="28" bestFit="1" customWidth="1"/>
    <col min="14872" max="14872" width="11.5703125" customWidth="1"/>
    <col min="15092" max="15092" width="22.140625" bestFit="1" customWidth="1"/>
    <col min="15093" max="15093" width="6.85546875" customWidth="1"/>
    <col min="15094" max="15094" width="7.140625" customWidth="1"/>
    <col min="15095" max="15095" width="10.42578125" customWidth="1"/>
    <col min="15101" max="15101" width="22.140625" bestFit="1" customWidth="1"/>
    <col min="15102" max="15102" width="5.140625" bestFit="1" customWidth="1"/>
    <col min="15103" max="15103" width="7.140625" customWidth="1"/>
    <col min="15104" max="15104" width="11.42578125" customWidth="1"/>
    <col min="15108" max="15108" width="9.85546875" customWidth="1"/>
    <col min="15110" max="15110" width="22.28515625" customWidth="1"/>
    <col min="15111" max="15111" width="5.140625" bestFit="1" customWidth="1"/>
    <col min="15112" max="15112" width="6.85546875" customWidth="1"/>
    <col min="15113" max="15113" width="8.140625" bestFit="1" customWidth="1"/>
    <col min="15115" max="15115" width="9.42578125" bestFit="1" customWidth="1"/>
    <col min="15117" max="15117" width="10.5703125" customWidth="1"/>
    <col min="15119" max="15119" width="22.140625" bestFit="1" customWidth="1"/>
    <col min="15126" max="15126" width="38.7109375" customWidth="1"/>
    <col min="15127" max="15127" width="28" bestFit="1" customWidth="1"/>
    <col min="15128" max="15128" width="11.5703125" customWidth="1"/>
    <col min="15348" max="15348" width="22.140625" bestFit="1" customWidth="1"/>
    <col min="15349" max="15349" width="6.85546875" customWidth="1"/>
    <col min="15350" max="15350" width="7.140625" customWidth="1"/>
    <col min="15351" max="15351" width="10.42578125" customWidth="1"/>
    <col min="15357" max="15357" width="22.140625" bestFit="1" customWidth="1"/>
    <col min="15358" max="15358" width="5.140625" bestFit="1" customWidth="1"/>
    <col min="15359" max="15359" width="7.140625" customWidth="1"/>
    <col min="15360" max="15360" width="11.42578125" customWidth="1"/>
    <col min="15364" max="15364" width="9.85546875" customWidth="1"/>
    <col min="15366" max="15366" width="22.28515625" customWidth="1"/>
    <col min="15367" max="15367" width="5.140625" bestFit="1" customWidth="1"/>
    <col min="15368" max="15368" width="6.85546875" customWidth="1"/>
    <col min="15369" max="15369" width="8.140625" bestFit="1" customWidth="1"/>
    <col min="15371" max="15371" width="9.42578125" bestFit="1" customWidth="1"/>
    <col min="15373" max="15373" width="10.5703125" customWidth="1"/>
    <col min="15375" max="15375" width="22.140625" bestFit="1" customWidth="1"/>
    <col min="15382" max="15382" width="38.7109375" customWidth="1"/>
    <col min="15383" max="15383" width="28" bestFit="1" customWidth="1"/>
    <col min="15384" max="15384" width="11.5703125" customWidth="1"/>
    <col min="15604" max="15604" width="22.140625" bestFit="1" customWidth="1"/>
    <col min="15605" max="15605" width="6.85546875" customWidth="1"/>
    <col min="15606" max="15606" width="7.140625" customWidth="1"/>
    <col min="15607" max="15607" width="10.42578125" customWidth="1"/>
    <col min="15613" max="15613" width="22.140625" bestFit="1" customWidth="1"/>
    <col min="15614" max="15614" width="5.140625" bestFit="1" customWidth="1"/>
    <col min="15615" max="15615" width="7.140625" customWidth="1"/>
    <col min="15616" max="15616" width="11.42578125" customWidth="1"/>
    <col min="15620" max="15620" width="9.85546875" customWidth="1"/>
    <col min="15622" max="15622" width="22.28515625" customWidth="1"/>
    <col min="15623" max="15623" width="5.140625" bestFit="1" customWidth="1"/>
    <col min="15624" max="15624" width="6.85546875" customWidth="1"/>
    <col min="15625" max="15625" width="8.140625" bestFit="1" customWidth="1"/>
    <col min="15627" max="15627" width="9.42578125" bestFit="1" customWidth="1"/>
    <col min="15629" max="15629" width="10.5703125" customWidth="1"/>
    <col min="15631" max="15631" width="22.140625" bestFit="1" customWidth="1"/>
    <col min="15638" max="15638" width="38.7109375" customWidth="1"/>
    <col min="15639" max="15639" width="28" bestFit="1" customWidth="1"/>
    <col min="15640" max="15640" width="11.5703125" customWidth="1"/>
    <col min="15860" max="15860" width="22.140625" bestFit="1" customWidth="1"/>
    <col min="15861" max="15861" width="6.85546875" customWidth="1"/>
    <col min="15862" max="15862" width="7.140625" customWidth="1"/>
    <col min="15863" max="15863" width="10.42578125" customWidth="1"/>
    <col min="15869" max="15869" width="22.140625" bestFit="1" customWidth="1"/>
    <col min="15870" max="15870" width="5.140625" bestFit="1" customWidth="1"/>
    <col min="15871" max="15871" width="7.140625" customWidth="1"/>
    <col min="15872" max="15872" width="11.42578125" customWidth="1"/>
    <col min="15876" max="15876" width="9.85546875" customWidth="1"/>
    <col min="15878" max="15878" width="22.28515625" customWidth="1"/>
    <col min="15879" max="15879" width="5.140625" bestFit="1" customWidth="1"/>
    <col min="15880" max="15880" width="6.85546875" customWidth="1"/>
    <col min="15881" max="15881" width="8.140625" bestFit="1" customWidth="1"/>
    <col min="15883" max="15883" width="9.42578125" bestFit="1" customWidth="1"/>
    <col min="15885" max="15885" width="10.5703125" customWidth="1"/>
    <col min="15887" max="15887" width="22.140625" bestFit="1" customWidth="1"/>
    <col min="15894" max="15894" width="38.7109375" customWidth="1"/>
    <col min="15895" max="15895" width="28" bestFit="1" customWidth="1"/>
    <col min="15896" max="15896" width="11.5703125" customWidth="1"/>
    <col min="16116" max="16116" width="22.140625" bestFit="1" customWidth="1"/>
    <col min="16117" max="16117" width="6.85546875" customWidth="1"/>
    <col min="16118" max="16118" width="7.140625" customWidth="1"/>
    <col min="16119" max="16119" width="10.42578125" customWidth="1"/>
    <col min="16125" max="16125" width="22.140625" bestFit="1" customWidth="1"/>
    <col min="16126" max="16126" width="5.140625" bestFit="1" customWidth="1"/>
    <col min="16127" max="16127" width="7.140625" customWidth="1"/>
    <col min="16128" max="16128" width="11.42578125" customWidth="1"/>
    <col min="16132" max="16132" width="9.85546875" customWidth="1"/>
    <col min="16134" max="16134" width="22.28515625" customWidth="1"/>
    <col min="16135" max="16135" width="5.140625" bestFit="1" customWidth="1"/>
    <col min="16136" max="16136" width="6.85546875" customWidth="1"/>
    <col min="16137" max="16137" width="8.140625" bestFit="1" customWidth="1"/>
    <col min="16139" max="16139" width="9.42578125" bestFit="1" customWidth="1"/>
    <col min="16141" max="16141" width="10.5703125" customWidth="1"/>
    <col min="16143" max="16143" width="22.140625" bestFit="1" customWidth="1"/>
    <col min="16150" max="16150" width="38.7109375" customWidth="1"/>
    <col min="16151" max="16151" width="28" bestFit="1" customWidth="1"/>
    <col min="16152" max="16152" width="11.5703125" customWidth="1"/>
  </cols>
  <sheetData>
    <row r="2" spans="1:22" ht="15.75" thickBot="1"/>
    <row r="3" spans="1:22" ht="15.75" customHeight="1" thickBot="1">
      <c r="A3" s="3319" t="s">
        <v>480</v>
      </c>
      <c r="B3" s="3320"/>
      <c r="C3" s="3320"/>
      <c r="D3" s="3320"/>
      <c r="E3" s="3321"/>
      <c r="F3" s="1051"/>
      <c r="G3" s="3319" t="s">
        <v>481</v>
      </c>
      <c r="H3" s="3320"/>
      <c r="I3" s="3320"/>
      <c r="J3" s="3320"/>
      <c r="K3" s="3321"/>
      <c r="M3" s="3334" t="s">
        <v>571</v>
      </c>
      <c r="N3" s="3335"/>
      <c r="O3" s="3335"/>
      <c r="P3" s="3335"/>
      <c r="Q3" s="3335"/>
      <c r="R3" s="3335"/>
      <c r="S3" s="3335"/>
      <c r="T3" s="3335"/>
      <c r="U3" s="3335"/>
      <c r="V3" s="3336"/>
    </row>
    <row r="4" spans="1:22" ht="15.75" customHeight="1" thickBot="1">
      <c r="A4" s="12"/>
      <c r="B4" s="382" t="s">
        <v>189</v>
      </c>
      <c r="C4" s="40" t="s">
        <v>342</v>
      </c>
      <c r="D4" s="41" t="s">
        <v>190</v>
      </c>
      <c r="E4" s="1149" t="s">
        <v>343</v>
      </c>
      <c r="F4" s="14"/>
      <c r="G4" s="12"/>
      <c r="H4" s="382" t="s">
        <v>189</v>
      </c>
      <c r="I4" s="40" t="s">
        <v>342</v>
      </c>
      <c r="J4" s="41" t="s">
        <v>190</v>
      </c>
      <c r="K4" s="1149" t="s">
        <v>343</v>
      </c>
      <c r="M4" s="3330" t="s">
        <v>573</v>
      </c>
      <c r="N4" s="3331"/>
      <c r="O4" s="3327" t="s">
        <v>569</v>
      </c>
      <c r="P4" s="3328"/>
      <c r="Q4" s="3328"/>
      <c r="R4" s="3328"/>
      <c r="S4" s="3328"/>
      <c r="T4" s="3328"/>
      <c r="U4" s="3328"/>
      <c r="V4" s="3329"/>
    </row>
    <row r="5" spans="1:22" ht="15.75" thickBot="1">
      <c r="A5" s="15" t="s">
        <v>191</v>
      </c>
      <c r="B5" s="1162">
        <f>'[9]Model A Direct Care'!$DF$23</f>
        <v>48.091908842179208</v>
      </c>
      <c r="C5" s="1170">
        <f>N6</f>
        <v>58953.990400000002</v>
      </c>
      <c r="D5" s="50">
        <f>O6</f>
        <v>0.20793518578803963</v>
      </c>
      <c r="E5" s="17">
        <f>C5*D5</f>
        <v>12258.608946770306</v>
      </c>
      <c r="F5" s="17"/>
      <c r="G5" s="15" t="s">
        <v>191</v>
      </c>
      <c r="H5" s="383">
        <f>'[9]Model A Direct Care'!$DF$23</f>
        <v>48.091908842179208</v>
      </c>
      <c r="I5" s="1170">
        <f>N6</f>
        <v>58953.990400000002</v>
      </c>
      <c r="J5" s="50">
        <f>P6</f>
        <v>0.20793518578803963</v>
      </c>
      <c r="K5" s="17">
        <f>I5*J5</f>
        <v>12258.608946770306</v>
      </c>
      <c r="M5" s="3332"/>
      <c r="N5" s="3333"/>
      <c r="O5" s="1132" t="s">
        <v>563</v>
      </c>
      <c r="P5" s="1132" t="s">
        <v>564</v>
      </c>
      <c r="Q5" s="1132" t="s">
        <v>474</v>
      </c>
      <c r="R5" s="1132" t="s">
        <v>477</v>
      </c>
      <c r="S5" s="1132" t="s">
        <v>565</v>
      </c>
      <c r="T5" s="1132" t="s">
        <v>566</v>
      </c>
      <c r="U5" s="1132" t="s">
        <v>567</v>
      </c>
      <c r="V5" s="1132" t="s">
        <v>568</v>
      </c>
    </row>
    <row r="6" spans="1:22">
      <c r="A6" s="747" t="s">
        <v>68</v>
      </c>
      <c r="B6" s="383"/>
      <c r="C6" s="1170"/>
      <c r="D6" s="50"/>
      <c r="E6" s="17"/>
      <c r="F6" s="17"/>
      <c r="G6" s="747" t="s">
        <v>68</v>
      </c>
      <c r="H6" s="383"/>
      <c r="I6" s="1170"/>
      <c r="J6" s="50"/>
      <c r="K6" s="17"/>
      <c r="M6" s="1134" t="s">
        <v>191</v>
      </c>
      <c r="N6" s="1170">
        <v>58953.990400000002</v>
      </c>
      <c r="O6" s="1142">
        <v>0.20793518578803963</v>
      </c>
      <c r="P6" s="1143">
        <v>0.20793518578803963</v>
      </c>
      <c r="Q6" s="1143">
        <v>0.45454545454545453</v>
      </c>
      <c r="R6" s="1143">
        <v>0.17141009055627424</v>
      </c>
      <c r="S6" s="1143">
        <v>0.57834862385321095</v>
      </c>
      <c r="T6" s="1143">
        <v>0.69090909090909092</v>
      </c>
      <c r="U6" s="1143">
        <v>0.54186582691334406</v>
      </c>
      <c r="V6" s="1187">
        <v>0.56619472021660655</v>
      </c>
    </row>
    <row r="7" spans="1:22">
      <c r="A7" s="18" t="s">
        <v>192</v>
      </c>
      <c r="B7" s="1162">
        <f>SUM('[9]Model A Direct Care'!CO12:CO19)/SUM('[9]Model A Direct Care'!AC12:AC19)</f>
        <v>7.1273324106644251</v>
      </c>
      <c r="C7" s="1170">
        <f>N8</f>
        <v>37651.547600000005</v>
      </c>
      <c r="D7" s="50">
        <f t="shared" ref="D7:D8" si="0">O8</f>
        <v>1.4030494754302865</v>
      </c>
      <c r="E7" s="17">
        <f>C7*D7</f>
        <v>52826.984109318466</v>
      </c>
      <c r="F7" s="17"/>
      <c r="G7" s="18" t="s">
        <v>192</v>
      </c>
      <c r="H7" s="383">
        <f>SUM('[9]Model A Direct Care'!$CO4:$CO11)/SUM('[9]Model A Direct Care'!$AC4:$AC11)</f>
        <v>4.3186915565370407</v>
      </c>
      <c r="I7" s="1170">
        <f>N8</f>
        <v>37651.547600000005</v>
      </c>
      <c r="J7" s="50">
        <f t="shared" ref="J7:J8" si="1">P8</f>
        <v>2.3155161393416432</v>
      </c>
      <c r="K7" s="17">
        <f>I7*J7</f>
        <v>87182.766138990119</v>
      </c>
      <c r="M7" s="747" t="s">
        <v>68</v>
      </c>
      <c r="N7" s="1170">
        <v>53788.513600000006</v>
      </c>
      <c r="O7" s="1144"/>
      <c r="P7" s="1145"/>
      <c r="Q7" s="1145">
        <v>1.1357541478464965</v>
      </c>
      <c r="R7" s="1145">
        <v>0.32923673997412672</v>
      </c>
      <c r="S7" s="1145">
        <v>2.0403669724770643</v>
      </c>
      <c r="T7" s="1145">
        <v>1.9335664335664335</v>
      </c>
      <c r="U7" s="1145">
        <v>1.8452173424056681</v>
      </c>
      <c r="V7" s="1188">
        <v>1.2765117328519857</v>
      </c>
    </row>
    <row r="8" spans="1:22">
      <c r="A8" s="372" t="s">
        <v>193</v>
      </c>
      <c r="B8" s="384">
        <f>'[9]Model A Direct Care'!$DI$23</f>
        <v>73.838082262739789</v>
      </c>
      <c r="C8" s="1170">
        <f>N9</f>
        <v>32080.329600000001</v>
      </c>
      <c r="D8" s="50">
        <f t="shared" si="0"/>
        <v>0.13543146969089426</v>
      </c>
      <c r="E8" s="17">
        <f>C8*D8</f>
        <v>4344.6861858962984</v>
      </c>
      <c r="F8" s="17"/>
      <c r="G8" s="372" t="s">
        <v>193</v>
      </c>
      <c r="H8" s="384">
        <f>'[9]Model A Direct Care'!$DI$23</f>
        <v>73.838082262739789</v>
      </c>
      <c r="I8" s="1170">
        <f>N9</f>
        <v>32080.329600000001</v>
      </c>
      <c r="J8" s="50">
        <f t="shared" si="1"/>
        <v>0.13543146969089426</v>
      </c>
      <c r="K8" s="17">
        <f>I8*J8</f>
        <v>4344.6861858962984</v>
      </c>
      <c r="M8" s="18" t="s">
        <v>192</v>
      </c>
      <c r="N8" s="1170">
        <v>37651.547600000005</v>
      </c>
      <c r="O8" s="1144">
        <v>1.4030494754302865</v>
      </c>
      <c r="P8" s="1145">
        <v>2.3155161393416432</v>
      </c>
      <c r="Q8" s="1145">
        <v>1.1976047904191618</v>
      </c>
      <c r="R8" s="1145">
        <v>2.6119016817593788</v>
      </c>
      <c r="S8" s="1145"/>
      <c r="T8" s="1145">
        <v>1.5244755244755246</v>
      </c>
      <c r="U8" s="1145">
        <v>4.8850025305066636</v>
      </c>
      <c r="V8" s="1188">
        <v>3.2942238267148016</v>
      </c>
    </row>
    <row r="9" spans="1:22" ht="15.75" thickBot="1">
      <c r="A9" s="751" t="s">
        <v>194</v>
      </c>
      <c r="B9" s="1167"/>
      <c r="C9" s="752"/>
      <c r="D9" s="1154">
        <f>SUM(D5:D8)</f>
        <v>1.7464161309092203</v>
      </c>
      <c r="E9" s="753">
        <f>SUM(E5:E8)</f>
        <v>69430.279241985074</v>
      </c>
      <c r="F9" s="21"/>
      <c r="G9" s="751" t="s">
        <v>194</v>
      </c>
      <c r="H9" s="752"/>
      <c r="I9" s="752"/>
      <c r="J9" s="1154">
        <f>SUM(J5:J8)</f>
        <v>2.6588827948205771</v>
      </c>
      <c r="K9" s="753">
        <f>SUM(K5:K8)</f>
        <v>103786.06127165673</v>
      </c>
      <c r="M9" s="1135" t="s">
        <v>193</v>
      </c>
      <c r="N9" s="1170">
        <v>32080.329600000001</v>
      </c>
      <c r="O9" s="1146">
        <v>0.13543146969089426</v>
      </c>
      <c r="P9" s="1147">
        <v>0.13543146969089426</v>
      </c>
      <c r="Q9" s="1147">
        <v>0.25</v>
      </c>
      <c r="R9" s="1147">
        <v>0.16558861578266496</v>
      </c>
      <c r="S9" s="1147">
        <v>0.13064220183486239</v>
      </c>
      <c r="T9" s="1147">
        <v>0.20489510489510487</v>
      </c>
      <c r="U9" s="1147">
        <v>0.33456109767755715</v>
      </c>
      <c r="V9" s="1189">
        <v>0.47354467509025272</v>
      </c>
    </row>
    <row r="10" spans="1:22" ht="16.5" thickBot="1">
      <c r="A10" s="19"/>
      <c r="B10" s="939"/>
      <c r="C10" s="754"/>
      <c r="D10" s="940"/>
      <c r="E10" s="21"/>
      <c r="F10" s="21"/>
      <c r="G10" s="19"/>
      <c r="H10" s="754"/>
      <c r="I10" s="754"/>
      <c r="J10" s="940"/>
      <c r="K10" s="21"/>
      <c r="M10" s="3327" t="s">
        <v>240</v>
      </c>
      <c r="N10" s="3328"/>
      <c r="O10" s="1181" t="s">
        <v>563</v>
      </c>
      <c r="P10" s="1132" t="s">
        <v>564</v>
      </c>
      <c r="Q10" s="1132" t="s">
        <v>474</v>
      </c>
      <c r="R10" s="1132" t="s">
        <v>477</v>
      </c>
      <c r="S10" s="1132" t="s">
        <v>565</v>
      </c>
      <c r="T10" s="1132" t="s">
        <v>566</v>
      </c>
      <c r="U10" s="1132" t="s">
        <v>567</v>
      </c>
      <c r="V10" s="1132" t="s">
        <v>568</v>
      </c>
    </row>
    <row r="11" spans="1:22">
      <c r="A11" s="12" t="s">
        <v>195</v>
      </c>
      <c r="B11" s="367"/>
      <c r="C11" s="367"/>
      <c r="D11" s="41"/>
      <c r="E11" s="14"/>
      <c r="F11" s="14"/>
      <c r="G11" s="12" t="s">
        <v>195</v>
      </c>
      <c r="H11" s="367"/>
      <c r="I11" s="367"/>
      <c r="J11" s="41"/>
      <c r="K11" s="14"/>
      <c r="M11" s="769" t="s">
        <v>545</v>
      </c>
      <c r="N11" s="1177">
        <v>0.24</v>
      </c>
      <c r="O11" s="1139"/>
      <c r="P11" s="1138"/>
      <c r="Q11" s="1138"/>
      <c r="R11" s="1138"/>
      <c r="S11" s="1138"/>
      <c r="T11" s="1138"/>
      <c r="U11" s="1138"/>
      <c r="V11" s="1190"/>
    </row>
    <row r="12" spans="1:22">
      <c r="A12" s="22" t="s">
        <v>196</v>
      </c>
      <c r="C12" s="1150">
        <f>N11</f>
        <v>0.24</v>
      </c>
      <c r="D12" s="1155"/>
      <c r="E12" s="24">
        <f>C12*E9</f>
        <v>16663.267018076418</v>
      </c>
      <c r="F12" s="24"/>
      <c r="G12" s="22" t="s">
        <v>196</v>
      </c>
      <c r="H12" s="11"/>
      <c r="I12" s="1150">
        <f>N11</f>
        <v>0.24</v>
      </c>
      <c r="J12" s="1155"/>
      <c r="K12" s="24">
        <f>I12*K9</f>
        <v>24908.654705197612</v>
      </c>
      <c r="M12" s="31" t="s">
        <v>547</v>
      </c>
      <c r="N12" s="1178">
        <v>0.12</v>
      </c>
      <c r="O12" s="1139"/>
      <c r="P12" s="1139"/>
      <c r="Q12" s="1139"/>
      <c r="R12" s="1139"/>
      <c r="S12" s="1139"/>
      <c r="T12" s="1139"/>
      <c r="U12" s="1141"/>
      <c r="V12" s="1053"/>
    </row>
    <row r="13" spans="1:22" ht="15.75" thickBot="1">
      <c r="A13" s="26" t="s">
        <v>198</v>
      </c>
      <c r="B13" s="376"/>
      <c r="C13" s="376"/>
      <c r="D13" s="1156"/>
      <c r="E13" s="28">
        <f>E9+E12</f>
        <v>86093.546260061499</v>
      </c>
      <c r="F13" s="1052"/>
      <c r="G13" s="26" t="s">
        <v>198</v>
      </c>
      <c r="H13" s="376"/>
      <c r="I13" s="376"/>
      <c r="J13" s="1156"/>
      <c r="K13" s="28">
        <f>K9+K12</f>
        <v>128694.71597685434</v>
      </c>
      <c r="M13" s="46" t="s">
        <v>570</v>
      </c>
      <c r="N13" s="1179"/>
      <c r="O13" s="1140">
        <v>0.34150000000000003</v>
      </c>
      <c r="P13" s="1140">
        <v>0.21195</v>
      </c>
      <c r="Q13" s="1140">
        <v>0.21310000000000001</v>
      </c>
      <c r="R13" s="1140">
        <v>0.28775000000000001</v>
      </c>
      <c r="S13" s="1140">
        <v>0.20979999999999999</v>
      </c>
      <c r="T13" s="1140">
        <v>0.29899999999999999</v>
      </c>
      <c r="U13" s="1152">
        <v>0.16789999999999999</v>
      </c>
      <c r="V13" s="1191">
        <v>0.31219999999999998</v>
      </c>
    </row>
    <row r="14" spans="1:22" ht="15.75" thickBot="1">
      <c r="A14" s="29"/>
      <c r="B14" s="371"/>
      <c r="C14" s="371"/>
      <c r="D14" s="1157"/>
      <c r="E14" s="14"/>
      <c r="F14" s="14"/>
      <c r="G14" s="29"/>
      <c r="H14" s="371"/>
      <c r="I14" s="371"/>
      <c r="J14" s="1157"/>
      <c r="K14" s="14"/>
      <c r="M14" s="938" t="s">
        <v>205</v>
      </c>
      <c r="N14" s="1180">
        <f>'CAF Spring17'!BK27</f>
        <v>2.7235921972764018E-2</v>
      </c>
      <c r="O14" s="1182" t="s">
        <v>572</v>
      </c>
      <c r="P14" s="380"/>
      <c r="Q14" s="380"/>
      <c r="R14" s="380"/>
      <c r="S14" s="380"/>
      <c r="T14" s="380"/>
      <c r="U14" s="380"/>
      <c r="V14" s="1151"/>
    </row>
    <row r="15" spans="1:22" ht="15.75" customHeight="1">
      <c r="A15" s="31" t="str">
        <f>M13</f>
        <v>Non Staff Direct Expense (% of total Comp)</v>
      </c>
      <c r="B15" s="371"/>
      <c r="C15" s="1136">
        <f>O13</f>
        <v>0.34150000000000003</v>
      </c>
      <c r="D15" s="1157"/>
      <c r="E15" s="32">
        <f>C15*E13</f>
        <v>29400.946047811005</v>
      </c>
      <c r="F15" s="14"/>
      <c r="G15" s="31" t="str">
        <f>M13</f>
        <v>Non Staff Direct Expense (% of total Comp)</v>
      </c>
      <c r="H15" s="371"/>
      <c r="I15" s="1136">
        <f>P13</f>
        <v>0.21195</v>
      </c>
      <c r="J15" s="1157"/>
      <c r="K15" s="32">
        <f>I15*K13</f>
        <v>27276.845051294276</v>
      </c>
    </row>
    <row r="16" spans="1:22">
      <c r="A16" s="26" t="s">
        <v>200</v>
      </c>
      <c r="B16" s="376"/>
      <c r="C16" s="376"/>
      <c r="D16" s="1156"/>
      <c r="E16" s="28">
        <f>E13+E15</f>
        <v>115494.49230787251</v>
      </c>
      <c r="F16" s="14"/>
      <c r="G16" s="26" t="s">
        <v>200</v>
      </c>
      <c r="H16" s="376"/>
      <c r="I16" s="376"/>
      <c r="J16" s="1156"/>
      <c r="K16" s="28">
        <f>K13+K15</f>
        <v>155971.5610281486</v>
      </c>
      <c r="M16" s="1137"/>
    </row>
    <row r="17" spans="1:17">
      <c r="A17" s="31" t="s">
        <v>201</v>
      </c>
      <c r="B17" s="371"/>
      <c r="C17" s="778">
        <f>N12</f>
        <v>0.12</v>
      </c>
      <c r="D17" s="1157"/>
      <c r="E17" s="32">
        <f>C17*E16</f>
        <v>13859.339076944701</v>
      </c>
      <c r="F17" s="14"/>
      <c r="G17" s="31" t="s">
        <v>201</v>
      </c>
      <c r="H17" s="371"/>
      <c r="I17" s="778">
        <f>'[9]DCF Identified Comp. Programs'!$CJ$65</f>
        <v>0.12000130951264401</v>
      </c>
      <c r="J17" s="1157"/>
      <c r="K17" s="32">
        <f>I17*K16</f>
        <v>18716.791570109104</v>
      </c>
    </row>
    <row r="18" spans="1:17">
      <c r="A18" s="33"/>
      <c r="B18" s="762"/>
      <c r="C18" s="762"/>
      <c r="D18" s="1158"/>
      <c r="E18" s="34"/>
      <c r="F18" s="21"/>
      <c r="G18" s="33"/>
      <c r="H18" s="762"/>
      <c r="I18" s="762"/>
      <c r="J18" s="1158"/>
      <c r="K18" s="34"/>
    </row>
    <row r="19" spans="1:17" ht="15.75" thickBot="1">
      <c r="A19" s="35" t="s">
        <v>203</v>
      </c>
      <c r="B19" s="764"/>
      <c r="C19" s="764"/>
      <c r="D19" s="1159"/>
      <c r="E19" s="36">
        <f>E16+E17</f>
        <v>129353.83138481721</v>
      </c>
      <c r="F19" s="21"/>
      <c r="G19" s="35" t="s">
        <v>203</v>
      </c>
      <c r="H19" s="764"/>
      <c r="I19" s="764"/>
      <c r="J19" s="1159"/>
      <c r="K19" s="36">
        <f>K16+K17</f>
        <v>174688.35259825771</v>
      </c>
    </row>
    <row r="20" spans="1:17" ht="15.75" thickTop="1">
      <c r="A20" s="37" t="s">
        <v>332</v>
      </c>
      <c r="B20" s="11"/>
      <c r="C20" s="11"/>
      <c r="D20" s="45"/>
      <c r="E20" s="38">
        <v>10</v>
      </c>
      <c r="F20" s="38"/>
      <c r="G20" s="37" t="s">
        <v>332</v>
      </c>
      <c r="H20" s="11"/>
      <c r="I20" s="11"/>
      <c r="J20" s="45"/>
      <c r="K20" s="38">
        <v>10</v>
      </c>
    </row>
    <row r="21" spans="1:17" ht="12.75" customHeight="1">
      <c r="A21" s="37" t="s">
        <v>204</v>
      </c>
      <c r="B21" s="367"/>
      <c r="C21" s="367"/>
      <c r="D21" s="1160"/>
      <c r="E21" s="1055">
        <f>E19/E20/365</f>
        <v>35.43940585885403</v>
      </c>
      <c r="F21" s="1055"/>
      <c r="G21" s="37" t="s">
        <v>204</v>
      </c>
      <c r="H21" s="367"/>
      <c r="I21" s="367"/>
      <c r="J21" s="1160"/>
      <c r="K21" s="1055">
        <f>(K19/K20)/365</f>
        <v>47.859822629659647</v>
      </c>
    </row>
    <row r="22" spans="1:17" ht="15.75" thickBot="1">
      <c r="A22" s="766" t="s">
        <v>205</v>
      </c>
      <c r="B22" s="768"/>
      <c r="C22" s="1148">
        <f>N14</f>
        <v>2.7235921972764018E-2</v>
      </c>
      <c r="D22" s="1161"/>
      <c r="E22" s="1165">
        <f>E21*(1+C22)</f>
        <v>36.404630751586893</v>
      </c>
      <c r="F22" s="21"/>
      <c r="G22" s="766" t="s">
        <v>205</v>
      </c>
      <c r="H22" s="768"/>
      <c r="I22" s="1148">
        <f>N14</f>
        <v>2.7235921972764018E-2</v>
      </c>
      <c r="J22" s="1161"/>
      <c r="K22" s="1165">
        <f>K21*(1+I22)</f>
        <v>49.163329024431384</v>
      </c>
    </row>
    <row r="23" spans="1:17" ht="15.75" thickBot="1">
      <c r="A23" s="13"/>
      <c r="B23" s="367"/>
      <c r="C23" s="367"/>
      <c r="D23" s="1054"/>
      <c r="E23" s="782"/>
      <c r="F23" s="754"/>
      <c r="G23" s="13"/>
      <c r="H23" s="13"/>
      <c r="I23" s="13"/>
      <c r="J23" s="781"/>
      <c r="K23" s="367"/>
      <c r="L23" s="782"/>
    </row>
    <row r="24" spans="1:17" ht="15.75" customHeight="1" thickBot="1">
      <c r="A24" s="3319" t="s">
        <v>73</v>
      </c>
      <c r="B24" s="3320"/>
      <c r="C24" s="3320"/>
      <c r="D24" s="3320"/>
      <c r="E24" s="3321"/>
      <c r="G24" s="3319" t="s">
        <v>74</v>
      </c>
      <c r="H24" s="3320"/>
      <c r="I24" s="3320"/>
      <c r="J24" s="3320"/>
      <c r="K24" s="3321"/>
      <c r="M24" s="3319" t="s">
        <v>75</v>
      </c>
      <c r="N24" s="3320"/>
      <c r="O24" s="3320"/>
      <c r="P24" s="3320"/>
      <c r="Q24" s="3321"/>
    </row>
    <row r="25" spans="1:17" ht="15.75" customHeight="1">
      <c r="A25" s="12"/>
      <c r="B25" s="382" t="s">
        <v>189</v>
      </c>
      <c r="C25" s="40" t="s">
        <v>342</v>
      </c>
      <c r="D25" s="41" t="s">
        <v>190</v>
      </c>
      <c r="E25" s="1149" t="s">
        <v>343</v>
      </c>
      <c r="G25" s="12"/>
      <c r="H25" s="382" t="s">
        <v>189</v>
      </c>
      <c r="I25" s="374" t="s">
        <v>342</v>
      </c>
      <c r="J25" s="41" t="s">
        <v>190</v>
      </c>
      <c r="K25" s="14" t="s">
        <v>343</v>
      </c>
      <c r="M25" s="12"/>
      <c r="N25" s="382" t="s">
        <v>189</v>
      </c>
      <c r="O25" s="1169" t="s">
        <v>342</v>
      </c>
      <c r="P25" s="41" t="s">
        <v>190</v>
      </c>
      <c r="Q25" s="1149" t="s">
        <v>343</v>
      </c>
    </row>
    <row r="26" spans="1:17">
      <c r="A26" s="15" t="s">
        <v>191</v>
      </c>
      <c r="B26" s="1162">
        <v>22</v>
      </c>
      <c r="C26" s="1170">
        <f>N6</f>
        <v>58953.990400000002</v>
      </c>
      <c r="D26" s="50">
        <f>Q6</f>
        <v>0.45454545454545453</v>
      </c>
      <c r="E26" s="17">
        <f>C26*D26</f>
        <v>26797.268363636365</v>
      </c>
      <c r="G26" s="15" t="s">
        <v>191</v>
      </c>
      <c r="H26" s="383">
        <f>'[9]Model C DC Clin More Int'!$DF$14</f>
        <v>58.339622641509436</v>
      </c>
      <c r="I26" s="1170">
        <f>N6</f>
        <v>58953.990400000002</v>
      </c>
      <c r="J26" s="50">
        <f>R6</f>
        <v>0.17141009055627424</v>
      </c>
      <c r="K26" s="17">
        <f>I26*J26</f>
        <v>10105.308833117722</v>
      </c>
      <c r="M26" s="15" t="s">
        <v>191</v>
      </c>
      <c r="N26" s="1162">
        <f>'[9]Model D Clin '!$DF$12</f>
        <v>17.290609137055839</v>
      </c>
      <c r="O26" s="1170">
        <f>N6</f>
        <v>58953.990400000002</v>
      </c>
      <c r="P26" s="50">
        <f>S6</f>
        <v>0.57834862385321095</v>
      </c>
      <c r="Q26" s="17">
        <f>O26*P26</f>
        <v>34095.959218495409</v>
      </c>
    </row>
    <row r="27" spans="1:17">
      <c r="A27" s="747" t="s">
        <v>68</v>
      </c>
      <c r="B27" s="383">
        <f>'[9]Model B DC Clin Less Int'!$DG$19</f>
        <v>8.8047224119418797</v>
      </c>
      <c r="C27" s="1170">
        <f t="shared" ref="C27:C29" si="2">N7</f>
        <v>53788.513600000006</v>
      </c>
      <c r="D27" s="50">
        <f t="shared" ref="D27:D29" si="3">Q7</f>
        <v>1.1357541478464965</v>
      </c>
      <c r="E27" s="17">
        <f>C27*D27</f>
        <v>61090.527427697692</v>
      </c>
      <c r="G27" s="747" t="s">
        <v>68</v>
      </c>
      <c r="H27" s="383">
        <f>'[9]Model C DC Clin More Int'!$DG$14</f>
        <v>30.373280943025545</v>
      </c>
      <c r="I27" s="1170">
        <f t="shared" ref="I27:I29" si="4">N7</f>
        <v>53788.513600000006</v>
      </c>
      <c r="J27" s="50">
        <f t="shared" ref="J27:J29" si="5">R7</f>
        <v>0.32923673997412672</v>
      </c>
      <c r="K27" s="17">
        <f>I27*J27</f>
        <v>17709.154865717981</v>
      </c>
      <c r="M27" s="747" t="s">
        <v>68</v>
      </c>
      <c r="N27" s="383">
        <f>'[9]Model D Clin '!$DG$12</f>
        <v>4.9010791366906474</v>
      </c>
      <c r="O27" s="1170">
        <f>N7</f>
        <v>53788.513600000006</v>
      </c>
      <c r="P27" s="50">
        <f>S7</f>
        <v>2.0403669724770643</v>
      </c>
      <c r="Q27" s="17">
        <f>O27*P27</f>
        <v>109748.30664807341</v>
      </c>
    </row>
    <row r="28" spans="1:17">
      <c r="A28" s="18" t="s">
        <v>192</v>
      </c>
      <c r="B28" s="1162">
        <v>8.35</v>
      </c>
      <c r="C28" s="1170">
        <f t="shared" si="2"/>
        <v>37651.547600000005</v>
      </c>
      <c r="D28" s="50">
        <f t="shared" si="3"/>
        <v>1.1976047904191618</v>
      </c>
      <c r="E28" s="17">
        <f>C28*D28</f>
        <v>45091.673772455099</v>
      </c>
      <c r="G28" s="18" t="s">
        <v>192</v>
      </c>
      <c r="H28" s="383">
        <f>'[9]Model C DC Clin More Int'!$DH$14</f>
        <v>3.8286280336800402</v>
      </c>
      <c r="I28" s="1170">
        <f t="shared" si="4"/>
        <v>37651.547600000005</v>
      </c>
      <c r="J28" s="50">
        <f t="shared" si="5"/>
        <v>2.6119016817593788</v>
      </c>
      <c r="K28" s="17">
        <f>I28*J28</f>
        <v>98342.140497283312</v>
      </c>
      <c r="M28" s="18" t="s">
        <v>192</v>
      </c>
      <c r="N28" s="1162"/>
      <c r="O28" s="1170"/>
      <c r="P28" s="50"/>
      <c r="Q28" s="17"/>
    </row>
    <row r="29" spans="1:17">
      <c r="A29" s="372" t="s">
        <v>193</v>
      </c>
      <c r="B29" s="384">
        <v>40</v>
      </c>
      <c r="C29" s="1170">
        <f t="shared" si="2"/>
        <v>32080.329600000001</v>
      </c>
      <c r="D29" s="50">
        <f t="shared" si="3"/>
        <v>0.25</v>
      </c>
      <c r="E29" s="17">
        <f>C29*D29</f>
        <v>8020.0824000000002</v>
      </c>
      <c r="G29" s="372" t="s">
        <v>193</v>
      </c>
      <c r="H29" s="384">
        <f>'[9]Model C DC Clin More Int'!$DI$14</f>
        <v>60.390625</v>
      </c>
      <c r="I29" s="1170">
        <f t="shared" si="4"/>
        <v>32080.329600000001</v>
      </c>
      <c r="J29" s="50">
        <f t="shared" si="5"/>
        <v>0.16558861578266496</v>
      </c>
      <c r="K29" s="17">
        <f>I29*J29</f>
        <v>5312.1373723156539</v>
      </c>
      <c r="M29" s="372" t="s">
        <v>193</v>
      </c>
      <c r="N29" s="384">
        <f>'[9]Model D Clin '!$DI$12</f>
        <v>76.544943820224717</v>
      </c>
      <c r="O29" s="1170">
        <f>N9</f>
        <v>32080.329600000001</v>
      </c>
      <c r="P29" s="50">
        <f>S9</f>
        <v>0.13064220183486239</v>
      </c>
      <c r="Q29" s="17">
        <f>O29*P29</f>
        <v>4191.0448945321104</v>
      </c>
    </row>
    <row r="30" spans="1:17">
      <c r="A30" s="751" t="s">
        <v>194</v>
      </c>
      <c r="B30" s="1167"/>
      <c r="C30" s="752"/>
      <c r="D30" s="1154">
        <f>SUM(D26:D29)</f>
        <v>3.0379043928111127</v>
      </c>
      <c r="E30" s="753">
        <f>SUM(E26:E29)</f>
        <v>140999.55196378918</v>
      </c>
      <c r="G30" s="751" t="s">
        <v>194</v>
      </c>
      <c r="H30" s="1167"/>
      <c r="I30" s="752"/>
      <c r="J30" s="1154">
        <f>SUM(J26:J29)</f>
        <v>3.2781371280724447</v>
      </c>
      <c r="K30" s="753">
        <f>SUM(K26:K29)</f>
        <v>131468.74156843466</v>
      </c>
      <c r="M30" s="751" t="s">
        <v>194</v>
      </c>
      <c r="N30" s="1167"/>
      <c r="O30" s="752"/>
      <c r="P30" s="1154">
        <f>SUM(P26:P29)</f>
        <v>2.7493577981651378</v>
      </c>
      <c r="Q30" s="753">
        <f>SUM(Q26:Q29)</f>
        <v>148035.31076110093</v>
      </c>
    </row>
    <row r="31" spans="1:17" ht="15.75">
      <c r="A31" s="19"/>
      <c r="B31" s="939"/>
      <c r="C31" s="754"/>
      <c r="D31" s="940"/>
      <c r="E31" s="21"/>
      <c r="G31" s="19"/>
      <c r="H31" s="939"/>
      <c r="I31" s="754"/>
      <c r="J31" s="940"/>
      <c r="K31" s="21"/>
      <c r="M31" s="19"/>
      <c r="N31" s="939"/>
      <c r="O31" s="754"/>
      <c r="P31" s="755"/>
      <c r="Q31" s="21"/>
    </row>
    <row r="32" spans="1:17">
      <c r="A32" s="12" t="s">
        <v>195</v>
      </c>
      <c r="B32" s="367"/>
      <c r="C32" s="367"/>
      <c r="D32" s="41"/>
      <c r="E32" s="14"/>
      <c r="G32" s="12" t="s">
        <v>195</v>
      </c>
      <c r="H32" s="382"/>
      <c r="I32" s="367"/>
      <c r="J32" s="368"/>
      <c r="K32" s="14"/>
      <c r="M32" s="12" t="s">
        <v>195</v>
      </c>
      <c r="N32" s="382"/>
      <c r="O32" s="367"/>
      <c r="P32" s="368"/>
      <c r="Q32" s="14"/>
    </row>
    <row r="33" spans="1:18" ht="16.5" customHeight="1">
      <c r="A33" s="22" t="s">
        <v>196</v>
      </c>
      <c r="C33" s="1150">
        <f>N11</f>
        <v>0.24</v>
      </c>
      <c r="D33" s="1155"/>
      <c r="E33" s="24">
        <f>C33*E30</f>
        <v>33839.892471309402</v>
      </c>
      <c r="G33" s="22" t="s">
        <v>196</v>
      </c>
      <c r="H33" s="39"/>
      <c r="I33" s="1153">
        <f>N11</f>
        <v>0.24</v>
      </c>
      <c r="J33" s="375"/>
      <c r="K33" s="24">
        <f>I33*K30</f>
        <v>31552.497976424318</v>
      </c>
      <c r="M33" s="22" t="s">
        <v>196</v>
      </c>
      <c r="N33" s="43"/>
      <c r="O33" s="1153">
        <f>N11</f>
        <v>0.24</v>
      </c>
      <c r="P33" s="375"/>
      <c r="Q33" s="24">
        <f>Q30*O33</f>
        <v>35528.474582664225</v>
      </c>
    </row>
    <row r="34" spans="1:18">
      <c r="A34" s="26" t="s">
        <v>198</v>
      </c>
      <c r="B34" s="376"/>
      <c r="C34" s="376"/>
      <c r="D34" s="1156"/>
      <c r="E34" s="28">
        <f>E30+E33</f>
        <v>174839.44443509859</v>
      </c>
      <c r="G34" s="26" t="s">
        <v>198</v>
      </c>
      <c r="H34" s="1168"/>
      <c r="I34" s="376"/>
      <c r="J34" s="377"/>
      <c r="K34" s="28">
        <f>K30+K33</f>
        <v>163021.23954485898</v>
      </c>
      <c r="M34" s="26" t="s">
        <v>198</v>
      </c>
      <c r="N34" s="1168"/>
      <c r="O34" s="376"/>
      <c r="P34" s="377"/>
      <c r="Q34" s="28">
        <f>Q30+Q33</f>
        <v>183563.78534376516</v>
      </c>
    </row>
    <row r="35" spans="1:18">
      <c r="A35" s="29"/>
      <c r="B35" s="371"/>
      <c r="C35" s="371"/>
      <c r="D35" s="1157"/>
      <c r="E35" s="14"/>
      <c r="G35" s="29"/>
      <c r="H35" s="1183"/>
      <c r="I35" s="371"/>
      <c r="J35" s="378"/>
      <c r="K35" s="14"/>
      <c r="M35" s="29"/>
      <c r="N35" s="371"/>
      <c r="O35" s="371"/>
      <c r="P35" s="378"/>
      <c r="Q35" s="14"/>
    </row>
    <row r="36" spans="1:18">
      <c r="A36" s="31" t="str">
        <f>M13</f>
        <v>Non Staff Direct Expense (% of total Comp)</v>
      </c>
      <c r="B36" s="371"/>
      <c r="C36" s="1136">
        <f>Q13</f>
        <v>0.21310000000000001</v>
      </c>
      <c r="D36" s="1157"/>
      <c r="E36" s="32">
        <f>C36*E34</f>
        <v>37258.285609119514</v>
      </c>
      <c r="G36" s="31" t="str">
        <f>M13</f>
        <v>Non Staff Direct Expense (% of total Comp)</v>
      </c>
      <c r="H36" s="1183"/>
      <c r="I36" s="1136">
        <f>R13</f>
        <v>0.28775000000000001</v>
      </c>
      <c r="J36" s="378"/>
      <c r="K36" s="32">
        <f>K34*I36</f>
        <v>46909.361679033173</v>
      </c>
      <c r="M36" s="31" t="str">
        <f>M13</f>
        <v>Non Staff Direct Expense (% of total Comp)</v>
      </c>
      <c r="N36" s="371"/>
      <c r="O36" s="1136">
        <f>S13</f>
        <v>0.20979999999999999</v>
      </c>
      <c r="P36" s="378"/>
      <c r="Q36" s="32">
        <f>O36*Q34</f>
        <v>38511.682165121929</v>
      </c>
    </row>
    <row r="37" spans="1:18">
      <c r="A37" s="26" t="s">
        <v>200</v>
      </c>
      <c r="B37" s="376"/>
      <c r="C37" s="376"/>
      <c r="D37" s="1156"/>
      <c r="E37" s="28">
        <f>E34+E36</f>
        <v>212097.7300442181</v>
      </c>
      <c r="G37" s="26" t="s">
        <v>200</v>
      </c>
      <c r="H37" s="1168"/>
      <c r="I37" s="376"/>
      <c r="J37" s="377"/>
      <c r="K37" s="28">
        <f>K34+K36</f>
        <v>209930.60122389215</v>
      </c>
      <c r="M37" s="26" t="s">
        <v>200</v>
      </c>
      <c r="N37" s="376"/>
      <c r="O37" s="376"/>
      <c r="P37" s="377"/>
      <c r="Q37" s="28">
        <f>Q34+Q36</f>
        <v>222075.46750888709</v>
      </c>
    </row>
    <row r="38" spans="1:18">
      <c r="A38" s="31" t="s">
        <v>201</v>
      </c>
      <c r="B38" s="371"/>
      <c r="C38" s="778">
        <f>N12</f>
        <v>0.12</v>
      </c>
      <c r="D38" s="1157"/>
      <c r="E38" s="32">
        <f>C38*E37</f>
        <v>25451.727605306172</v>
      </c>
      <c r="G38" s="31" t="s">
        <v>201</v>
      </c>
      <c r="H38" s="1183"/>
      <c r="I38" s="1136">
        <f>N12</f>
        <v>0.12</v>
      </c>
      <c r="J38" s="378"/>
      <c r="K38" s="32">
        <f>I38*K37</f>
        <v>25191.672146867058</v>
      </c>
      <c r="M38" s="31" t="s">
        <v>201</v>
      </c>
      <c r="N38" s="371"/>
      <c r="O38" s="1136">
        <f>N12</f>
        <v>0.12</v>
      </c>
      <c r="P38" s="378"/>
      <c r="Q38" s="32">
        <f>O38*Q37</f>
        <v>26649.05610106645</v>
      </c>
    </row>
    <row r="39" spans="1:18">
      <c r="A39" s="33"/>
      <c r="B39" s="762"/>
      <c r="C39" s="762"/>
      <c r="D39" s="1158"/>
      <c r="E39" s="34"/>
      <c r="G39" s="33"/>
      <c r="H39" s="1184"/>
      <c r="I39" s="762"/>
      <c r="J39" s="763"/>
      <c r="K39" s="34"/>
      <c r="M39" s="33"/>
      <c r="N39" s="762"/>
      <c r="O39" s="762"/>
      <c r="P39" s="763"/>
      <c r="Q39" s="34"/>
    </row>
    <row r="40" spans="1:18" ht="15.75" thickBot="1">
      <c r="A40" s="35" t="s">
        <v>203</v>
      </c>
      <c r="B40" s="764"/>
      <c r="C40" s="764"/>
      <c r="D40" s="1159"/>
      <c r="E40" s="36">
        <f>E37+E38</f>
        <v>237549.45764952427</v>
      </c>
      <c r="G40" s="35" t="s">
        <v>203</v>
      </c>
      <c r="H40" s="1185"/>
      <c r="I40" s="764"/>
      <c r="J40" s="765"/>
      <c r="K40" s="36">
        <f>K37+K38</f>
        <v>235122.27337075921</v>
      </c>
      <c r="M40" s="35" t="s">
        <v>203</v>
      </c>
      <c r="N40" s="764"/>
      <c r="O40" s="764"/>
      <c r="P40" s="765"/>
      <c r="Q40" s="36">
        <f>Q37+Q38</f>
        <v>248724.52360995353</v>
      </c>
    </row>
    <row r="41" spans="1:18" ht="15.75" thickTop="1">
      <c r="A41" s="37" t="s">
        <v>332</v>
      </c>
      <c r="B41" s="11"/>
      <c r="C41" s="11"/>
      <c r="D41" s="45"/>
      <c r="E41" s="38">
        <v>10</v>
      </c>
      <c r="G41" s="37" t="s">
        <v>332</v>
      </c>
      <c r="H41" s="39"/>
      <c r="I41" s="11"/>
      <c r="J41" s="25"/>
      <c r="K41" s="38">
        <v>10</v>
      </c>
      <c r="M41" s="37" t="s">
        <v>332</v>
      </c>
      <c r="N41" s="11"/>
      <c r="O41" s="11"/>
      <c r="P41" s="25"/>
      <c r="Q41" s="38">
        <v>10</v>
      </c>
    </row>
    <row r="42" spans="1:18">
      <c r="A42" s="37" t="s">
        <v>204</v>
      </c>
      <c r="B42" s="367"/>
      <c r="C42" s="367"/>
      <c r="D42" s="1160"/>
      <c r="E42" s="1055">
        <f>(E40/E41)/365</f>
        <v>65.082043191650484</v>
      </c>
      <c r="G42" s="37" t="s">
        <v>204</v>
      </c>
      <c r="H42" s="382"/>
      <c r="I42" s="367"/>
      <c r="J42" s="1163"/>
      <c r="K42" s="1055">
        <f>(K40/K41)/365</f>
        <v>64.417061197468271</v>
      </c>
      <c r="M42" s="37" t="s">
        <v>204</v>
      </c>
      <c r="N42" s="367"/>
      <c r="O42" s="367"/>
      <c r="P42" s="1163"/>
      <c r="Q42" s="1055">
        <f>(Q40/Q41)/365</f>
        <v>68.143705098617403</v>
      </c>
      <c r="R42" s="1133"/>
    </row>
    <row r="43" spans="1:18" ht="15.75" thickBot="1">
      <c r="A43" s="766" t="s">
        <v>205</v>
      </c>
      <c r="B43" s="768"/>
      <c r="C43" s="1148">
        <f>N14</f>
        <v>2.7235921972764018E-2</v>
      </c>
      <c r="D43" s="1161"/>
      <c r="E43" s="1165">
        <f>E42*(1+C43)</f>
        <v>66.85461264184633</v>
      </c>
      <c r="G43" s="766" t="s">
        <v>205</v>
      </c>
      <c r="H43" s="1186"/>
      <c r="I43" s="767">
        <f>N14</f>
        <v>2.7235921972764018E-2</v>
      </c>
      <c r="J43" s="1164"/>
      <c r="K43" s="1166">
        <f>K42*(1+I43)</f>
        <v>66.171519249957285</v>
      </c>
      <c r="M43" s="766" t="s">
        <v>205</v>
      </c>
      <c r="N43" s="768"/>
      <c r="O43" s="767">
        <f>N14</f>
        <v>2.7235921972764018E-2</v>
      </c>
      <c r="P43" s="1164"/>
      <c r="Q43" s="1166">
        <f>Q42*(O43+1)</f>
        <v>69.999661733618396</v>
      </c>
      <c r="R43" s="1133"/>
    </row>
    <row r="44" spans="1:18" ht="15.75" thickBot="1">
      <c r="R44" s="1133"/>
    </row>
    <row r="45" spans="1:18" ht="15" customHeight="1" thickBot="1">
      <c r="A45" s="3319" t="s">
        <v>76</v>
      </c>
      <c r="B45" s="3322"/>
      <c r="C45" s="3322"/>
      <c r="D45" s="3322"/>
      <c r="E45" s="3323"/>
      <c r="G45" s="3319" t="s">
        <v>77</v>
      </c>
      <c r="H45" s="3320"/>
      <c r="I45" s="3320"/>
      <c r="J45" s="3320"/>
      <c r="K45" s="3321"/>
      <c r="M45" s="3324" t="s">
        <v>78</v>
      </c>
      <c r="N45" s="3325"/>
      <c r="O45" s="3325"/>
      <c r="P45" s="3325"/>
      <c r="Q45" s="3326"/>
    </row>
    <row r="46" spans="1:18" ht="15.75" customHeight="1">
      <c r="A46" s="12"/>
      <c r="B46" s="382" t="s">
        <v>189</v>
      </c>
      <c r="C46" s="40" t="s">
        <v>342</v>
      </c>
      <c r="D46" s="41" t="s">
        <v>190</v>
      </c>
      <c r="E46" s="1149" t="s">
        <v>343</v>
      </c>
      <c r="G46" s="12"/>
      <c r="H46" s="382" t="s">
        <v>189</v>
      </c>
      <c r="I46" s="40" t="s">
        <v>342</v>
      </c>
      <c r="J46" s="41" t="s">
        <v>190</v>
      </c>
      <c r="K46" s="1149" t="s">
        <v>343</v>
      </c>
      <c r="M46" s="31"/>
      <c r="N46" s="382" t="s">
        <v>189</v>
      </c>
      <c r="O46" s="40" t="s">
        <v>342</v>
      </c>
      <c r="P46" s="41" t="s">
        <v>190</v>
      </c>
      <c r="Q46" s="1149" t="s">
        <v>343</v>
      </c>
    </row>
    <row r="47" spans="1:18">
      <c r="A47" s="15" t="s">
        <v>191</v>
      </c>
      <c r="B47" s="1162">
        <f>'[9]Model E DC Clin High Int.'!$DF$11</f>
        <v>14.473684210526315</v>
      </c>
      <c r="C47" s="1170">
        <f>N6</f>
        <v>58953.990400000002</v>
      </c>
      <c r="D47" s="50">
        <f>T6</f>
        <v>0.69090909090909092</v>
      </c>
      <c r="E47" s="17">
        <f>C47*D47</f>
        <v>40731.847912727273</v>
      </c>
      <c r="G47" s="15" t="s">
        <v>191</v>
      </c>
      <c r="H47" s="1162">
        <f>'[9]Model F DC Clin Highest Int.'!$DF$9</f>
        <v>18.454753009547535</v>
      </c>
      <c r="I47" s="1170">
        <f>N6</f>
        <v>58953.990400000002</v>
      </c>
      <c r="J47" s="50">
        <f>U6</f>
        <v>0.54186582691334406</v>
      </c>
      <c r="K47" s="17">
        <f>I47*J47</f>
        <v>31945.152757937351</v>
      </c>
      <c r="M47" s="15" t="s">
        <v>191</v>
      </c>
      <c r="N47" s="1173">
        <f>'[9]Model G DC CL Higher Int'!$DF$20</f>
        <v>17.661768368617683</v>
      </c>
      <c r="O47" s="1170">
        <f>N6</f>
        <v>58953.990400000002</v>
      </c>
      <c r="P47" s="50">
        <f>V6</f>
        <v>0.56619472021660655</v>
      </c>
      <c r="Q47" s="17">
        <f>O47*P47</f>
        <v>33379.438100180509</v>
      </c>
    </row>
    <row r="48" spans="1:18">
      <c r="A48" s="747" t="s">
        <v>68</v>
      </c>
      <c r="B48" s="383">
        <f>'[9]Model E DC Clin High Int.'!$DG$11</f>
        <v>5.1717902350813745</v>
      </c>
      <c r="C48" s="1170">
        <f t="shared" ref="C48:C50" si="6">N7</f>
        <v>53788.513600000006</v>
      </c>
      <c r="D48" s="50">
        <f t="shared" ref="D48:D50" si="7">T7</f>
        <v>1.9335664335664335</v>
      </c>
      <c r="E48" s="17">
        <f>C48*D48</f>
        <v>104003.66440839162</v>
      </c>
      <c r="G48" s="747" t="s">
        <v>68</v>
      </c>
      <c r="H48" s="383">
        <f>'[9]Model F DC Clin Highest Int.'!$DG$9</f>
        <v>5.4194157892330903</v>
      </c>
      <c r="I48" s="1170">
        <f t="shared" ref="I48:I50" si="8">N7</f>
        <v>53788.513600000006</v>
      </c>
      <c r="J48" s="50">
        <f t="shared" ref="J48:J50" si="9">U7</f>
        <v>1.8452173424056681</v>
      </c>
      <c r="K48" s="17">
        <f>I48*J48</f>
        <v>99251.498116943141</v>
      </c>
      <c r="M48" s="747" t="s">
        <v>68</v>
      </c>
      <c r="N48" s="1173">
        <f>'[9]Model G DC CL Higher Int'!$DG$20</f>
        <v>7.8338488731771978</v>
      </c>
      <c r="O48" s="1170">
        <f t="shared" ref="O48:O50" si="10">N7</f>
        <v>53788.513600000006</v>
      </c>
      <c r="P48" s="50">
        <f t="shared" ref="P48:P50" si="11">V7</f>
        <v>1.2765117328519857</v>
      </c>
      <c r="Q48" s="17">
        <f>O48*P48</f>
        <v>68661.668703068601</v>
      </c>
    </row>
    <row r="49" spans="1:17">
      <c r="A49" s="18" t="s">
        <v>192</v>
      </c>
      <c r="B49" s="1162">
        <f>'[9]Model E DC Clin High Int.'!$DH$11</f>
        <v>6.5596330275229358</v>
      </c>
      <c r="C49" s="1170">
        <f t="shared" si="6"/>
        <v>37651.547600000005</v>
      </c>
      <c r="D49" s="50">
        <f t="shared" si="7"/>
        <v>1.5244755244755246</v>
      </c>
      <c r="E49" s="17">
        <f>C49*D49</f>
        <v>57398.862774825189</v>
      </c>
      <c r="G49" s="18" t="s">
        <v>192</v>
      </c>
      <c r="H49" s="1162">
        <f>'[9]Model F DC Clin Highest Int.'!$DH$9</f>
        <v>2.0470818464372051</v>
      </c>
      <c r="I49" s="1170">
        <f t="shared" si="8"/>
        <v>37651.547600000005</v>
      </c>
      <c r="J49" s="50">
        <f t="shared" si="9"/>
        <v>4.8850025305066636</v>
      </c>
      <c r="K49" s="17">
        <f>I49*J49</f>
        <v>183927.90530349212</v>
      </c>
      <c r="M49" s="18" t="s">
        <v>192</v>
      </c>
      <c r="N49" s="1174">
        <f>'[9]Model G DC CL Higher Int'!$DH$20</f>
        <v>3.0356164383561643</v>
      </c>
      <c r="O49" s="1170">
        <f t="shared" si="10"/>
        <v>37651.547600000005</v>
      </c>
      <c r="P49" s="50">
        <f t="shared" si="11"/>
        <v>3.2942238267148016</v>
      </c>
      <c r="Q49" s="17">
        <f>O49*P49</f>
        <v>124032.62521660652</v>
      </c>
    </row>
    <row r="50" spans="1:17">
      <c r="A50" s="372" t="s">
        <v>193</v>
      </c>
      <c r="B50" s="384">
        <f>'[9]Model E DC Clin High Int.'!$DI$11</f>
        <v>48.80546075085325</v>
      </c>
      <c r="C50" s="1170">
        <f t="shared" si="6"/>
        <v>32080.329600000001</v>
      </c>
      <c r="D50" s="50">
        <f t="shared" si="7"/>
        <v>0.20489510489510487</v>
      </c>
      <c r="E50" s="17">
        <f>C50*D50</f>
        <v>6573.1024984615378</v>
      </c>
      <c r="G50" s="372" t="s">
        <v>193</v>
      </c>
      <c r="H50" s="384">
        <f>'[9]Model F DC Clin Highest Int.'!$DI$9</f>
        <v>29.889906714849992</v>
      </c>
      <c r="I50" s="1170">
        <f t="shared" si="8"/>
        <v>32080.329600000001</v>
      </c>
      <c r="J50" s="50">
        <f t="shared" si="9"/>
        <v>0.33456109767755715</v>
      </c>
      <c r="K50" s="17">
        <f>I50*J50</f>
        <v>10732.830284833828</v>
      </c>
      <c r="M50" s="372" t="s">
        <v>193</v>
      </c>
      <c r="N50" s="1174">
        <f>'[9]Model G DC CL Higher Int'!$DI$20</f>
        <v>21.117331745086361</v>
      </c>
      <c r="O50" s="1170">
        <f t="shared" si="10"/>
        <v>32080.329600000001</v>
      </c>
      <c r="P50" s="50">
        <f t="shared" si="11"/>
        <v>0.47354467509025272</v>
      </c>
      <c r="Q50" s="17">
        <f>O50*P50</f>
        <v>15191.469257220217</v>
      </c>
    </row>
    <row r="51" spans="1:17">
      <c r="A51" s="751" t="s">
        <v>194</v>
      </c>
      <c r="B51" s="1167"/>
      <c r="C51" s="752"/>
      <c r="D51" s="1154">
        <f>SUM(D47:D50)</f>
        <v>4.3538461538461544</v>
      </c>
      <c r="E51" s="753">
        <f>SUM(E47:E50)</f>
        <v>208707.47759440565</v>
      </c>
      <c r="G51" s="751" t="s">
        <v>194</v>
      </c>
      <c r="H51" s="1167"/>
      <c r="I51" s="752"/>
      <c r="J51" s="1154">
        <f>SUM(J47:J50)</f>
        <v>7.6066467975032328</v>
      </c>
      <c r="K51" s="753">
        <f>SUM(K47:K50)</f>
        <v>325857.38646320644</v>
      </c>
      <c r="M51" s="751" t="s">
        <v>194</v>
      </c>
      <c r="N51" s="1175"/>
      <c r="O51" s="752"/>
      <c r="P51" s="1154">
        <f>SUM(P47:P50)</f>
        <v>5.6104749548736468</v>
      </c>
      <c r="Q51" s="753">
        <f>SUM(Q47:Q50)</f>
        <v>241265.20127707586</v>
      </c>
    </row>
    <row r="52" spans="1:17" ht="15.75">
      <c r="A52" s="19"/>
      <c r="B52" s="754"/>
      <c r="C52" s="754"/>
      <c r="D52" s="940"/>
      <c r="E52" s="21"/>
      <c r="G52" s="19"/>
      <c r="H52" s="754"/>
      <c r="I52" s="754"/>
      <c r="J52" s="940"/>
      <c r="K52" s="21"/>
      <c r="M52" s="19"/>
      <c r="N52" s="748"/>
      <c r="O52" s="754"/>
      <c r="P52" s="940"/>
      <c r="Q52" s="21"/>
    </row>
    <row r="53" spans="1:17">
      <c r="A53" s="12" t="s">
        <v>195</v>
      </c>
      <c r="B53" s="367"/>
      <c r="C53" s="367"/>
      <c r="D53" s="41"/>
      <c r="E53" s="14"/>
      <c r="G53" s="12" t="s">
        <v>195</v>
      </c>
      <c r="H53" s="367"/>
      <c r="I53" s="367"/>
      <c r="J53" s="41"/>
      <c r="K53" s="14"/>
      <c r="M53" s="12" t="s">
        <v>195</v>
      </c>
      <c r="N53" s="748"/>
      <c r="O53" s="367"/>
      <c r="P53" s="41"/>
      <c r="Q53" s="14"/>
    </row>
    <row r="54" spans="1:17">
      <c r="A54" s="22" t="s">
        <v>196</v>
      </c>
      <c r="C54" s="1150">
        <f>N11</f>
        <v>0.24</v>
      </c>
      <c r="D54" s="1155"/>
      <c r="E54" s="24">
        <f>C54*E51</f>
        <v>50089.794622657355</v>
      </c>
      <c r="G54" s="22" t="s">
        <v>196</v>
      </c>
      <c r="I54" s="1150">
        <f>N11</f>
        <v>0.24</v>
      </c>
      <c r="J54" s="1155"/>
      <c r="K54" s="24">
        <f>K51*I54</f>
        <v>78205.772751169541</v>
      </c>
      <c r="M54" s="22" t="s">
        <v>196</v>
      </c>
      <c r="N54" s="750"/>
      <c r="O54" s="1150">
        <f>N11</f>
        <v>0.24</v>
      </c>
      <c r="P54" s="1155"/>
      <c r="Q54" s="24">
        <f>O54*Q51</f>
        <v>57903.648306498202</v>
      </c>
    </row>
    <row r="55" spans="1:17">
      <c r="A55" s="26" t="s">
        <v>198</v>
      </c>
      <c r="B55" s="376"/>
      <c r="C55" s="376"/>
      <c r="D55" s="1156"/>
      <c r="E55" s="28">
        <v>251226</v>
      </c>
      <c r="G55" s="26" t="s">
        <v>198</v>
      </c>
      <c r="H55" s="376"/>
      <c r="I55" s="376"/>
      <c r="J55" s="1156"/>
      <c r="K55" s="28">
        <f>K51+K54</f>
        <v>404063.15921437601</v>
      </c>
      <c r="M55" s="26" t="s">
        <v>198</v>
      </c>
      <c r="N55" s="752"/>
      <c r="O55" s="376"/>
      <c r="P55" s="1156"/>
      <c r="Q55" s="28">
        <f>SUM(Q51+Q54)</f>
        <v>299168.84958357405</v>
      </c>
    </row>
    <row r="56" spans="1:17">
      <c r="A56" s="29"/>
      <c r="B56" s="371"/>
      <c r="C56" s="371"/>
      <c r="D56" s="378"/>
      <c r="E56" s="14"/>
      <c r="G56" s="29"/>
      <c r="H56" s="371"/>
      <c r="I56" s="371"/>
      <c r="J56" s="378"/>
      <c r="K56" s="14"/>
      <c r="M56" s="29"/>
      <c r="N56" s="754"/>
      <c r="O56" s="371"/>
      <c r="P56" s="378"/>
      <c r="Q56" s="14"/>
    </row>
    <row r="57" spans="1:17">
      <c r="A57" s="31" t="str">
        <f>M13</f>
        <v>Non Staff Direct Expense (% of total Comp)</v>
      </c>
      <c r="B57" s="371"/>
      <c r="C57" s="1150">
        <f>T13</f>
        <v>0.29899999999999999</v>
      </c>
      <c r="D57" s="378"/>
      <c r="E57" s="32">
        <f>E55*C57</f>
        <v>75116.573999999993</v>
      </c>
      <c r="G57" s="31" t="str">
        <f>M13</f>
        <v>Non Staff Direct Expense (% of total Comp)</v>
      </c>
      <c r="H57" s="371"/>
      <c r="I57" s="1150">
        <f>U13</f>
        <v>0.16789999999999999</v>
      </c>
      <c r="J57" s="378"/>
      <c r="K57" s="32">
        <f>K55*I57</f>
        <v>67842.204432093728</v>
      </c>
      <c r="M57" s="31" t="str">
        <f>M13</f>
        <v>Non Staff Direct Expense (% of total Comp)</v>
      </c>
      <c r="N57" s="367"/>
      <c r="O57" s="1150">
        <f>V13</f>
        <v>0.31219999999999998</v>
      </c>
      <c r="P57" s="378"/>
      <c r="Q57" s="32">
        <f>Q55*O57</f>
        <v>93400.514839991811</v>
      </c>
    </row>
    <row r="58" spans="1:17">
      <c r="A58" s="26" t="s">
        <v>200</v>
      </c>
      <c r="B58" s="376"/>
      <c r="C58" s="376"/>
      <c r="D58" s="377"/>
      <c r="E58" s="28">
        <f>E57+E55</f>
        <v>326342.57400000002</v>
      </c>
      <c r="G58" s="26" t="s">
        <v>200</v>
      </c>
      <c r="H58" s="376"/>
      <c r="I58" s="376"/>
      <c r="J58" s="377"/>
      <c r="K58" s="28">
        <f>K55+K57</f>
        <v>471905.36364646972</v>
      </c>
      <c r="M58" s="26" t="s">
        <v>200</v>
      </c>
      <c r="N58" s="776"/>
      <c r="O58" s="376"/>
      <c r="P58" s="377"/>
      <c r="Q58" s="28">
        <f>Q55+Q57</f>
        <v>392569.36442356586</v>
      </c>
    </row>
    <row r="59" spans="1:17">
      <c r="A59" s="31" t="s">
        <v>201</v>
      </c>
      <c r="B59" s="371"/>
      <c r="C59" s="1150">
        <f>N12</f>
        <v>0.12</v>
      </c>
      <c r="D59" s="378"/>
      <c r="E59" s="32">
        <f>E58*C59</f>
        <v>39161.10888</v>
      </c>
      <c r="G59" s="31" t="s">
        <v>201</v>
      </c>
      <c r="H59" s="371"/>
      <c r="I59" s="1150">
        <f>N12</f>
        <v>0.12</v>
      </c>
      <c r="J59" s="378"/>
      <c r="K59" s="32">
        <f>I59*K58</f>
        <v>56628.643637576366</v>
      </c>
      <c r="M59" s="31" t="s">
        <v>201</v>
      </c>
      <c r="N59" s="371"/>
      <c r="O59" s="1150">
        <f>N12</f>
        <v>0.12</v>
      </c>
      <c r="P59" s="378"/>
      <c r="Q59" s="32">
        <f>O59*Q58</f>
        <v>47108.323730827899</v>
      </c>
    </row>
    <row r="60" spans="1:17">
      <c r="A60" s="33"/>
      <c r="B60" s="762"/>
      <c r="C60" s="762"/>
      <c r="D60" s="763"/>
      <c r="E60" s="34"/>
      <c r="G60" s="33"/>
      <c r="H60" s="762"/>
      <c r="I60" s="762"/>
      <c r="J60" s="763"/>
      <c r="K60" s="34"/>
      <c r="M60" s="12"/>
      <c r="N60" s="371"/>
      <c r="O60" s="762"/>
      <c r="P60" s="763"/>
      <c r="Q60" s="34"/>
    </row>
    <row r="61" spans="1:17" ht="15.75" thickBot="1">
      <c r="A61" s="35" t="s">
        <v>203</v>
      </c>
      <c r="B61" s="764"/>
      <c r="C61" s="764"/>
      <c r="D61" s="765"/>
      <c r="E61" s="36">
        <f>E58+E59</f>
        <v>365503.68288000004</v>
      </c>
      <c r="G61" s="35" t="s">
        <v>203</v>
      </c>
      <c r="H61" s="764"/>
      <c r="I61" s="764"/>
      <c r="J61" s="765"/>
      <c r="K61" s="36">
        <f>K58+K59</f>
        <v>528534.00728404603</v>
      </c>
      <c r="M61" s="35" t="s">
        <v>203</v>
      </c>
      <c r="N61" s="1176"/>
      <c r="O61" s="764"/>
      <c r="P61" s="765"/>
      <c r="Q61" s="36">
        <f>Q58+Q59</f>
        <v>439677.68815439375</v>
      </c>
    </row>
    <row r="62" spans="1:17" ht="15.75" thickTop="1">
      <c r="A62" s="37" t="s">
        <v>332</v>
      </c>
      <c r="B62" s="11"/>
      <c r="C62" s="11"/>
      <c r="D62" s="25"/>
      <c r="E62" s="38">
        <v>10</v>
      </c>
      <c r="G62" s="37" t="s">
        <v>332</v>
      </c>
      <c r="H62" s="11"/>
      <c r="I62" s="11"/>
      <c r="J62" s="25"/>
      <c r="K62" s="38">
        <v>10</v>
      </c>
      <c r="M62" s="37" t="s">
        <v>332</v>
      </c>
      <c r="N62" s="371"/>
      <c r="O62" s="11"/>
      <c r="P62" s="25"/>
      <c r="Q62" s="38">
        <v>10</v>
      </c>
    </row>
    <row r="63" spans="1:17">
      <c r="A63" s="37" t="s">
        <v>204</v>
      </c>
      <c r="B63" s="367"/>
      <c r="C63" s="367"/>
      <c r="D63" s="1163"/>
      <c r="E63" s="1055">
        <f>(E61/E62)/365</f>
        <v>100.13799530958906</v>
      </c>
      <c r="G63" s="37" t="s">
        <v>204</v>
      </c>
      <c r="H63" s="367"/>
      <c r="I63" s="367"/>
      <c r="J63" s="1163"/>
      <c r="K63" s="1055">
        <f>K61/K62/365</f>
        <v>144.80383761206741</v>
      </c>
      <c r="M63" s="37" t="s">
        <v>204</v>
      </c>
      <c r="N63" s="371"/>
      <c r="O63" s="367"/>
      <c r="P63" s="1163"/>
      <c r="Q63" s="1055">
        <f>Q61/Q62/365</f>
        <v>120.45964059024487</v>
      </c>
    </row>
    <row r="64" spans="1:17" ht="15.75" thickBot="1">
      <c r="A64" s="766" t="s">
        <v>205</v>
      </c>
      <c r="B64" s="768"/>
      <c r="C64" s="1171">
        <f>N14</f>
        <v>2.7235921972764018E-2</v>
      </c>
      <c r="D64" s="1164"/>
      <c r="E64" s="1165">
        <f>E63*(1+C64)</f>
        <v>102.86534593635004</v>
      </c>
      <c r="G64" s="766" t="s">
        <v>205</v>
      </c>
      <c r="H64" s="768"/>
      <c r="I64" s="1171">
        <f>N14</f>
        <v>2.7235921972764018E-2</v>
      </c>
      <c r="J64" s="1164"/>
      <c r="K64" s="1165">
        <f>K63*(1+I64)</f>
        <v>148.74770363462648</v>
      </c>
      <c r="M64" s="766" t="s">
        <v>205</v>
      </c>
      <c r="N64" s="768"/>
      <c r="O64" s="1171">
        <f>N14</f>
        <v>2.7235921972764018E-2</v>
      </c>
      <c r="P64" s="1164"/>
      <c r="Q64" s="1165">
        <f>Q63*(1+O64)</f>
        <v>123.74046996222798</v>
      </c>
    </row>
    <row r="65" spans="4:21" ht="13.5" customHeight="1"/>
    <row r="70" spans="4:21">
      <c r="E70" s="1172"/>
    </row>
    <row r="74" spans="4:21">
      <c r="G74" s="11"/>
      <c r="H74" s="761"/>
      <c r="I74" s="23"/>
      <c r="J74" s="772"/>
      <c r="K74" s="371"/>
      <c r="L74" s="774"/>
      <c r="P74" s="11"/>
      <c r="Q74" s="761"/>
      <c r="R74" s="23"/>
      <c r="S74" s="772"/>
      <c r="T74" s="371"/>
      <c r="U74" s="371"/>
    </row>
    <row r="75" spans="4:21">
      <c r="G75" s="13"/>
      <c r="H75" s="13"/>
      <c r="I75" s="13"/>
      <c r="J75" s="773"/>
      <c r="K75" s="367"/>
      <c r="L75" s="777"/>
      <c r="P75" s="13"/>
      <c r="Q75" s="13"/>
      <c r="R75" s="13"/>
      <c r="S75" s="773"/>
      <c r="T75" s="367"/>
      <c r="U75" s="367"/>
    </row>
    <row r="76" spans="4:21">
      <c r="D76" s="770"/>
      <c r="E76" s="771"/>
      <c r="G76" s="13"/>
      <c r="H76" s="13"/>
      <c r="I76" s="13"/>
      <c r="J76" s="775"/>
      <c r="K76" s="367"/>
      <c r="L76" s="754"/>
      <c r="P76" s="13"/>
      <c r="Q76" s="13"/>
      <c r="R76" s="13"/>
      <c r="S76" s="775"/>
      <c r="T76" s="367"/>
      <c r="U76" s="367"/>
    </row>
    <row r="77" spans="4:21">
      <c r="G77" s="16"/>
      <c r="H77" s="16"/>
      <c r="I77" s="16"/>
      <c r="J77" s="746"/>
      <c r="K77" s="748"/>
      <c r="L77" s="16"/>
      <c r="P77" s="16"/>
      <c r="Q77" s="16"/>
      <c r="R77" s="16"/>
      <c r="S77" s="746"/>
      <c r="T77" s="748"/>
      <c r="U77" s="369"/>
    </row>
    <row r="78" spans="4:21">
      <c r="G78" s="371"/>
      <c r="H78" s="371"/>
      <c r="I78" s="371"/>
      <c r="J78" s="746"/>
      <c r="K78" s="748"/>
      <c r="L78" s="16"/>
      <c r="P78" s="371"/>
      <c r="Q78" s="371"/>
      <c r="R78" s="371"/>
      <c r="S78" s="746"/>
      <c r="T78" s="748"/>
      <c r="U78" s="369"/>
    </row>
    <row r="79" spans="4:21">
      <c r="G79" s="749"/>
      <c r="H79" s="749"/>
      <c r="I79" s="749"/>
      <c r="J79" s="746"/>
      <c r="K79" s="748"/>
      <c r="L79" s="16"/>
      <c r="P79" s="749"/>
      <c r="Q79" s="749"/>
      <c r="R79" s="749"/>
      <c r="S79" s="746"/>
      <c r="T79" s="748"/>
      <c r="U79" s="369"/>
    </row>
    <row r="80" spans="4:21">
      <c r="G80" s="373"/>
      <c r="H80" s="373"/>
      <c r="I80" s="373"/>
      <c r="J80" s="746"/>
      <c r="K80" s="750"/>
      <c r="L80" s="16"/>
      <c r="P80" s="373"/>
      <c r="Q80" s="373"/>
      <c r="R80" s="373"/>
      <c r="S80" s="746"/>
      <c r="T80" s="750"/>
      <c r="U80" s="369"/>
    </row>
    <row r="81" spans="7:22">
      <c r="G81" s="374"/>
      <c r="H81" s="374"/>
      <c r="I81" s="374"/>
      <c r="J81" s="778"/>
      <c r="K81" s="754"/>
      <c r="L81" s="754"/>
      <c r="P81" s="374"/>
      <c r="Q81" s="374"/>
      <c r="R81" s="374"/>
      <c r="S81" s="778"/>
      <c r="T81" s="754"/>
      <c r="U81" s="754"/>
    </row>
    <row r="82" spans="7:22" ht="15.75">
      <c r="G82" s="20"/>
      <c r="H82" s="20"/>
      <c r="I82" s="20"/>
      <c r="J82" s="374"/>
      <c r="K82" s="754"/>
      <c r="L82" s="754"/>
      <c r="P82" s="20"/>
      <c r="Q82" s="20"/>
      <c r="R82" s="20"/>
      <c r="S82" s="374"/>
      <c r="T82" s="754"/>
      <c r="U82" s="754"/>
    </row>
    <row r="83" spans="7:22">
      <c r="G83" s="13"/>
      <c r="H83" s="13"/>
      <c r="I83" s="13"/>
      <c r="J83" s="13"/>
      <c r="K83" s="367"/>
      <c r="L83" s="367"/>
      <c r="P83" s="13"/>
      <c r="Q83" s="13"/>
      <c r="R83" s="13"/>
      <c r="S83" s="13"/>
      <c r="T83" s="367"/>
      <c r="U83" s="367"/>
    </row>
    <row r="84" spans="7:22">
      <c r="G84" s="779"/>
      <c r="H84" s="756"/>
      <c r="I84" s="757"/>
      <c r="J84" s="11"/>
      <c r="K84" s="11"/>
      <c r="L84" s="777"/>
      <c r="P84" s="779"/>
      <c r="Q84" s="756"/>
      <c r="R84" s="757"/>
      <c r="S84" s="11"/>
      <c r="T84" s="11"/>
      <c r="U84" s="757"/>
    </row>
    <row r="85" spans="7:22">
      <c r="G85" s="30"/>
      <c r="H85" s="30"/>
      <c r="I85" s="30"/>
      <c r="J85" s="772"/>
      <c r="K85" s="371"/>
      <c r="L85" s="367"/>
      <c r="P85" s="30"/>
      <c r="Q85" s="30"/>
      <c r="R85" s="30"/>
      <c r="S85" s="772"/>
      <c r="T85" s="371"/>
      <c r="U85" s="371"/>
    </row>
    <row r="86" spans="7:22">
      <c r="G86" s="30"/>
      <c r="H86" s="30"/>
      <c r="I86" s="30"/>
      <c r="J86" s="758"/>
      <c r="K86" s="371"/>
      <c r="L86" s="367"/>
      <c r="P86" s="30"/>
      <c r="Q86" s="30"/>
      <c r="R86" s="30"/>
      <c r="S86" s="758"/>
      <c r="T86" s="371"/>
      <c r="U86" s="371"/>
      <c r="V86" s="378"/>
    </row>
    <row r="87" spans="7:22">
      <c r="G87" s="11"/>
      <c r="H87" s="759"/>
      <c r="I87" s="11"/>
      <c r="J87" s="760"/>
      <c r="K87" s="371"/>
      <c r="L87" s="774"/>
      <c r="P87" s="11"/>
      <c r="Q87" s="759"/>
      <c r="R87" s="11"/>
      <c r="S87" s="760"/>
      <c r="T87" s="371"/>
      <c r="U87" s="371"/>
      <c r="V87" s="378"/>
    </row>
    <row r="88" spans="7:22">
      <c r="G88" s="30"/>
      <c r="H88" s="385"/>
      <c r="I88" s="30"/>
      <c r="J88" s="772"/>
      <c r="K88" s="371"/>
      <c r="L88" s="367"/>
      <c r="P88" s="30"/>
      <c r="Q88" s="385"/>
      <c r="R88" s="30"/>
      <c r="S88" s="772"/>
      <c r="T88" s="371"/>
      <c r="U88" s="371"/>
      <c r="V88" s="378"/>
    </row>
    <row r="89" spans="7:22">
      <c r="G89" s="11"/>
      <c r="H89" s="761"/>
      <c r="I89" s="23"/>
      <c r="J89" s="772"/>
      <c r="K89" s="371"/>
      <c r="L89" s="774"/>
      <c r="P89" s="11"/>
      <c r="Q89" s="761"/>
      <c r="R89" s="23"/>
      <c r="S89" s="772"/>
      <c r="T89" s="371"/>
      <c r="U89" s="371"/>
      <c r="V89" s="378"/>
    </row>
    <row r="90" spans="7:22">
      <c r="G90" s="13"/>
      <c r="H90" s="13"/>
      <c r="I90" s="13"/>
      <c r="J90" s="773"/>
      <c r="K90" s="367"/>
      <c r="L90" s="777"/>
      <c r="P90" s="13"/>
      <c r="Q90" s="13"/>
      <c r="R90" s="13"/>
      <c r="S90" s="773"/>
      <c r="T90" s="367"/>
      <c r="U90" s="367"/>
      <c r="V90" s="379"/>
    </row>
    <row r="91" spans="7:22">
      <c r="G91" s="13"/>
      <c r="H91" s="13"/>
      <c r="I91" s="13"/>
      <c r="J91" s="775"/>
      <c r="K91" s="367"/>
      <c r="L91" s="754"/>
      <c r="P91" s="13"/>
      <c r="Q91" s="13"/>
      <c r="R91" s="13"/>
      <c r="S91" s="775"/>
      <c r="T91" s="367"/>
      <c r="U91" s="367"/>
      <c r="V91" s="379"/>
    </row>
    <row r="92" spans="7:22">
      <c r="G92" s="25"/>
      <c r="H92" s="25"/>
      <c r="I92" s="25"/>
      <c r="J92" s="11"/>
      <c r="K92" s="11"/>
      <c r="L92" s="780"/>
      <c r="P92" s="25"/>
      <c r="Q92" s="25"/>
      <c r="R92" s="25"/>
      <c r="S92" s="11"/>
      <c r="T92" s="11"/>
      <c r="U92" s="11"/>
      <c r="V92" s="11"/>
    </row>
    <row r="93" spans="7:22">
      <c r="G93" s="25"/>
      <c r="H93" s="25"/>
      <c r="I93" s="25"/>
      <c r="J93" s="13"/>
      <c r="K93" s="367"/>
      <c r="L93" s="777"/>
      <c r="P93" s="25"/>
      <c r="Q93" s="25"/>
      <c r="R93" s="25"/>
      <c r="S93" s="13"/>
      <c r="T93" s="367"/>
      <c r="U93" s="367"/>
      <c r="V93" s="379"/>
    </row>
    <row r="94" spans="7:22">
      <c r="G94" s="13"/>
      <c r="H94" s="13"/>
      <c r="I94" s="13"/>
      <c r="J94" s="781"/>
      <c r="K94" s="367"/>
      <c r="L94" s="782"/>
      <c r="P94" s="13"/>
      <c r="Q94" s="13"/>
      <c r="R94" s="13"/>
      <c r="S94" s="781"/>
      <c r="T94" s="367"/>
      <c r="U94" s="367"/>
      <c r="V94" s="379"/>
    </row>
    <row r="96" spans="7:22">
      <c r="P96" s="745"/>
    </row>
    <row r="101" spans="4:22" ht="25.5" customHeight="1">
      <c r="U101" s="783"/>
    </row>
    <row r="104" spans="4:22">
      <c r="D104" s="770"/>
      <c r="E104" s="771"/>
      <c r="H104" s="13"/>
      <c r="I104" s="13"/>
      <c r="J104" s="744"/>
      <c r="K104" s="367"/>
      <c r="L104" s="367"/>
      <c r="Q104" s="13"/>
      <c r="R104" s="13"/>
      <c r="S104" s="744"/>
      <c r="T104" s="367"/>
      <c r="U104" s="374"/>
      <c r="V104" s="368"/>
    </row>
    <row r="105" spans="4:22">
      <c r="H105" s="16"/>
      <c r="I105" s="16"/>
      <c r="J105" s="746"/>
      <c r="K105" s="748"/>
      <c r="L105" s="16"/>
      <c r="Q105" s="16"/>
      <c r="R105" s="16"/>
      <c r="S105" s="746"/>
      <c r="T105" s="748"/>
      <c r="U105" s="369"/>
      <c r="V105" s="370"/>
    </row>
    <row r="106" spans="4:22">
      <c r="G106" s="371"/>
      <c r="H106" s="371"/>
      <c r="I106" s="371"/>
      <c r="J106" s="746"/>
      <c r="K106" s="748"/>
      <c r="L106" s="16"/>
      <c r="P106" s="16"/>
      <c r="Q106" s="16"/>
      <c r="R106" s="16"/>
      <c r="S106" s="746"/>
      <c r="T106" s="748"/>
      <c r="U106" s="369"/>
      <c r="V106" s="370"/>
    </row>
    <row r="107" spans="4:22">
      <c r="G107" s="749"/>
      <c r="H107" s="749"/>
      <c r="I107" s="749"/>
      <c r="J107" s="746"/>
      <c r="K107" s="748"/>
      <c r="L107" s="16"/>
      <c r="P107" s="371"/>
      <c r="Q107" s="371"/>
      <c r="R107" s="371"/>
      <c r="S107" s="746"/>
      <c r="T107" s="748"/>
      <c r="U107" s="369"/>
      <c r="V107" s="370"/>
    </row>
    <row r="108" spans="4:22">
      <c r="G108" s="373"/>
      <c r="H108" s="373"/>
      <c r="I108" s="373"/>
      <c r="J108" s="746"/>
      <c r="K108" s="750"/>
      <c r="L108" s="16"/>
      <c r="P108" s="749"/>
      <c r="Q108" s="749"/>
      <c r="R108" s="749"/>
      <c r="S108" s="746"/>
      <c r="T108" s="748"/>
      <c r="U108" s="784"/>
      <c r="V108" s="370"/>
    </row>
    <row r="109" spans="4:22">
      <c r="G109" s="374"/>
      <c r="H109" s="374"/>
      <c r="I109" s="374"/>
      <c r="J109" s="778"/>
      <c r="K109" s="754"/>
      <c r="L109" s="754"/>
      <c r="P109" s="373"/>
      <c r="Q109" s="373"/>
      <c r="R109" s="373"/>
      <c r="S109" s="746"/>
      <c r="T109" s="750"/>
      <c r="U109" s="369"/>
      <c r="V109" s="370"/>
    </row>
    <row r="110" spans="4:22" ht="15.75">
      <c r="G110" s="20"/>
      <c r="H110" s="20"/>
      <c r="I110" s="20"/>
      <c r="J110" s="374"/>
      <c r="K110" s="754"/>
      <c r="L110" s="754"/>
      <c r="P110" s="374"/>
      <c r="Q110" s="374"/>
      <c r="R110" s="374"/>
      <c r="S110" s="778"/>
      <c r="T110" s="754"/>
      <c r="U110" s="754"/>
      <c r="V110" s="755"/>
    </row>
    <row r="111" spans="4:22" ht="15.75">
      <c r="G111" s="13"/>
      <c r="H111" s="13"/>
      <c r="I111" s="13"/>
      <c r="J111" s="13"/>
      <c r="K111" s="367"/>
      <c r="L111" s="367"/>
      <c r="P111" s="20"/>
      <c r="Q111" s="20"/>
      <c r="R111" s="20"/>
      <c r="S111" s="374"/>
      <c r="T111" s="754"/>
      <c r="U111" s="754"/>
      <c r="V111" s="755"/>
    </row>
    <row r="112" spans="4:22">
      <c r="G112" s="779"/>
      <c r="H112" s="756"/>
      <c r="I112" s="757"/>
      <c r="J112" s="11"/>
      <c r="K112" s="11"/>
      <c r="L112" s="777"/>
      <c r="P112" s="13"/>
      <c r="Q112" s="13"/>
      <c r="R112" s="13"/>
      <c r="S112" s="13"/>
      <c r="T112" s="367"/>
      <c r="U112" s="367"/>
      <c r="V112" s="368"/>
    </row>
    <row r="113" spans="7:22">
      <c r="G113" s="30"/>
      <c r="H113" s="30"/>
      <c r="I113" s="30"/>
      <c r="J113" s="772"/>
      <c r="K113" s="371"/>
      <c r="L113" s="367"/>
      <c r="P113" s="779"/>
      <c r="Q113" s="756"/>
      <c r="R113" s="757"/>
      <c r="S113" s="11"/>
      <c r="T113" s="11"/>
      <c r="U113" s="757"/>
      <c r="V113" s="375"/>
    </row>
    <row r="114" spans="7:22">
      <c r="G114" s="30"/>
      <c r="H114" s="30"/>
      <c r="I114" s="30"/>
      <c r="J114" s="758"/>
      <c r="K114" s="371"/>
      <c r="L114" s="367"/>
      <c r="P114" s="30"/>
      <c r="Q114" s="30"/>
      <c r="R114" s="30"/>
      <c r="S114" s="772"/>
      <c r="T114" s="371"/>
      <c r="U114" s="371"/>
      <c r="V114" s="378"/>
    </row>
    <row r="115" spans="7:22">
      <c r="G115" s="11"/>
      <c r="H115" s="759"/>
      <c r="I115" s="11"/>
      <c r="J115" s="760"/>
      <c r="K115" s="371"/>
      <c r="L115" s="774"/>
      <c r="P115" s="30"/>
      <c r="Q115" s="30"/>
      <c r="R115" s="30"/>
      <c r="S115" s="758"/>
      <c r="T115" s="371"/>
      <c r="U115" s="371"/>
      <c r="V115" s="378"/>
    </row>
    <row r="116" spans="7:22">
      <c r="G116" s="30"/>
      <c r="H116" s="385"/>
      <c r="I116" s="30"/>
      <c r="J116" s="772"/>
      <c r="K116" s="371"/>
      <c r="L116" s="367"/>
      <c r="P116" s="11"/>
      <c r="Q116" s="759"/>
      <c r="R116" s="11"/>
      <c r="S116" s="760"/>
      <c r="T116" s="371"/>
      <c r="U116" s="371"/>
      <c r="V116" s="378"/>
    </row>
    <row r="117" spans="7:22">
      <c r="G117" s="11"/>
      <c r="H117" s="761"/>
      <c r="I117" s="23"/>
      <c r="J117" s="772"/>
      <c r="K117" s="371"/>
      <c r="L117" s="774"/>
      <c r="P117" s="30"/>
      <c r="Q117" s="385"/>
      <c r="R117" s="30"/>
      <c r="S117" s="772"/>
      <c r="T117" s="371"/>
      <c r="U117" s="371"/>
      <c r="V117" s="378"/>
    </row>
    <row r="118" spans="7:22">
      <c r="G118" s="13"/>
      <c r="H118" s="13"/>
      <c r="I118" s="13"/>
      <c r="J118" s="773"/>
      <c r="K118" s="367"/>
      <c r="L118" s="777"/>
      <c r="P118" s="11"/>
      <c r="Q118" s="761"/>
      <c r="R118" s="23"/>
      <c r="S118" s="772"/>
      <c r="T118" s="371"/>
      <c r="U118" s="371"/>
      <c r="V118" s="378"/>
    </row>
    <row r="119" spans="7:22">
      <c r="G119" s="13"/>
      <c r="H119" s="13"/>
      <c r="I119" s="13"/>
      <c r="J119" s="775"/>
      <c r="K119" s="367"/>
      <c r="L119" s="754"/>
      <c r="P119" s="13"/>
      <c r="Q119" s="13"/>
      <c r="R119" s="13"/>
      <c r="S119" s="773"/>
      <c r="T119" s="367"/>
      <c r="U119" s="367"/>
      <c r="V119" s="379"/>
    </row>
    <row r="120" spans="7:22">
      <c r="G120" s="25"/>
      <c r="H120" s="25"/>
      <c r="I120" s="25"/>
      <c r="J120" s="11"/>
      <c r="K120" s="11"/>
      <c r="L120" s="780"/>
      <c r="P120" s="13"/>
      <c r="Q120" s="13"/>
      <c r="R120" s="13"/>
      <c r="S120" s="775"/>
      <c r="T120" s="367"/>
      <c r="U120" s="367"/>
      <c r="V120" s="379"/>
    </row>
    <row r="121" spans="7:22">
      <c r="G121" s="25"/>
      <c r="H121" s="25"/>
      <c r="I121" s="25"/>
      <c r="J121" s="13"/>
      <c r="K121" s="367"/>
      <c r="L121" s="777"/>
      <c r="P121" s="25"/>
      <c r="Q121" s="25"/>
      <c r="R121" s="25"/>
      <c r="S121" s="11"/>
      <c r="T121" s="11"/>
      <c r="U121" s="11"/>
      <c r="V121" s="11"/>
    </row>
    <row r="122" spans="7:22">
      <c r="G122" s="13"/>
      <c r="H122" s="13"/>
      <c r="I122" s="13"/>
      <c r="J122" s="781"/>
      <c r="K122" s="367"/>
      <c r="L122" s="782"/>
      <c r="P122" s="25"/>
      <c r="Q122" s="25"/>
      <c r="R122" s="25"/>
      <c r="S122" s="13"/>
      <c r="T122" s="367"/>
      <c r="U122" s="367"/>
      <c r="V122" s="379"/>
    </row>
    <row r="123" spans="7:22">
      <c r="P123" s="13"/>
      <c r="Q123" s="13"/>
      <c r="R123" s="13"/>
      <c r="S123" s="781"/>
      <c r="T123" s="367"/>
      <c r="U123" s="367"/>
      <c r="V123" s="379"/>
    </row>
    <row r="127" spans="7:22">
      <c r="P127" s="13"/>
      <c r="Q127" s="13"/>
      <c r="R127" s="13"/>
      <c r="S127" s="13"/>
      <c r="T127" s="367"/>
      <c r="U127" s="367"/>
      <c r="V127" s="368"/>
    </row>
    <row r="128" spans="7:22">
      <c r="G128" s="13"/>
      <c r="H128" s="13"/>
      <c r="I128" s="13"/>
      <c r="J128" s="744"/>
      <c r="K128" s="367"/>
      <c r="L128" s="367"/>
      <c r="P128" s="779"/>
      <c r="Q128" s="756"/>
      <c r="R128" s="757"/>
      <c r="S128" s="11"/>
      <c r="T128" s="11"/>
      <c r="U128" s="757"/>
      <c r="V128" s="375"/>
    </row>
    <row r="129" spans="4:22">
      <c r="D129" s="770"/>
      <c r="E129" s="771"/>
      <c r="G129" s="13"/>
      <c r="H129" s="13"/>
      <c r="I129" s="13"/>
      <c r="J129" s="744"/>
      <c r="K129" s="367"/>
      <c r="L129" s="367"/>
      <c r="P129" s="30"/>
      <c r="Q129" s="30"/>
      <c r="R129" s="30"/>
      <c r="S129" s="772"/>
      <c r="T129" s="371"/>
      <c r="U129" s="371"/>
      <c r="V129" s="378"/>
    </row>
    <row r="130" spans="4:22">
      <c r="G130" s="16"/>
      <c r="H130" s="16"/>
      <c r="I130" s="16"/>
      <c r="J130" s="746"/>
      <c r="K130" s="748"/>
      <c r="L130" s="16"/>
      <c r="P130" s="16"/>
      <c r="Q130" s="16"/>
      <c r="R130" s="16"/>
      <c r="S130" s="746"/>
      <c r="T130" s="748"/>
      <c r="U130" s="369"/>
      <c r="V130" s="370"/>
    </row>
    <row r="131" spans="4:22">
      <c r="G131" s="371"/>
      <c r="H131" s="371"/>
      <c r="I131" s="371"/>
      <c r="J131" s="746"/>
      <c r="K131" s="748"/>
      <c r="L131" s="16"/>
      <c r="P131" s="371"/>
      <c r="Q131" s="371"/>
      <c r="R131" s="371"/>
      <c r="S131" s="746"/>
      <c r="T131" s="748"/>
      <c r="U131" s="367"/>
      <c r="V131" s="370"/>
    </row>
    <row r="132" spans="4:22">
      <c r="G132" s="749"/>
      <c r="H132" s="749"/>
      <c r="I132" s="749"/>
      <c r="J132" s="746"/>
      <c r="K132" s="748"/>
      <c r="L132" s="16"/>
      <c r="P132" s="749"/>
      <c r="Q132" s="749"/>
      <c r="R132" s="749"/>
      <c r="S132" s="746"/>
      <c r="T132" s="748"/>
      <c r="U132" s="757"/>
      <c r="V132" s="370"/>
    </row>
    <row r="133" spans="4:22">
      <c r="G133" s="373"/>
      <c r="H133" s="373"/>
      <c r="I133" s="373"/>
      <c r="J133" s="746"/>
      <c r="K133" s="750"/>
      <c r="L133" s="16"/>
      <c r="P133" s="373"/>
      <c r="Q133" s="373"/>
      <c r="R133" s="373"/>
      <c r="S133" s="746"/>
      <c r="T133" s="750"/>
      <c r="U133" s="371"/>
      <c r="V133" s="370"/>
    </row>
    <row r="134" spans="4:22">
      <c r="G134" s="374"/>
      <c r="H134" s="374"/>
      <c r="I134" s="374"/>
      <c r="J134" s="778"/>
      <c r="K134" s="754"/>
      <c r="L134" s="754"/>
      <c r="P134" s="374"/>
      <c r="Q134" s="374"/>
      <c r="R134" s="374"/>
      <c r="S134" s="778"/>
      <c r="T134" s="754"/>
      <c r="U134" s="754"/>
      <c r="V134" s="755"/>
    </row>
    <row r="135" spans="4:22" ht="15.75">
      <c r="G135" s="20"/>
      <c r="H135" s="20"/>
      <c r="I135" s="20"/>
      <c r="J135" s="374"/>
      <c r="K135" s="754"/>
      <c r="L135" s="754"/>
      <c r="P135" s="20"/>
      <c r="Q135" s="20"/>
      <c r="R135" s="20"/>
      <c r="S135" s="374"/>
      <c r="T135" s="754"/>
      <c r="U135" s="754"/>
      <c r="V135" s="755"/>
    </row>
    <row r="136" spans="4:22">
      <c r="G136" s="13"/>
      <c r="H136" s="13"/>
      <c r="I136" s="13"/>
      <c r="J136" s="13"/>
      <c r="K136" s="367"/>
      <c r="L136" s="367"/>
      <c r="P136" s="13"/>
      <c r="Q136" s="13"/>
      <c r="R136" s="13"/>
      <c r="S136" s="13"/>
      <c r="T136" s="367"/>
      <c r="U136" s="367"/>
      <c r="V136" s="368"/>
    </row>
    <row r="137" spans="4:22">
      <c r="G137" s="779"/>
      <c r="H137" s="756"/>
      <c r="I137" s="757"/>
      <c r="J137" s="11"/>
      <c r="K137" s="11"/>
      <c r="L137" s="777"/>
      <c r="P137" s="779"/>
      <c r="Q137" s="756"/>
      <c r="R137" s="757"/>
      <c r="S137" s="11"/>
      <c r="T137" s="11"/>
      <c r="U137" s="757"/>
      <c r="V137" s="375"/>
    </row>
    <row r="138" spans="4:22">
      <c r="G138" s="30"/>
      <c r="H138" s="30"/>
      <c r="I138" s="30"/>
      <c r="J138" s="772"/>
      <c r="K138" s="371"/>
      <c r="L138" s="367"/>
      <c r="P138" s="30"/>
      <c r="Q138" s="30"/>
      <c r="R138" s="30"/>
      <c r="S138" s="772"/>
      <c r="T138" s="371"/>
      <c r="U138" s="371"/>
      <c r="V138" s="378"/>
    </row>
    <row r="139" spans="4:22">
      <c r="G139" s="30"/>
      <c r="H139" s="30"/>
      <c r="I139" s="30"/>
      <c r="J139" s="758"/>
      <c r="K139" s="371"/>
      <c r="L139" s="367"/>
      <c r="P139" s="30"/>
      <c r="Q139" s="30"/>
      <c r="R139" s="30"/>
      <c r="S139" s="758"/>
      <c r="T139" s="371"/>
      <c r="U139" s="371"/>
      <c r="V139" s="378"/>
    </row>
    <row r="140" spans="4:22">
      <c r="G140" s="11"/>
      <c r="H140" s="759"/>
      <c r="I140" s="11"/>
      <c r="J140" s="760"/>
      <c r="K140" s="371"/>
      <c r="L140" s="774"/>
      <c r="P140" s="11"/>
      <c r="Q140" s="759"/>
      <c r="R140" s="11"/>
      <c r="S140" s="760"/>
      <c r="T140" s="371"/>
      <c r="U140" s="371"/>
      <c r="V140" s="378"/>
    </row>
    <row r="141" spans="4:22">
      <c r="G141" s="30"/>
      <c r="H141" s="385"/>
      <c r="I141" s="30"/>
      <c r="J141" s="772"/>
      <c r="K141" s="371"/>
      <c r="L141" s="367"/>
      <c r="P141" s="30"/>
      <c r="Q141" s="385"/>
      <c r="R141" s="30"/>
      <c r="S141" s="772"/>
      <c r="T141" s="371"/>
      <c r="U141" s="371"/>
      <c r="V141" s="378"/>
    </row>
    <row r="142" spans="4:22">
      <c r="G142" s="11"/>
      <c r="H142" s="761"/>
      <c r="I142" s="23"/>
      <c r="J142" s="772"/>
      <c r="K142" s="371"/>
      <c r="L142" s="774"/>
      <c r="P142" s="11"/>
      <c r="Q142" s="761"/>
      <c r="R142" s="23"/>
      <c r="S142" s="772"/>
      <c r="T142" s="371"/>
      <c r="U142" s="371"/>
      <c r="V142" s="378"/>
    </row>
    <row r="143" spans="4:22">
      <c r="G143" s="13"/>
      <c r="H143" s="13"/>
      <c r="I143" s="13"/>
      <c r="J143" s="773"/>
      <c r="K143" s="367"/>
      <c r="L143" s="777"/>
      <c r="P143" s="13"/>
      <c r="Q143" s="13"/>
      <c r="R143" s="13"/>
      <c r="S143" s="773"/>
      <c r="T143" s="367"/>
      <c r="U143" s="367"/>
      <c r="V143" s="379"/>
    </row>
    <row r="144" spans="4:22">
      <c r="G144" s="13"/>
      <c r="H144" s="13"/>
      <c r="I144" s="13"/>
      <c r="J144" s="775"/>
      <c r="K144" s="367"/>
      <c r="L144" s="754"/>
      <c r="P144" s="13"/>
      <c r="Q144" s="13"/>
      <c r="R144" s="13"/>
      <c r="S144" s="775"/>
      <c r="T144" s="367"/>
      <c r="U144" s="367"/>
      <c r="V144" s="379"/>
    </row>
    <row r="145" spans="7:22">
      <c r="G145" s="25"/>
      <c r="H145" s="25"/>
      <c r="I145" s="25"/>
      <c r="J145" s="11"/>
      <c r="K145" s="11"/>
      <c r="L145" s="780"/>
      <c r="P145" s="25"/>
      <c r="Q145" s="25"/>
      <c r="R145" s="25"/>
      <c r="S145" s="11"/>
      <c r="T145" s="11"/>
      <c r="U145" s="11"/>
      <c r="V145" s="11"/>
    </row>
    <row r="146" spans="7:22">
      <c r="G146" s="25"/>
      <c r="H146" s="25"/>
      <c r="I146" s="25"/>
      <c r="J146" s="13"/>
      <c r="K146" s="367"/>
      <c r="L146" s="777"/>
      <c r="P146" s="25"/>
      <c r="Q146" s="25"/>
      <c r="R146" s="25"/>
      <c r="S146" s="13"/>
      <c r="T146" s="367"/>
      <c r="U146" s="367"/>
      <c r="V146" s="379"/>
    </row>
    <row r="147" spans="7:22">
      <c r="G147" s="13"/>
      <c r="H147" s="13"/>
      <c r="I147" s="13"/>
      <c r="J147" s="781"/>
      <c r="K147" s="367"/>
      <c r="L147" s="782"/>
      <c r="P147" s="13"/>
      <c r="Q147" s="13"/>
      <c r="R147" s="13"/>
      <c r="S147" s="781"/>
      <c r="T147" s="367"/>
      <c r="U147" s="367"/>
      <c r="V147" s="379"/>
    </row>
    <row r="148" spans="7:22">
      <c r="P148" s="11"/>
      <c r="Q148" s="11"/>
      <c r="R148" s="11"/>
      <c r="S148" s="11"/>
      <c r="T148" s="11"/>
      <c r="U148" s="11"/>
      <c r="V148" s="11"/>
    </row>
    <row r="152" spans="7:22">
      <c r="P152" s="30"/>
      <c r="Q152" s="30"/>
      <c r="R152" s="30"/>
      <c r="S152" s="758"/>
      <c r="T152" s="371"/>
      <c r="U152" s="371"/>
      <c r="V152" s="378"/>
    </row>
    <row r="153" spans="7:22">
      <c r="P153" s="11"/>
      <c r="Q153" s="759"/>
      <c r="R153" s="11"/>
      <c r="S153" s="760"/>
      <c r="T153" s="371"/>
      <c r="U153" s="371"/>
      <c r="V153" s="378"/>
    </row>
    <row r="154" spans="7:22">
      <c r="G154" s="13"/>
      <c r="H154" s="13"/>
      <c r="I154" s="13"/>
      <c r="J154" s="744"/>
      <c r="K154" s="367"/>
      <c r="L154" s="367"/>
      <c r="P154" s="30"/>
      <c r="Q154" s="385"/>
      <c r="R154" s="30"/>
      <c r="S154" s="772"/>
      <c r="T154" s="371"/>
      <c r="U154" s="371"/>
      <c r="V154" s="378"/>
    </row>
    <row r="155" spans="7:22">
      <c r="G155" s="16"/>
      <c r="H155" s="16"/>
      <c r="I155" s="16"/>
      <c r="J155" s="746"/>
      <c r="K155" s="748"/>
      <c r="L155" s="16"/>
      <c r="P155" s="16"/>
      <c r="Q155" s="16"/>
      <c r="R155" s="16"/>
      <c r="S155" s="746"/>
      <c r="T155" s="748"/>
      <c r="U155" s="369"/>
      <c r="V155" s="370"/>
    </row>
    <row r="156" spans="7:22">
      <c r="G156" s="371"/>
      <c r="H156" s="371"/>
      <c r="I156" s="371"/>
      <c r="J156" s="746"/>
      <c r="K156" s="748"/>
      <c r="L156" s="16"/>
      <c r="P156" s="371"/>
      <c r="Q156" s="371"/>
      <c r="R156" s="371"/>
      <c r="S156" s="746"/>
      <c r="T156" s="748"/>
      <c r="U156" s="754"/>
      <c r="V156" s="370"/>
    </row>
    <row r="157" spans="7:22">
      <c r="G157" s="749"/>
      <c r="H157" s="749"/>
      <c r="I157" s="749"/>
      <c r="J157" s="746"/>
      <c r="K157" s="748"/>
      <c r="L157" s="16"/>
      <c r="P157" s="749"/>
      <c r="Q157" s="749"/>
      <c r="R157" s="749"/>
      <c r="S157" s="746"/>
      <c r="T157" s="748"/>
      <c r="U157" s="367"/>
      <c r="V157" s="370"/>
    </row>
    <row r="158" spans="7:22">
      <c r="G158" s="373"/>
      <c r="H158" s="373"/>
      <c r="I158" s="373"/>
      <c r="J158" s="746"/>
      <c r="K158" s="750"/>
      <c r="L158" s="16"/>
      <c r="P158" s="373"/>
      <c r="Q158" s="373"/>
      <c r="R158" s="373"/>
      <c r="S158" s="746"/>
      <c r="T158" s="750"/>
      <c r="U158" s="757"/>
      <c r="V158" s="370"/>
    </row>
    <row r="159" spans="7:22">
      <c r="G159" s="374"/>
      <c r="H159" s="374"/>
      <c r="I159" s="374"/>
      <c r="J159" s="778"/>
      <c r="K159" s="754"/>
      <c r="L159" s="754"/>
      <c r="P159" s="374"/>
      <c r="Q159" s="374"/>
      <c r="R159" s="374"/>
      <c r="S159" s="778"/>
      <c r="T159" s="754"/>
      <c r="U159" s="754"/>
      <c r="V159" s="755"/>
    </row>
    <row r="160" spans="7:22" ht="15.75">
      <c r="G160" s="20"/>
      <c r="H160" s="20"/>
      <c r="I160" s="20"/>
      <c r="J160" s="374"/>
      <c r="K160" s="754"/>
      <c r="L160" s="754"/>
      <c r="P160" s="20"/>
      <c r="Q160" s="20"/>
      <c r="R160" s="20"/>
      <c r="S160" s="374"/>
      <c r="T160" s="754"/>
      <c r="U160" s="754"/>
      <c r="V160" s="755"/>
    </row>
    <row r="161" spans="7:22">
      <c r="G161" s="13"/>
      <c r="H161" s="13"/>
      <c r="I161" s="13"/>
      <c r="J161" s="13"/>
      <c r="K161" s="367"/>
      <c r="L161" s="367"/>
      <c r="P161" s="13"/>
      <c r="Q161" s="13"/>
      <c r="R161" s="13"/>
      <c r="S161" s="13"/>
      <c r="T161" s="367"/>
      <c r="U161" s="367"/>
      <c r="V161" s="368"/>
    </row>
    <row r="162" spans="7:22">
      <c r="G162" s="779"/>
      <c r="H162" s="756"/>
      <c r="I162" s="757"/>
      <c r="J162" s="11"/>
      <c r="K162" s="11"/>
      <c r="L162" s="777"/>
      <c r="P162" s="779"/>
      <c r="Q162" s="756"/>
      <c r="R162" s="757"/>
      <c r="S162" s="11"/>
      <c r="T162" s="11"/>
      <c r="U162" s="757"/>
      <c r="V162" s="375"/>
    </row>
    <row r="163" spans="7:22">
      <c r="G163" s="30"/>
      <c r="H163" s="30"/>
      <c r="I163" s="30"/>
      <c r="J163" s="772"/>
      <c r="K163" s="371"/>
      <c r="L163" s="367"/>
      <c r="P163" s="30"/>
      <c r="Q163" s="30"/>
      <c r="R163" s="30"/>
      <c r="S163" s="772"/>
      <c r="T163" s="371"/>
      <c r="U163" s="371"/>
      <c r="V163" s="378"/>
    </row>
    <row r="164" spans="7:22">
      <c r="G164" s="30"/>
      <c r="H164" s="30"/>
      <c r="I164" s="30"/>
      <c r="J164" s="758"/>
      <c r="K164" s="371"/>
      <c r="L164" s="367"/>
      <c r="P164" s="30"/>
      <c r="Q164" s="30"/>
      <c r="R164" s="30"/>
      <c r="S164" s="758"/>
      <c r="T164" s="371"/>
      <c r="U164" s="371"/>
      <c r="V164" s="378"/>
    </row>
    <row r="165" spans="7:22">
      <c r="G165" s="11"/>
      <c r="H165" s="759"/>
      <c r="I165" s="11"/>
      <c r="J165" s="760"/>
      <c r="K165" s="371"/>
      <c r="L165" s="774"/>
      <c r="P165" s="11"/>
      <c r="Q165" s="759"/>
      <c r="R165" s="11"/>
      <c r="S165" s="760"/>
      <c r="T165" s="371"/>
      <c r="U165" s="371"/>
      <c r="V165" s="378"/>
    </row>
    <row r="166" spans="7:22">
      <c r="G166" s="30"/>
      <c r="H166" s="385"/>
      <c r="I166" s="30"/>
      <c r="J166" s="772"/>
      <c r="K166" s="371"/>
      <c r="L166" s="367"/>
      <c r="P166" s="30"/>
      <c r="Q166" s="385"/>
      <c r="R166" s="30"/>
      <c r="S166" s="772"/>
      <c r="T166" s="371"/>
      <c r="U166" s="371"/>
      <c r="V166" s="378"/>
    </row>
    <row r="167" spans="7:22">
      <c r="G167" s="11"/>
      <c r="H167" s="761"/>
      <c r="I167" s="23"/>
      <c r="J167" s="772"/>
      <c r="K167" s="371"/>
      <c r="L167" s="774"/>
      <c r="P167" s="11"/>
      <c r="Q167" s="761"/>
      <c r="R167" s="23"/>
      <c r="S167" s="772"/>
      <c r="T167" s="371"/>
      <c r="U167" s="371"/>
      <c r="V167" s="378"/>
    </row>
    <row r="168" spans="7:22">
      <c r="G168" s="13"/>
      <c r="H168" s="13"/>
      <c r="I168" s="13"/>
      <c r="J168" s="773"/>
      <c r="K168" s="367"/>
      <c r="L168" s="777"/>
      <c r="P168" s="13"/>
      <c r="Q168" s="13"/>
      <c r="R168" s="13"/>
      <c r="S168" s="773"/>
      <c r="T168" s="367"/>
      <c r="U168" s="367"/>
      <c r="V168" s="379"/>
    </row>
    <row r="169" spans="7:22">
      <c r="G169" s="13"/>
      <c r="H169" s="13"/>
      <c r="I169" s="13"/>
      <c r="J169" s="775"/>
      <c r="K169" s="367"/>
      <c r="L169" s="754"/>
      <c r="P169" s="13"/>
      <c r="Q169" s="13"/>
      <c r="R169" s="13"/>
      <c r="S169" s="775"/>
      <c r="T169" s="367"/>
      <c r="U169" s="367"/>
      <c r="V169" s="379"/>
    </row>
    <row r="170" spans="7:22">
      <c r="G170" s="25"/>
      <c r="H170" s="25"/>
      <c r="I170" s="25"/>
      <c r="J170" s="11"/>
      <c r="K170" s="11"/>
      <c r="L170" s="780"/>
      <c r="P170" s="25"/>
      <c r="Q170" s="25"/>
      <c r="R170" s="25"/>
      <c r="S170" s="11"/>
      <c r="T170" s="11"/>
      <c r="U170" s="11"/>
      <c r="V170" s="11"/>
    </row>
    <row r="171" spans="7:22">
      <c r="G171" s="25"/>
      <c r="H171" s="25"/>
      <c r="I171" s="25"/>
      <c r="J171" s="13"/>
      <c r="K171" s="367"/>
      <c r="L171" s="777"/>
      <c r="P171" s="25"/>
      <c r="Q171" s="25"/>
      <c r="R171" s="25"/>
      <c r="S171" s="13"/>
      <c r="T171" s="367"/>
      <c r="U171" s="367"/>
      <c r="V171" s="379"/>
    </row>
    <row r="172" spans="7:22">
      <c r="G172" s="13"/>
      <c r="H172" s="13"/>
      <c r="I172" s="13"/>
      <c r="J172" s="781"/>
      <c r="K172" s="367"/>
      <c r="L172" s="782"/>
      <c r="P172" s="13"/>
      <c r="Q172" s="13"/>
      <c r="R172" s="13"/>
      <c r="S172" s="781"/>
      <c r="T172" s="367"/>
      <c r="U172" s="367"/>
      <c r="V172" s="379"/>
    </row>
    <row r="175" spans="7:22">
      <c r="P175" s="11"/>
      <c r="Q175" s="759"/>
      <c r="R175" s="11"/>
      <c r="S175" s="760"/>
      <c r="T175" s="371"/>
      <c r="U175" s="371"/>
      <c r="V175" s="378"/>
    </row>
    <row r="176" spans="7:22">
      <c r="P176" s="30"/>
      <c r="Q176" s="385"/>
      <c r="R176" s="30"/>
      <c r="S176" s="772"/>
      <c r="T176" s="371"/>
      <c r="U176" s="371"/>
      <c r="V176" s="378"/>
    </row>
    <row r="177" spans="16:22">
      <c r="P177" s="11"/>
      <c r="Q177" s="761"/>
      <c r="R177" s="23"/>
      <c r="S177" s="772"/>
      <c r="T177" s="371"/>
      <c r="U177" s="371"/>
      <c r="V177" s="378"/>
    </row>
    <row r="178" spans="16:22">
      <c r="P178" s="16"/>
      <c r="Q178" s="16"/>
      <c r="R178" s="16"/>
      <c r="S178" s="746"/>
      <c r="T178" s="748"/>
      <c r="U178" s="369"/>
      <c r="V178" s="370"/>
    </row>
    <row r="179" spans="16:22">
      <c r="P179" s="371"/>
      <c r="Q179" s="371"/>
      <c r="R179" s="371"/>
      <c r="S179" s="746"/>
      <c r="T179" s="748"/>
      <c r="U179" s="754"/>
      <c r="V179" s="370"/>
    </row>
    <row r="180" spans="16:22">
      <c r="P180" s="749"/>
      <c r="Q180" s="749"/>
      <c r="R180" s="749"/>
      <c r="S180" s="746"/>
      <c r="T180" s="748"/>
      <c r="U180" s="367"/>
      <c r="V180" s="370"/>
    </row>
    <row r="181" spans="16:22">
      <c r="P181" s="373"/>
      <c r="Q181" s="373"/>
      <c r="R181" s="373"/>
      <c r="S181" s="746"/>
      <c r="T181" s="750"/>
      <c r="U181" s="757"/>
      <c r="V181" s="370"/>
    </row>
    <row r="182" spans="16:22">
      <c r="P182" s="374"/>
      <c r="Q182" s="374"/>
      <c r="R182" s="374"/>
      <c r="S182" s="778"/>
      <c r="T182" s="754"/>
      <c r="U182" s="754"/>
      <c r="V182" s="755"/>
    </row>
    <row r="183" spans="16:22" ht="15.75">
      <c r="P183" s="20"/>
      <c r="Q183" s="20"/>
      <c r="R183" s="20"/>
      <c r="S183" s="374"/>
      <c r="T183" s="754"/>
      <c r="U183" s="754"/>
      <c r="V183" s="755"/>
    </row>
    <row r="184" spans="16:22">
      <c r="P184" s="13"/>
      <c r="Q184" s="13"/>
      <c r="R184" s="13"/>
      <c r="S184" s="13"/>
      <c r="T184" s="367"/>
      <c r="U184" s="367"/>
      <c r="V184" s="368"/>
    </row>
    <row r="185" spans="16:22">
      <c r="P185" s="779"/>
      <c r="Q185" s="756"/>
      <c r="R185" s="757"/>
      <c r="S185" s="11"/>
      <c r="T185" s="11"/>
      <c r="U185" s="757"/>
      <c r="V185" s="375"/>
    </row>
    <row r="186" spans="16:22">
      <c r="P186" s="30"/>
      <c r="Q186" s="30"/>
      <c r="R186" s="30"/>
      <c r="S186" s="772"/>
      <c r="T186" s="371"/>
      <c r="U186" s="371"/>
      <c r="V186" s="378"/>
    </row>
    <row r="187" spans="16:22">
      <c r="P187" s="30"/>
      <c r="Q187" s="30"/>
      <c r="R187" s="30"/>
      <c r="S187" s="758"/>
      <c r="T187" s="371"/>
      <c r="U187" s="371"/>
      <c r="V187" s="378"/>
    </row>
    <row r="188" spans="16:22">
      <c r="P188" s="11"/>
      <c r="Q188" s="759"/>
      <c r="R188" s="11"/>
      <c r="S188" s="760"/>
      <c r="T188" s="371"/>
      <c r="U188" s="371"/>
      <c r="V188" s="378"/>
    </row>
    <row r="189" spans="16:22">
      <c r="P189" s="30"/>
      <c r="Q189" s="385"/>
      <c r="R189" s="30"/>
      <c r="S189" s="772"/>
      <c r="T189" s="371"/>
      <c r="U189" s="371"/>
      <c r="V189" s="378"/>
    </row>
    <row r="190" spans="16:22">
      <c r="P190" s="11"/>
      <c r="Q190" s="761"/>
      <c r="R190" s="23"/>
      <c r="S190" s="772"/>
      <c r="T190" s="371"/>
      <c r="U190" s="371"/>
      <c r="V190" s="378"/>
    </row>
    <row r="191" spans="16:22">
      <c r="P191" s="13"/>
      <c r="Q191" s="13"/>
      <c r="R191" s="13"/>
      <c r="S191" s="773"/>
      <c r="T191" s="367"/>
      <c r="U191" s="367"/>
      <c r="V191" s="379"/>
    </row>
    <row r="192" spans="16:22">
      <c r="P192" s="13"/>
      <c r="Q192" s="13"/>
      <c r="R192" s="13"/>
      <c r="S192" s="775"/>
      <c r="T192" s="367"/>
      <c r="U192" s="367"/>
      <c r="V192" s="379"/>
    </row>
    <row r="193" spans="16:22">
      <c r="P193" s="25"/>
      <c r="Q193" s="25"/>
      <c r="R193" s="25"/>
      <c r="S193" s="11"/>
      <c r="T193" s="11"/>
      <c r="U193" s="11"/>
      <c r="V193" s="11"/>
    </row>
    <row r="194" spans="16:22">
      <c r="P194" s="25"/>
      <c r="Q194" s="25"/>
      <c r="R194" s="25"/>
      <c r="S194" s="13"/>
      <c r="T194" s="367"/>
      <c r="U194" s="367"/>
      <c r="V194" s="379"/>
    </row>
    <row r="195" spans="16:22">
      <c r="P195" s="13"/>
      <c r="Q195" s="13"/>
      <c r="R195" s="13"/>
      <c r="S195" s="781"/>
      <c r="T195" s="367"/>
      <c r="U195" s="367"/>
      <c r="V195" s="379"/>
    </row>
    <row r="197" spans="16:22">
      <c r="P197" s="30"/>
      <c r="Q197" s="385"/>
      <c r="R197" s="30"/>
      <c r="S197" s="772"/>
      <c r="T197" s="371"/>
      <c r="U197" s="371"/>
      <c r="V197" s="378"/>
    </row>
    <row r="198" spans="16:22">
      <c r="P198" s="11"/>
      <c r="Q198" s="761"/>
      <c r="R198" s="23"/>
      <c r="S198" s="772"/>
      <c r="T198" s="371"/>
      <c r="U198" s="371"/>
      <c r="V198" s="378"/>
    </row>
    <row r="199" spans="16:22">
      <c r="P199" s="13"/>
      <c r="Q199" s="13"/>
      <c r="R199" s="13"/>
      <c r="S199" s="773"/>
      <c r="T199" s="367"/>
      <c r="U199" s="367"/>
      <c r="V199" s="379"/>
    </row>
    <row r="200" spans="16:22">
      <c r="P200" s="16"/>
      <c r="Q200" s="16"/>
      <c r="R200" s="16"/>
      <c r="S200" s="746"/>
      <c r="T200" s="748"/>
      <c r="U200" s="369"/>
      <c r="V200" s="370"/>
    </row>
    <row r="201" spans="16:22">
      <c r="P201" s="371"/>
      <c r="Q201" s="371"/>
      <c r="R201" s="371"/>
      <c r="S201" s="746"/>
      <c r="T201" s="748"/>
      <c r="V201" s="370"/>
    </row>
    <row r="202" spans="16:22">
      <c r="P202" s="749"/>
      <c r="Q202" s="749"/>
      <c r="R202" s="749"/>
      <c r="S202" s="746"/>
      <c r="T202" s="748"/>
      <c r="U202" s="371"/>
      <c r="V202" s="370"/>
    </row>
    <row r="203" spans="16:22">
      <c r="P203" s="373"/>
      <c r="Q203" s="373"/>
      <c r="R203" s="373"/>
      <c r="S203" s="746"/>
      <c r="T203" s="750"/>
      <c r="U203" s="371"/>
      <c r="V203" s="370"/>
    </row>
    <row r="204" spans="16:22">
      <c r="P204" s="374"/>
      <c r="Q204" s="374"/>
      <c r="R204" s="374"/>
      <c r="S204" s="778"/>
      <c r="T204" s="754"/>
      <c r="U204" s="754"/>
      <c r="V204" s="755"/>
    </row>
    <row r="205" spans="16:22" ht="15.75">
      <c r="P205" s="20"/>
      <c r="Q205" s="20"/>
      <c r="R205" s="20"/>
      <c r="S205" s="374"/>
      <c r="T205" s="754"/>
      <c r="U205" s="754"/>
      <c r="V205" s="755"/>
    </row>
    <row r="206" spans="16:22">
      <c r="P206" s="13"/>
      <c r="Q206" s="13"/>
      <c r="R206" s="13"/>
      <c r="S206" s="13"/>
      <c r="T206" s="367"/>
      <c r="U206" s="367"/>
      <c r="V206" s="368"/>
    </row>
    <row r="207" spans="16:22">
      <c r="P207" s="779"/>
      <c r="Q207" s="756"/>
      <c r="R207" s="757"/>
      <c r="S207" s="11"/>
      <c r="T207" s="11"/>
      <c r="U207" s="757"/>
      <c r="V207" s="375"/>
    </row>
    <row r="208" spans="16:22">
      <c r="P208" s="30"/>
      <c r="Q208" s="30"/>
      <c r="R208" s="30"/>
      <c r="S208" s="772"/>
      <c r="T208" s="371"/>
      <c r="U208" s="371"/>
      <c r="V208" s="378"/>
    </row>
    <row r="209" spans="16:22">
      <c r="P209" s="30"/>
      <c r="Q209" s="30"/>
      <c r="R209" s="30"/>
      <c r="S209" s="758"/>
      <c r="T209" s="371"/>
      <c r="U209" s="371"/>
      <c r="V209" s="378"/>
    </row>
    <row r="210" spans="16:22">
      <c r="P210" s="11"/>
      <c r="Q210" s="759"/>
      <c r="R210" s="11"/>
      <c r="S210" s="760"/>
      <c r="T210" s="371"/>
      <c r="U210" s="371"/>
      <c r="V210" s="378"/>
    </row>
    <row r="211" spans="16:22">
      <c r="P211" s="30"/>
      <c r="Q211" s="385"/>
      <c r="R211" s="30"/>
      <c r="S211" s="772"/>
      <c r="T211" s="371"/>
      <c r="U211" s="371"/>
      <c r="V211" s="378"/>
    </row>
    <row r="212" spans="16:22">
      <c r="P212" s="11"/>
      <c r="Q212" s="761"/>
      <c r="R212" s="23"/>
      <c r="S212" s="772"/>
      <c r="T212" s="371"/>
      <c r="U212" s="371"/>
      <c r="V212" s="378"/>
    </row>
    <row r="213" spans="16:22">
      <c r="P213" s="13"/>
      <c r="Q213" s="13"/>
      <c r="R213" s="13"/>
      <c r="S213" s="773"/>
      <c r="T213" s="367"/>
      <c r="U213" s="367"/>
      <c r="V213" s="379"/>
    </row>
    <row r="214" spans="16:22">
      <c r="P214" s="13"/>
      <c r="Q214" s="13"/>
      <c r="R214" s="13"/>
      <c r="S214" s="775"/>
      <c r="T214" s="367"/>
      <c r="U214" s="367"/>
      <c r="V214" s="379"/>
    </row>
    <row r="215" spans="16:22">
      <c r="P215" s="25"/>
      <c r="Q215" s="25"/>
      <c r="R215" s="25"/>
      <c r="S215" s="11"/>
      <c r="T215" s="11"/>
      <c r="U215" s="11"/>
      <c r="V215" s="11"/>
    </row>
    <row r="216" spans="16:22">
      <c r="P216" s="25"/>
      <c r="Q216" s="25"/>
      <c r="R216" s="25"/>
      <c r="S216" s="13"/>
      <c r="T216" s="367"/>
      <c r="U216" s="367"/>
      <c r="V216" s="379"/>
    </row>
    <row r="217" spans="16:22">
      <c r="P217" s="13"/>
      <c r="Q217" s="13"/>
      <c r="R217" s="13"/>
      <c r="S217" s="781"/>
      <c r="T217" s="367"/>
      <c r="U217" s="367"/>
      <c r="V217" s="379"/>
    </row>
    <row r="219" spans="16:22">
      <c r="P219" s="30"/>
      <c r="Q219" s="30"/>
      <c r="R219" s="30"/>
      <c r="S219" s="772"/>
      <c r="T219" s="371"/>
      <c r="U219" s="371"/>
      <c r="V219" s="378"/>
    </row>
    <row r="220" spans="16:22">
      <c r="P220" s="30"/>
      <c r="Q220" s="30"/>
      <c r="R220" s="30"/>
      <c r="S220" s="758"/>
      <c r="T220" s="371"/>
      <c r="U220" s="371"/>
      <c r="V220" s="378"/>
    </row>
    <row r="221" spans="16:22">
      <c r="P221" s="11"/>
      <c r="Q221" s="759"/>
      <c r="R221" s="11"/>
      <c r="S221" s="760"/>
      <c r="T221" s="371"/>
      <c r="U221" s="371"/>
      <c r="V221" s="378"/>
    </row>
    <row r="222" spans="16:22">
      <c r="P222" s="16"/>
      <c r="Q222" s="16"/>
      <c r="R222" s="16"/>
      <c r="S222" s="746"/>
      <c r="T222" s="748"/>
      <c r="U222" s="369"/>
      <c r="V222" s="370"/>
    </row>
    <row r="223" spans="16:22">
      <c r="P223" s="371"/>
      <c r="Q223" s="371"/>
      <c r="R223" s="371"/>
      <c r="S223" s="746"/>
      <c r="T223" s="748"/>
      <c r="U223" s="371"/>
      <c r="V223" s="370"/>
    </row>
    <row r="224" spans="16:22">
      <c r="P224" s="749"/>
      <c r="Q224" s="749"/>
      <c r="R224" s="749"/>
      <c r="S224" s="746"/>
      <c r="T224" s="748"/>
      <c r="U224" s="371"/>
      <c r="V224" s="370"/>
    </row>
    <row r="225" spans="16:22">
      <c r="P225" s="373"/>
      <c r="Q225" s="373"/>
      <c r="R225" s="373"/>
      <c r="S225" s="746"/>
      <c r="T225" s="750"/>
      <c r="U225" s="371"/>
      <c r="V225" s="370"/>
    </row>
    <row r="226" spans="16:22">
      <c r="P226" s="374"/>
      <c r="Q226" s="374"/>
      <c r="R226" s="374"/>
      <c r="S226" s="778"/>
      <c r="T226" s="754"/>
      <c r="U226" s="754"/>
      <c r="V226" s="755"/>
    </row>
    <row r="227" spans="16:22" ht="15.75">
      <c r="P227" s="20"/>
      <c r="Q227" s="20"/>
      <c r="R227" s="20"/>
      <c r="S227" s="374"/>
      <c r="T227" s="754"/>
      <c r="U227" s="754"/>
      <c r="V227" s="755"/>
    </row>
    <row r="228" spans="16:22">
      <c r="P228" s="13"/>
      <c r="Q228" s="13"/>
      <c r="R228" s="13"/>
      <c r="S228" s="13"/>
      <c r="T228" s="367"/>
      <c r="U228" s="367"/>
      <c r="V228" s="368"/>
    </row>
    <row r="229" spans="16:22">
      <c r="P229" s="779"/>
      <c r="Q229" s="756"/>
      <c r="R229" s="757"/>
      <c r="S229" s="11"/>
      <c r="T229" s="11"/>
      <c r="U229" s="757"/>
      <c r="V229" s="375"/>
    </row>
    <row r="230" spans="16:22">
      <c r="P230" s="30"/>
      <c r="Q230" s="30"/>
      <c r="R230" s="30"/>
      <c r="S230" s="772"/>
      <c r="T230" s="371"/>
      <c r="U230" s="371"/>
      <c r="V230" s="378"/>
    </row>
    <row r="231" spans="16:22">
      <c r="P231" s="30"/>
      <c r="Q231" s="30"/>
      <c r="R231" s="30"/>
      <c r="S231" s="758"/>
      <c r="T231" s="371"/>
      <c r="U231" s="371"/>
      <c r="V231" s="378"/>
    </row>
    <row r="232" spans="16:22">
      <c r="P232" s="11"/>
      <c r="Q232" s="759"/>
      <c r="R232" s="11"/>
      <c r="S232" s="760"/>
      <c r="T232" s="371"/>
      <c r="U232" s="371"/>
      <c r="V232" s="378"/>
    </row>
    <row r="233" spans="16:22">
      <c r="P233" s="30"/>
      <c r="Q233" s="385"/>
      <c r="R233" s="30"/>
      <c r="S233" s="772"/>
      <c r="T233" s="371"/>
      <c r="U233" s="371"/>
      <c r="V233" s="378"/>
    </row>
    <row r="234" spans="16:22">
      <c r="P234" s="11"/>
      <c r="Q234" s="761"/>
      <c r="R234" s="23"/>
      <c r="S234" s="772"/>
      <c r="T234" s="371"/>
      <c r="U234" s="371"/>
      <c r="V234" s="378"/>
    </row>
    <row r="235" spans="16:22">
      <c r="P235" s="13"/>
      <c r="Q235" s="13"/>
      <c r="R235" s="13"/>
      <c r="S235" s="773"/>
      <c r="T235" s="367"/>
      <c r="U235" s="367"/>
      <c r="V235" s="379"/>
    </row>
    <row r="236" spans="16:22">
      <c r="P236" s="13"/>
      <c r="Q236" s="13"/>
      <c r="R236" s="13"/>
      <c r="S236" s="775"/>
      <c r="T236" s="367"/>
      <c r="U236" s="367"/>
      <c r="V236" s="379"/>
    </row>
    <row r="237" spans="16:22">
      <c r="P237" s="25"/>
      <c r="Q237" s="25"/>
      <c r="R237" s="25"/>
      <c r="S237" s="11"/>
      <c r="T237" s="11"/>
      <c r="U237" s="11"/>
      <c r="V237" s="11"/>
    </row>
    <row r="238" spans="16:22">
      <c r="P238" s="25"/>
      <c r="Q238" s="25"/>
      <c r="R238" s="25"/>
      <c r="S238" s="13"/>
      <c r="T238" s="367"/>
      <c r="U238" s="367"/>
      <c r="V238" s="379"/>
    </row>
    <row r="239" spans="16:22">
      <c r="P239" s="13"/>
      <c r="Q239" s="13"/>
      <c r="R239" s="13"/>
      <c r="S239" s="781"/>
      <c r="T239" s="367"/>
      <c r="U239" s="367"/>
      <c r="V239" s="379"/>
    </row>
    <row r="248" spans="16:22">
      <c r="P248" s="11"/>
      <c r="Q248" s="761"/>
      <c r="R248" s="23"/>
      <c r="S248" s="772"/>
      <c r="T248" s="371"/>
      <c r="U248" s="371"/>
      <c r="V248" s="378"/>
    </row>
    <row r="249" spans="16:22">
      <c r="P249" s="13"/>
      <c r="Q249" s="13"/>
      <c r="R249" s="13"/>
      <c r="S249" s="773"/>
      <c r="T249" s="367"/>
      <c r="U249" s="367"/>
      <c r="V249" s="379"/>
    </row>
    <row r="250" spans="16:22">
      <c r="P250" s="13"/>
      <c r="Q250" s="13"/>
      <c r="R250" s="13"/>
      <c r="S250" s="775"/>
      <c r="T250" s="367"/>
      <c r="U250" s="367"/>
      <c r="V250" s="379"/>
    </row>
    <row r="251" spans="16:22">
      <c r="P251" s="16"/>
      <c r="Q251" s="16"/>
      <c r="R251" s="16"/>
      <c r="S251" s="746"/>
      <c r="T251" s="748"/>
      <c r="U251" s="369"/>
      <c r="V251" s="370"/>
    </row>
    <row r="252" spans="16:22">
      <c r="P252" s="371"/>
      <c r="Q252" s="371"/>
      <c r="R252" s="371"/>
      <c r="S252" s="746"/>
      <c r="T252" s="748"/>
      <c r="U252" s="369"/>
      <c r="V252" s="370"/>
    </row>
    <row r="253" spans="16:22">
      <c r="P253" s="749"/>
      <c r="Q253" s="749"/>
      <c r="R253" s="749"/>
      <c r="S253" s="746"/>
      <c r="T253" s="748"/>
      <c r="U253" s="785"/>
      <c r="V253" s="370"/>
    </row>
    <row r="254" spans="16:22">
      <c r="P254" s="373"/>
      <c r="Q254" s="373"/>
      <c r="R254" s="373"/>
      <c r="S254" s="746"/>
      <c r="T254" s="750"/>
      <c r="U254" s="369"/>
      <c r="V254" s="370"/>
    </row>
    <row r="255" spans="16:22">
      <c r="P255" s="374"/>
      <c r="Q255" s="374"/>
      <c r="R255" s="374"/>
      <c r="S255" s="778"/>
      <c r="T255" s="754"/>
      <c r="U255" s="754"/>
      <c r="V255" s="755"/>
    </row>
    <row r="256" spans="16:22" ht="15.75">
      <c r="P256" s="20"/>
      <c r="Q256" s="20"/>
      <c r="R256" s="20"/>
      <c r="S256" s="374"/>
      <c r="T256" s="754"/>
      <c r="U256" s="754"/>
      <c r="V256" s="755"/>
    </row>
    <row r="257" spans="16:22">
      <c r="P257" s="13"/>
      <c r="Q257" s="13"/>
      <c r="R257" s="13"/>
      <c r="S257" s="13"/>
      <c r="T257" s="367"/>
      <c r="U257" s="367"/>
      <c r="V257" s="368"/>
    </row>
    <row r="258" spans="16:22">
      <c r="P258" s="779"/>
      <c r="Q258" s="756"/>
      <c r="R258" s="757"/>
      <c r="S258" s="11"/>
      <c r="T258" s="11"/>
      <c r="U258" s="757"/>
      <c r="V258" s="375"/>
    </row>
    <row r="259" spans="16:22">
      <c r="P259" s="30"/>
      <c r="Q259" s="30"/>
      <c r="R259" s="30"/>
      <c r="S259" s="772"/>
      <c r="T259" s="371"/>
      <c r="U259" s="371"/>
      <c r="V259" s="378"/>
    </row>
    <row r="260" spans="16:22">
      <c r="P260" s="30"/>
      <c r="Q260" s="30"/>
      <c r="R260" s="30"/>
      <c r="S260" s="758"/>
      <c r="T260" s="371"/>
      <c r="U260" s="371"/>
      <c r="V260" s="378"/>
    </row>
    <row r="261" spans="16:22">
      <c r="P261" s="11"/>
      <c r="Q261" s="759"/>
      <c r="R261" s="11"/>
      <c r="S261" s="760"/>
      <c r="T261" s="371"/>
      <c r="U261" s="371"/>
      <c r="V261" s="378"/>
    </row>
    <row r="262" spans="16:22">
      <c r="P262" s="30"/>
      <c r="Q262" s="385"/>
      <c r="R262" s="30"/>
      <c r="S262" s="772"/>
      <c r="T262" s="371"/>
      <c r="U262" s="371"/>
      <c r="V262" s="378"/>
    </row>
    <row r="263" spans="16:22">
      <c r="P263" s="11"/>
      <c r="Q263" s="761"/>
      <c r="R263" s="23"/>
      <c r="S263" s="772"/>
      <c r="T263" s="371"/>
      <c r="U263" s="371"/>
      <c r="V263" s="378"/>
    </row>
    <row r="264" spans="16:22">
      <c r="P264" s="13"/>
      <c r="Q264" s="13"/>
      <c r="R264" s="13"/>
      <c r="S264" s="773"/>
      <c r="T264" s="367"/>
      <c r="U264" s="367"/>
      <c r="V264" s="379"/>
    </row>
    <row r="265" spans="16:22">
      <c r="P265" s="13"/>
      <c r="Q265" s="13"/>
      <c r="R265" s="13"/>
      <c r="S265" s="775"/>
      <c r="T265" s="367"/>
      <c r="U265" s="367"/>
      <c r="V265" s="379"/>
    </row>
    <row r="266" spans="16:22">
      <c r="P266" s="25"/>
      <c r="Q266" s="25"/>
      <c r="R266" s="25"/>
      <c r="S266" s="11"/>
      <c r="T266" s="11"/>
      <c r="U266" s="11"/>
      <c r="V266" s="11"/>
    </row>
    <row r="267" spans="16:22">
      <c r="P267" s="25"/>
      <c r="Q267" s="25"/>
      <c r="R267" s="25"/>
      <c r="S267" s="13"/>
      <c r="T267" s="367"/>
      <c r="U267" s="367"/>
      <c r="V267" s="379"/>
    </row>
    <row r="268" spans="16:22">
      <c r="P268" s="13"/>
      <c r="Q268" s="13"/>
      <c r="R268" s="13"/>
      <c r="S268" s="781"/>
      <c r="T268" s="367"/>
      <c r="U268" s="367"/>
      <c r="V268" s="379"/>
    </row>
    <row r="270" spans="16:22">
      <c r="P270" s="11"/>
      <c r="Q270" s="761"/>
      <c r="R270" s="23"/>
      <c r="S270" s="772"/>
      <c r="T270" s="371"/>
      <c r="U270" s="371"/>
      <c r="V270" s="378"/>
    </row>
    <row r="271" spans="16:22">
      <c r="P271" s="13"/>
      <c r="Q271" s="13"/>
      <c r="R271" s="13"/>
      <c r="S271" s="773"/>
      <c r="T271" s="367"/>
      <c r="U271" s="367"/>
      <c r="V271" s="379"/>
    </row>
    <row r="272" spans="16:22">
      <c r="P272" s="13"/>
      <c r="Q272" s="13"/>
      <c r="R272" s="13"/>
      <c r="S272" s="775"/>
      <c r="T272" s="367"/>
      <c r="U272" s="367"/>
      <c r="V272" s="379"/>
    </row>
    <row r="273" spans="16:22">
      <c r="P273" s="16"/>
      <c r="Q273" s="16"/>
      <c r="R273" s="16"/>
      <c r="S273" s="746"/>
      <c r="T273" s="748"/>
      <c r="U273" s="369"/>
      <c r="V273" s="370"/>
    </row>
    <row r="274" spans="16:22">
      <c r="P274" s="371"/>
      <c r="Q274" s="371"/>
      <c r="R274" s="371"/>
      <c r="S274" s="746"/>
      <c r="T274" s="748"/>
      <c r="U274" s="369"/>
      <c r="V274" s="370"/>
    </row>
    <row r="275" spans="16:22">
      <c r="P275" s="749"/>
      <c r="Q275" s="749"/>
      <c r="R275" s="749"/>
      <c r="S275" s="746"/>
      <c r="T275" s="748"/>
      <c r="U275" s="785"/>
      <c r="V275" s="370"/>
    </row>
    <row r="276" spans="16:22">
      <c r="P276" s="373"/>
      <c r="Q276" s="373"/>
      <c r="R276" s="373"/>
      <c r="S276" s="746"/>
      <c r="T276" s="750"/>
      <c r="U276" s="369"/>
      <c r="V276" s="370"/>
    </row>
    <row r="277" spans="16:22">
      <c r="P277" s="374"/>
      <c r="Q277" s="374"/>
      <c r="R277" s="374"/>
      <c r="S277" s="778"/>
      <c r="T277" s="754"/>
      <c r="U277" s="754"/>
      <c r="V277" s="755"/>
    </row>
    <row r="278" spans="16:22" ht="15.75">
      <c r="P278" s="20"/>
      <c r="Q278" s="20"/>
      <c r="R278" s="20"/>
      <c r="S278" s="374"/>
      <c r="T278" s="754"/>
      <c r="U278" s="754"/>
      <c r="V278" s="755"/>
    </row>
    <row r="279" spans="16:22">
      <c r="P279" s="13"/>
      <c r="Q279" s="13"/>
      <c r="R279" s="13"/>
      <c r="S279" s="13"/>
      <c r="T279" s="367"/>
      <c r="U279" s="367"/>
      <c r="V279" s="368"/>
    </row>
    <row r="280" spans="16:22">
      <c r="P280" s="779"/>
      <c r="Q280" s="756"/>
      <c r="R280" s="757"/>
      <c r="S280" s="11"/>
      <c r="T280" s="11"/>
      <c r="U280" s="757"/>
      <c r="V280" s="375"/>
    </row>
    <row r="281" spans="16:22">
      <c r="P281" s="30"/>
      <c r="Q281" s="30"/>
      <c r="R281" s="30"/>
      <c r="S281" s="772"/>
      <c r="T281" s="371"/>
      <c r="U281" s="371"/>
      <c r="V281" s="378"/>
    </row>
    <row r="282" spans="16:22">
      <c r="P282" s="30"/>
      <c r="Q282" s="30"/>
      <c r="R282" s="30"/>
      <c r="S282" s="758"/>
      <c r="T282" s="371"/>
      <c r="U282" s="371"/>
      <c r="V282" s="378"/>
    </row>
    <row r="283" spans="16:22">
      <c r="P283" s="11"/>
      <c r="Q283" s="759"/>
      <c r="R283" s="11"/>
      <c r="S283" s="760"/>
      <c r="T283" s="371"/>
      <c r="U283" s="371"/>
      <c r="V283" s="378"/>
    </row>
    <row r="284" spans="16:22">
      <c r="P284" s="30"/>
      <c r="Q284" s="385"/>
      <c r="R284" s="30"/>
      <c r="S284" s="772"/>
      <c r="T284" s="371"/>
      <c r="U284" s="371"/>
      <c r="V284" s="378"/>
    </row>
    <row r="285" spans="16:22">
      <c r="P285" s="11"/>
      <c r="Q285" s="761"/>
      <c r="R285" s="23"/>
      <c r="S285" s="772"/>
      <c r="T285" s="371"/>
      <c r="U285" s="371"/>
      <c r="V285" s="378"/>
    </row>
    <row r="286" spans="16:22">
      <c r="P286" s="13"/>
      <c r="Q286" s="13"/>
      <c r="R286" s="13"/>
      <c r="S286" s="773"/>
      <c r="T286" s="367"/>
      <c r="U286" s="367"/>
      <c r="V286" s="379"/>
    </row>
    <row r="287" spans="16:22">
      <c r="P287" s="13"/>
      <c r="Q287" s="13"/>
      <c r="R287" s="13"/>
      <c r="S287" s="775"/>
      <c r="T287" s="367"/>
      <c r="U287" s="367"/>
      <c r="V287" s="379"/>
    </row>
    <row r="288" spans="16:22">
      <c r="P288" s="25"/>
      <c r="Q288" s="25"/>
      <c r="R288" s="25"/>
      <c r="S288" s="11"/>
      <c r="T288" s="11"/>
      <c r="U288" s="11"/>
      <c r="V288" s="11"/>
    </row>
    <row r="289" spans="16:22">
      <c r="P289" s="25"/>
      <c r="Q289" s="25"/>
      <c r="R289" s="25"/>
      <c r="S289" s="13"/>
      <c r="T289" s="367"/>
      <c r="U289" s="367"/>
      <c r="V289" s="379"/>
    </row>
    <row r="290" spans="16:22">
      <c r="P290" s="13"/>
      <c r="Q290" s="13"/>
      <c r="R290" s="13"/>
      <c r="S290" s="781"/>
      <c r="T290" s="367"/>
      <c r="U290" s="367"/>
      <c r="V290" s="379"/>
    </row>
    <row r="291" spans="16:22">
      <c r="P291" s="11"/>
      <c r="Q291" s="11"/>
      <c r="R291" s="11"/>
      <c r="S291" s="11"/>
      <c r="T291" s="11"/>
      <c r="U291" s="11"/>
      <c r="V291" s="11"/>
    </row>
  </sheetData>
  <customSheetViews>
    <customSheetView guid="{4C1AD9FE-DB97-4D30-8CF1-D476DD376A5A}" scale="80">
      <selection activeCell="U16" sqref="U16"/>
      <pageMargins left="0.7" right="0.7" top="0.75" bottom="0.75" header="0.3" footer="0.3"/>
      <pageSetup scale="48" orientation="landscape" r:id="rId1"/>
    </customSheetView>
    <customSheetView guid="{6A16E15D-0E79-4250-8AEC-339F57F63027}" scale="80">
      <selection activeCell="U16" sqref="U16"/>
      <pageMargins left="0.7" right="0.7" top="0.75" bottom="0.75" header="0.3" footer="0.3"/>
      <pageSetup scale="48" orientation="landscape" r:id="rId2"/>
    </customSheetView>
  </customSheetViews>
  <mergeCells count="12">
    <mergeCell ref="A24:E24"/>
    <mergeCell ref="A3:E3"/>
    <mergeCell ref="A45:E45"/>
    <mergeCell ref="G45:K45"/>
    <mergeCell ref="M45:Q45"/>
    <mergeCell ref="O4:V4"/>
    <mergeCell ref="M4:N5"/>
    <mergeCell ref="M10:N10"/>
    <mergeCell ref="G24:K24"/>
    <mergeCell ref="G3:K3"/>
    <mergeCell ref="M24:Q24"/>
    <mergeCell ref="M3:V3"/>
  </mergeCells>
  <pageMargins left="0.7" right="0.7" top="0.75" bottom="0.75" header="0.3" footer="0.3"/>
  <pageSetup scale="48" orientation="landscape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0"/>
  <sheetViews>
    <sheetView workbookViewId="0">
      <selection activeCell="P16" sqref="P16"/>
    </sheetView>
  </sheetViews>
  <sheetFormatPr defaultRowHeight="12.75"/>
  <cols>
    <col min="1" max="1" width="9.140625" style="415"/>
    <col min="2" max="2" width="21" style="415" customWidth="1"/>
    <col min="3" max="3" width="13.42578125" style="415" bestFit="1" customWidth="1"/>
    <col min="4" max="4" width="11.42578125" style="415" bestFit="1" customWidth="1"/>
    <col min="5" max="6" width="9.140625" style="415"/>
    <col min="7" max="7" width="14.7109375" style="415" customWidth="1"/>
    <col min="8" max="8" width="9.140625" style="415"/>
    <col min="9" max="9" width="18.140625" style="415" bestFit="1" customWidth="1"/>
    <col min="10" max="13" width="9.140625" style="415"/>
    <col min="14" max="14" width="9.28515625" style="415" customWidth="1"/>
    <col min="15" max="16" width="9.140625" style="415"/>
    <col min="17" max="17" width="0" style="415" hidden="1" customWidth="1"/>
    <col min="18" max="18" width="22.140625" style="415" hidden="1" customWidth="1"/>
    <col min="19" max="19" width="12" style="415" hidden="1" customWidth="1"/>
    <col min="20" max="20" width="12.7109375" style="415" hidden="1" customWidth="1"/>
    <col min="21" max="24" width="0" style="415" hidden="1" customWidth="1"/>
    <col min="25" max="25" width="10" style="415" hidden="1" customWidth="1"/>
    <col min="26" max="26" width="0" style="415" hidden="1" customWidth="1"/>
    <col min="27" max="27" width="22.140625" style="415" hidden="1" customWidth="1"/>
    <col min="28" max="28" width="4.7109375" style="415" hidden="1" customWidth="1"/>
    <col min="29" max="34" width="0" style="415" hidden="1" customWidth="1"/>
    <col min="35" max="273" width="9.140625" style="415"/>
    <col min="274" max="274" width="22.140625" style="415" bestFit="1" customWidth="1"/>
    <col min="275" max="275" width="6.7109375" style="415" bestFit="1" customWidth="1"/>
    <col min="276" max="276" width="12.7109375" style="415" bestFit="1" customWidth="1"/>
    <col min="277" max="282" width="9.140625" style="415"/>
    <col min="283" max="283" width="22.140625" style="415" bestFit="1" customWidth="1"/>
    <col min="284" max="284" width="4.7109375" style="415" bestFit="1" customWidth="1"/>
    <col min="285" max="529" width="9.140625" style="415"/>
    <col min="530" max="530" width="22.140625" style="415" bestFit="1" customWidth="1"/>
    <col min="531" max="531" width="6.7109375" style="415" bestFit="1" customWidth="1"/>
    <col min="532" max="532" width="12.7109375" style="415" bestFit="1" customWidth="1"/>
    <col min="533" max="538" width="9.140625" style="415"/>
    <col min="539" max="539" width="22.140625" style="415" bestFit="1" customWidth="1"/>
    <col min="540" max="540" width="4.7109375" style="415" bestFit="1" customWidth="1"/>
    <col min="541" max="785" width="9.140625" style="415"/>
    <col min="786" max="786" width="22.140625" style="415" bestFit="1" customWidth="1"/>
    <col min="787" max="787" width="6.7109375" style="415" bestFit="1" customWidth="1"/>
    <col min="788" max="788" width="12.7109375" style="415" bestFit="1" customWidth="1"/>
    <col min="789" max="794" width="9.140625" style="415"/>
    <col min="795" max="795" width="22.140625" style="415" bestFit="1" customWidth="1"/>
    <col min="796" max="796" width="4.7109375" style="415" bestFit="1" customWidth="1"/>
    <col min="797" max="1041" width="9.140625" style="415"/>
    <col min="1042" max="1042" width="22.140625" style="415" bestFit="1" customWidth="1"/>
    <col min="1043" max="1043" width="6.7109375" style="415" bestFit="1" customWidth="1"/>
    <col min="1044" max="1044" width="12.7109375" style="415" bestFit="1" customWidth="1"/>
    <col min="1045" max="1050" width="9.140625" style="415"/>
    <col min="1051" max="1051" width="22.140625" style="415" bestFit="1" customWidth="1"/>
    <col min="1052" max="1052" width="4.7109375" style="415" bestFit="1" customWidth="1"/>
    <col min="1053" max="1297" width="9.140625" style="415"/>
    <col min="1298" max="1298" width="22.140625" style="415" bestFit="1" customWidth="1"/>
    <col min="1299" max="1299" width="6.7109375" style="415" bestFit="1" customWidth="1"/>
    <col min="1300" max="1300" width="12.7109375" style="415" bestFit="1" customWidth="1"/>
    <col min="1301" max="1306" width="9.140625" style="415"/>
    <col min="1307" max="1307" width="22.140625" style="415" bestFit="1" customWidth="1"/>
    <col min="1308" max="1308" width="4.7109375" style="415" bestFit="1" customWidth="1"/>
    <col min="1309" max="1553" width="9.140625" style="415"/>
    <col min="1554" max="1554" width="22.140625" style="415" bestFit="1" customWidth="1"/>
    <col min="1555" max="1555" width="6.7109375" style="415" bestFit="1" customWidth="1"/>
    <col min="1556" max="1556" width="12.7109375" style="415" bestFit="1" customWidth="1"/>
    <col min="1557" max="1562" width="9.140625" style="415"/>
    <col min="1563" max="1563" width="22.140625" style="415" bestFit="1" customWidth="1"/>
    <col min="1564" max="1564" width="4.7109375" style="415" bestFit="1" customWidth="1"/>
    <col min="1565" max="1809" width="9.140625" style="415"/>
    <col min="1810" max="1810" width="22.140625" style="415" bestFit="1" customWidth="1"/>
    <col min="1811" max="1811" width="6.7109375" style="415" bestFit="1" customWidth="1"/>
    <col min="1812" max="1812" width="12.7109375" style="415" bestFit="1" customWidth="1"/>
    <col min="1813" max="1818" width="9.140625" style="415"/>
    <col min="1819" max="1819" width="22.140625" style="415" bestFit="1" customWidth="1"/>
    <col min="1820" max="1820" width="4.7109375" style="415" bestFit="1" customWidth="1"/>
    <col min="1821" max="2065" width="9.140625" style="415"/>
    <col min="2066" max="2066" width="22.140625" style="415" bestFit="1" customWidth="1"/>
    <col min="2067" max="2067" width="6.7109375" style="415" bestFit="1" customWidth="1"/>
    <col min="2068" max="2068" width="12.7109375" style="415" bestFit="1" customWidth="1"/>
    <col min="2069" max="2074" width="9.140625" style="415"/>
    <col min="2075" max="2075" width="22.140625" style="415" bestFit="1" customWidth="1"/>
    <col min="2076" max="2076" width="4.7109375" style="415" bestFit="1" customWidth="1"/>
    <col min="2077" max="2321" width="9.140625" style="415"/>
    <col min="2322" max="2322" width="22.140625" style="415" bestFit="1" customWidth="1"/>
    <col min="2323" max="2323" width="6.7109375" style="415" bestFit="1" customWidth="1"/>
    <col min="2324" max="2324" width="12.7109375" style="415" bestFit="1" customWidth="1"/>
    <col min="2325" max="2330" width="9.140625" style="415"/>
    <col min="2331" max="2331" width="22.140625" style="415" bestFit="1" customWidth="1"/>
    <col min="2332" max="2332" width="4.7109375" style="415" bestFit="1" customWidth="1"/>
    <col min="2333" max="2577" width="9.140625" style="415"/>
    <col min="2578" max="2578" width="22.140625" style="415" bestFit="1" customWidth="1"/>
    <col min="2579" max="2579" width="6.7109375" style="415" bestFit="1" customWidth="1"/>
    <col min="2580" max="2580" width="12.7109375" style="415" bestFit="1" customWidth="1"/>
    <col min="2581" max="2586" width="9.140625" style="415"/>
    <col min="2587" max="2587" width="22.140625" style="415" bestFit="1" customWidth="1"/>
    <col min="2588" max="2588" width="4.7109375" style="415" bestFit="1" customWidth="1"/>
    <col min="2589" max="2833" width="9.140625" style="415"/>
    <col min="2834" max="2834" width="22.140625" style="415" bestFit="1" customWidth="1"/>
    <col min="2835" max="2835" width="6.7109375" style="415" bestFit="1" customWidth="1"/>
    <col min="2836" max="2836" width="12.7109375" style="415" bestFit="1" customWidth="1"/>
    <col min="2837" max="2842" width="9.140625" style="415"/>
    <col min="2843" max="2843" width="22.140625" style="415" bestFit="1" customWidth="1"/>
    <col min="2844" max="2844" width="4.7109375" style="415" bestFit="1" customWidth="1"/>
    <col min="2845" max="3089" width="9.140625" style="415"/>
    <col min="3090" max="3090" width="22.140625" style="415" bestFit="1" customWidth="1"/>
    <col min="3091" max="3091" width="6.7109375" style="415" bestFit="1" customWidth="1"/>
    <col min="3092" max="3092" width="12.7109375" style="415" bestFit="1" customWidth="1"/>
    <col min="3093" max="3098" width="9.140625" style="415"/>
    <col min="3099" max="3099" width="22.140625" style="415" bestFit="1" customWidth="1"/>
    <col min="3100" max="3100" width="4.7109375" style="415" bestFit="1" customWidth="1"/>
    <col min="3101" max="3345" width="9.140625" style="415"/>
    <col min="3346" max="3346" width="22.140625" style="415" bestFit="1" customWidth="1"/>
    <col min="3347" max="3347" width="6.7109375" style="415" bestFit="1" customWidth="1"/>
    <col min="3348" max="3348" width="12.7109375" style="415" bestFit="1" customWidth="1"/>
    <col min="3349" max="3354" width="9.140625" style="415"/>
    <col min="3355" max="3355" width="22.140625" style="415" bestFit="1" customWidth="1"/>
    <col min="3356" max="3356" width="4.7109375" style="415" bestFit="1" customWidth="1"/>
    <col min="3357" max="3601" width="9.140625" style="415"/>
    <col min="3602" max="3602" width="22.140625" style="415" bestFit="1" customWidth="1"/>
    <col min="3603" max="3603" width="6.7109375" style="415" bestFit="1" customWidth="1"/>
    <col min="3604" max="3604" width="12.7109375" style="415" bestFit="1" customWidth="1"/>
    <col min="3605" max="3610" width="9.140625" style="415"/>
    <col min="3611" max="3611" width="22.140625" style="415" bestFit="1" customWidth="1"/>
    <col min="3612" max="3612" width="4.7109375" style="415" bestFit="1" customWidth="1"/>
    <col min="3613" max="3857" width="9.140625" style="415"/>
    <col min="3858" max="3858" width="22.140625" style="415" bestFit="1" customWidth="1"/>
    <col min="3859" max="3859" width="6.7109375" style="415" bestFit="1" customWidth="1"/>
    <col min="3860" max="3860" width="12.7109375" style="415" bestFit="1" customWidth="1"/>
    <col min="3861" max="3866" width="9.140625" style="415"/>
    <col min="3867" max="3867" width="22.140625" style="415" bestFit="1" customWidth="1"/>
    <col min="3868" max="3868" width="4.7109375" style="415" bestFit="1" customWidth="1"/>
    <col min="3869" max="4113" width="9.140625" style="415"/>
    <col min="4114" max="4114" width="22.140625" style="415" bestFit="1" customWidth="1"/>
    <col min="4115" max="4115" width="6.7109375" style="415" bestFit="1" customWidth="1"/>
    <col min="4116" max="4116" width="12.7109375" style="415" bestFit="1" customWidth="1"/>
    <col min="4117" max="4122" width="9.140625" style="415"/>
    <col min="4123" max="4123" width="22.140625" style="415" bestFit="1" customWidth="1"/>
    <col min="4124" max="4124" width="4.7109375" style="415" bestFit="1" customWidth="1"/>
    <col min="4125" max="4369" width="9.140625" style="415"/>
    <col min="4370" max="4370" width="22.140625" style="415" bestFit="1" customWidth="1"/>
    <col min="4371" max="4371" width="6.7109375" style="415" bestFit="1" customWidth="1"/>
    <col min="4372" max="4372" width="12.7109375" style="415" bestFit="1" customWidth="1"/>
    <col min="4373" max="4378" width="9.140625" style="415"/>
    <col min="4379" max="4379" width="22.140625" style="415" bestFit="1" customWidth="1"/>
    <col min="4380" max="4380" width="4.7109375" style="415" bestFit="1" customWidth="1"/>
    <col min="4381" max="4625" width="9.140625" style="415"/>
    <col min="4626" max="4626" width="22.140625" style="415" bestFit="1" customWidth="1"/>
    <col min="4627" max="4627" width="6.7109375" style="415" bestFit="1" customWidth="1"/>
    <col min="4628" max="4628" width="12.7109375" style="415" bestFit="1" customWidth="1"/>
    <col min="4629" max="4634" width="9.140625" style="415"/>
    <col min="4635" max="4635" width="22.140625" style="415" bestFit="1" customWidth="1"/>
    <col min="4636" max="4636" width="4.7109375" style="415" bestFit="1" customWidth="1"/>
    <col min="4637" max="4881" width="9.140625" style="415"/>
    <col min="4882" max="4882" width="22.140625" style="415" bestFit="1" customWidth="1"/>
    <col min="4883" max="4883" width="6.7109375" style="415" bestFit="1" customWidth="1"/>
    <col min="4884" max="4884" width="12.7109375" style="415" bestFit="1" customWidth="1"/>
    <col min="4885" max="4890" width="9.140625" style="415"/>
    <col min="4891" max="4891" width="22.140625" style="415" bestFit="1" customWidth="1"/>
    <col min="4892" max="4892" width="4.7109375" style="415" bestFit="1" customWidth="1"/>
    <col min="4893" max="5137" width="9.140625" style="415"/>
    <col min="5138" max="5138" width="22.140625" style="415" bestFit="1" customWidth="1"/>
    <col min="5139" max="5139" width="6.7109375" style="415" bestFit="1" customWidth="1"/>
    <col min="5140" max="5140" width="12.7109375" style="415" bestFit="1" customWidth="1"/>
    <col min="5141" max="5146" width="9.140625" style="415"/>
    <col min="5147" max="5147" width="22.140625" style="415" bestFit="1" customWidth="1"/>
    <col min="5148" max="5148" width="4.7109375" style="415" bestFit="1" customWidth="1"/>
    <col min="5149" max="5393" width="9.140625" style="415"/>
    <col min="5394" max="5394" width="22.140625" style="415" bestFit="1" customWidth="1"/>
    <col min="5395" max="5395" width="6.7109375" style="415" bestFit="1" customWidth="1"/>
    <col min="5396" max="5396" width="12.7109375" style="415" bestFit="1" customWidth="1"/>
    <col min="5397" max="5402" width="9.140625" style="415"/>
    <col min="5403" max="5403" width="22.140625" style="415" bestFit="1" customWidth="1"/>
    <col min="5404" max="5404" width="4.7109375" style="415" bestFit="1" customWidth="1"/>
    <col min="5405" max="5649" width="9.140625" style="415"/>
    <col min="5650" max="5650" width="22.140625" style="415" bestFit="1" customWidth="1"/>
    <col min="5651" max="5651" width="6.7109375" style="415" bestFit="1" customWidth="1"/>
    <col min="5652" max="5652" width="12.7109375" style="415" bestFit="1" customWidth="1"/>
    <col min="5653" max="5658" width="9.140625" style="415"/>
    <col min="5659" max="5659" width="22.140625" style="415" bestFit="1" customWidth="1"/>
    <col min="5660" max="5660" width="4.7109375" style="415" bestFit="1" customWidth="1"/>
    <col min="5661" max="5905" width="9.140625" style="415"/>
    <col min="5906" max="5906" width="22.140625" style="415" bestFit="1" customWidth="1"/>
    <col min="5907" max="5907" width="6.7109375" style="415" bestFit="1" customWidth="1"/>
    <col min="5908" max="5908" width="12.7109375" style="415" bestFit="1" customWidth="1"/>
    <col min="5909" max="5914" width="9.140625" style="415"/>
    <col min="5915" max="5915" width="22.140625" style="415" bestFit="1" customWidth="1"/>
    <col min="5916" max="5916" width="4.7109375" style="415" bestFit="1" customWidth="1"/>
    <col min="5917" max="6161" width="9.140625" style="415"/>
    <col min="6162" max="6162" width="22.140625" style="415" bestFit="1" customWidth="1"/>
    <col min="6163" max="6163" width="6.7109375" style="415" bestFit="1" customWidth="1"/>
    <col min="6164" max="6164" width="12.7109375" style="415" bestFit="1" customWidth="1"/>
    <col min="6165" max="6170" width="9.140625" style="415"/>
    <col min="6171" max="6171" width="22.140625" style="415" bestFit="1" customWidth="1"/>
    <col min="6172" max="6172" width="4.7109375" style="415" bestFit="1" customWidth="1"/>
    <col min="6173" max="6417" width="9.140625" style="415"/>
    <col min="6418" max="6418" width="22.140625" style="415" bestFit="1" customWidth="1"/>
    <col min="6419" max="6419" width="6.7109375" style="415" bestFit="1" customWidth="1"/>
    <col min="6420" max="6420" width="12.7109375" style="415" bestFit="1" customWidth="1"/>
    <col min="6421" max="6426" width="9.140625" style="415"/>
    <col min="6427" max="6427" width="22.140625" style="415" bestFit="1" customWidth="1"/>
    <col min="6428" max="6428" width="4.7109375" style="415" bestFit="1" customWidth="1"/>
    <col min="6429" max="6673" width="9.140625" style="415"/>
    <col min="6674" max="6674" width="22.140625" style="415" bestFit="1" customWidth="1"/>
    <col min="6675" max="6675" width="6.7109375" style="415" bestFit="1" customWidth="1"/>
    <col min="6676" max="6676" width="12.7109375" style="415" bestFit="1" customWidth="1"/>
    <col min="6677" max="6682" width="9.140625" style="415"/>
    <col min="6683" max="6683" width="22.140625" style="415" bestFit="1" customWidth="1"/>
    <col min="6684" max="6684" width="4.7109375" style="415" bestFit="1" customWidth="1"/>
    <col min="6685" max="6929" width="9.140625" style="415"/>
    <col min="6930" max="6930" width="22.140625" style="415" bestFit="1" customWidth="1"/>
    <col min="6931" max="6931" width="6.7109375" style="415" bestFit="1" customWidth="1"/>
    <col min="6932" max="6932" width="12.7109375" style="415" bestFit="1" customWidth="1"/>
    <col min="6933" max="6938" width="9.140625" style="415"/>
    <col min="6939" max="6939" width="22.140625" style="415" bestFit="1" customWidth="1"/>
    <col min="6940" max="6940" width="4.7109375" style="415" bestFit="1" customWidth="1"/>
    <col min="6941" max="7185" width="9.140625" style="415"/>
    <col min="7186" max="7186" width="22.140625" style="415" bestFit="1" customWidth="1"/>
    <col min="7187" max="7187" width="6.7109375" style="415" bestFit="1" customWidth="1"/>
    <col min="7188" max="7188" width="12.7109375" style="415" bestFit="1" customWidth="1"/>
    <col min="7189" max="7194" width="9.140625" style="415"/>
    <col min="7195" max="7195" width="22.140625" style="415" bestFit="1" customWidth="1"/>
    <col min="7196" max="7196" width="4.7109375" style="415" bestFit="1" customWidth="1"/>
    <col min="7197" max="7441" width="9.140625" style="415"/>
    <col min="7442" max="7442" width="22.140625" style="415" bestFit="1" customWidth="1"/>
    <col min="7443" max="7443" width="6.7109375" style="415" bestFit="1" customWidth="1"/>
    <col min="7444" max="7444" width="12.7109375" style="415" bestFit="1" customWidth="1"/>
    <col min="7445" max="7450" width="9.140625" style="415"/>
    <col min="7451" max="7451" width="22.140625" style="415" bestFit="1" customWidth="1"/>
    <col min="7452" max="7452" width="4.7109375" style="415" bestFit="1" customWidth="1"/>
    <col min="7453" max="7697" width="9.140625" style="415"/>
    <col min="7698" max="7698" width="22.140625" style="415" bestFit="1" customWidth="1"/>
    <col min="7699" max="7699" width="6.7109375" style="415" bestFit="1" customWidth="1"/>
    <col min="7700" max="7700" width="12.7109375" style="415" bestFit="1" customWidth="1"/>
    <col min="7701" max="7706" width="9.140625" style="415"/>
    <col min="7707" max="7707" width="22.140625" style="415" bestFit="1" customWidth="1"/>
    <col min="7708" max="7708" width="4.7109375" style="415" bestFit="1" customWidth="1"/>
    <col min="7709" max="7953" width="9.140625" style="415"/>
    <col min="7954" max="7954" width="22.140625" style="415" bestFit="1" customWidth="1"/>
    <col min="7955" max="7955" width="6.7109375" style="415" bestFit="1" customWidth="1"/>
    <col min="7956" max="7956" width="12.7109375" style="415" bestFit="1" customWidth="1"/>
    <col min="7957" max="7962" width="9.140625" style="415"/>
    <col min="7963" max="7963" width="22.140625" style="415" bestFit="1" customWidth="1"/>
    <col min="7964" max="7964" width="4.7109375" style="415" bestFit="1" customWidth="1"/>
    <col min="7965" max="8209" width="9.140625" style="415"/>
    <col min="8210" max="8210" width="22.140625" style="415" bestFit="1" customWidth="1"/>
    <col min="8211" max="8211" width="6.7109375" style="415" bestFit="1" customWidth="1"/>
    <col min="8212" max="8212" width="12.7109375" style="415" bestFit="1" customWidth="1"/>
    <col min="8213" max="8218" width="9.140625" style="415"/>
    <col min="8219" max="8219" width="22.140625" style="415" bestFit="1" customWidth="1"/>
    <col min="8220" max="8220" width="4.7109375" style="415" bestFit="1" customWidth="1"/>
    <col min="8221" max="8465" width="9.140625" style="415"/>
    <col min="8466" max="8466" width="22.140625" style="415" bestFit="1" customWidth="1"/>
    <col min="8467" max="8467" width="6.7109375" style="415" bestFit="1" customWidth="1"/>
    <col min="8468" max="8468" width="12.7109375" style="415" bestFit="1" customWidth="1"/>
    <col min="8469" max="8474" width="9.140625" style="415"/>
    <col min="8475" max="8475" width="22.140625" style="415" bestFit="1" customWidth="1"/>
    <col min="8476" max="8476" width="4.7109375" style="415" bestFit="1" customWidth="1"/>
    <col min="8477" max="8721" width="9.140625" style="415"/>
    <col min="8722" max="8722" width="22.140625" style="415" bestFit="1" customWidth="1"/>
    <col min="8723" max="8723" width="6.7109375" style="415" bestFit="1" customWidth="1"/>
    <col min="8724" max="8724" width="12.7109375" style="415" bestFit="1" customWidth="1"/>
    <col min="8725" max="8730" width="9.140625" style="415"/>
    <col min="8731" max="8731" width="22.140625" style="415" bestFit="1" customWidth="1"/>
    <col min="8732" max="8732" width="4.7109375" style="415" bestFit="1" customWidth="1"/>
    <col min="8733" max="8977" width="9.140625" style="415"/>
    <col min="8978" max="8978" width="22.140625" style="415" bestFit="1" customWidth="1"/>
    <col min="8979" max="8979" width="6.7109375" style="415" bestFit="1" customWidth="1"/>
    <col min="8980" max="8980" width="12.7109375" style="415" bestFit="1" customWidth="1"/>
    <col min="8981" max="8986" width="9.140625" style="415"/>
    <col min="8987" max="8987" width="22.140625" style="415" bestFit="1" customWidth="1"/>
    <col min="8988" max="8988" width="4.7109375" style="415" bestFit="1" customWidth="1"/>
    <col min="8989" max="9233" width="9.140625" style="415"/>
    <col min="9234" max="9234" width="22.140625" style="415" bestFit="1" customWidth="1"/>
    <col min="9235" max="9235" width="6.7109375" style="415" bestFit="1" customWidth="1"/>
    <col min="9236" max="9236" width="12.7109375" style="415" bestFit="1" customWidth="1"/>
    <col min="9237" max="9242" width="9.140625" style="415"/>
    <col min="9243" max="9243" width="22.140625" style="415" bestFit="1" customWidth="1"/>
    <col min="9244" max="9244" width="4.7109375" style="415" bestFit="1" customWidth="1"/>
    <col min="9245" max="9489" width="9.140625" style="415"/>
    <col min="9490" max="9490" width="22.140625" style="415" bestFit="1" customWidth="1"/>
    <col min="9491" max="9491" width="6.7109375" style="415" bestFit="1" customWidth="1"/>
    <col min="9492" max="9492" width="12.7109375" style="415" bestFit="1" customWidth="1"/>
    <col min="9493" max="9498" width="9.140625" style="415"/>
    <col min="9499" max="9499" width="22.140625" style="415" bestFit="1" customWidth="1"/>
    <col min="9500" max="9500" width="4.7109375" style="415" bestFit="1" customWidth="1"/>
    <col min="9501" max="9745" width="9.140625" style="415"/>
    <col min="9746" max="9746" width="22.140625" style="415" bestFit="1" customWidth="1"/>
    <col min="9747" max="9747" width="6.7109375" style="415" bestFit="1" customWidth="1"/>
    <col min="9748" max="9748" width="12.7109375" style="415" bestFit="1" customWidth="1"/>
    <col min="9749" max="9754" width="9.140625" style="415"/>
    <col min="9755" max="9755" width="22.140625" style="415" bestFit="1" customWidth="1"/>
    <col min="9756" max="9756" width="4.7109375" style="415" bestFit="1" customWidth="1"/>
    <col min="9757" max="10001" width="9.140625" style="415"/>
    <col min="10002" max="10002" width="22.140625" style="415" bestFit="1" customWidth="1"/>
    <col min="10003" max="10003" width="6.7109375" style="415" bestFit="1" customWidth="1"/>
    <col min="10004" max="10004" width="12.7109375" style="415" bestFit="1" customWidth="1"/>
    <col min="10005" max="10010" width="9.140625" style="415"/>
    <col min="10011" max="10011" width="22.140625" style="415" bestFit="1" customWidth="1"/>
    <col min="10012" max="10012" width="4.7109375" style="415" bestFit="1" customWidth="1"/>
    <col min="10013" max="10257" width="9.140625" style="415"/>
    <col min="10258" max="10258" width="22.140625" style="415" bestFit="1" customWidth="1"/>
    <col min="10259" max="10259" width="6.7109375" style="415" bestFit="1" customWidth="1"/>
    <col min="10260" max="10260" width="12.7109375" style="415" bestFit="1" customWidth="1"/>
    <col min="10261" max="10266" width="9.140625" style="415"/>
    <col min="10267" max="10267" width="22.140625" style="415" bestFit="1" customWidth="1"/>
    <col min="10268" max="10268" width="4.7109375" style="415" bestFit="1" customWidth="1"/>
    <col min="10269" max="10513" width="9.140625" style="415"/>
    <col min="10514" max="10514" width="22.140625" style="415" bestFit="1" customWidth="1"/>
    <col min="10515" max="10515" width="6.7109375" style="415" bestFit="1" customWidth="1"/>
    <col min="10516" max="10516" width="12.7109375" style="415" bestFit="1" customWidth="1"/>
    <col min="10517" max="10522" width="9.140625" style="415"/>
    <col min="10523" max="10523" width="22.140625" style="415" bestFit="1" customWidth="1"/>
    <col min="10524" max="10524" width="4.7109375" style="415" bestFit="1" customWidth="1"/>
    <col min="10525" max="10769" width="9.140625" style="415"/>
    <col min="10770" max="10770" width="22.140625" style="415" bestFit="1" customWidth="1"/>
    <col min="10771" max="10771" width="6.7109375" style="415" bestFit="1" customWidth="1"/>
    <col min="10772" max="10772" width="12.7109375" style="415" bestFit="1" customWidth="1"/>
    <col min="10773" max="10778" width="9.140625" style="415"/>
    <col min="10779" max="10779" width="22.140625" style="415" bestFit="1" customWidth="1"/>
    <col min="10780" max="10780" width="4.7109375" style="415" bestFit="1" customWidth="1"/>
    <col min="10781" max="11025" width="9.140625" style="415"/>
    <col min="11026" max="11026" width="22.140625" style="415" bestFit="1" customWidth="1"/>
    <col min="11027" max="11027" width="6.7109375" style="415" bestFit="1" customWidth="1"/>
    <col min="11028" max="11028" width="12.7109375" style="415" bestFit="1" customWidth="1"/>
    <col min="11029" max="11034" width="9.140625" style="415"/>
    <col min="11035" max="11035" width="22.140625" style="415" bestFit="1" customWidth="1"/>
    <col min="11036" max="11036" width="4.7109375" style="415" bestFit="1" customWidth="1"/>
    <col min="11037" max="11281" width="9.140625" style="415"/>
    <col min="11282" max="11282" width="22.140625" style="415" bestFit="1" customWidth="1"/>
    <col min="11283" max="11283" width="6.7109375" style="415" bestFit="1" customWidth="1"/>
    <col min="11284" max="11284" width="12.7109375" style="415" bestFit="1" customWidth="1"/>
    <col min="11285" max="11290" width="9.140625" style="415"/>
    <col min="11291" max="11291" width="22.140625" style="415" bestFit="1" customWidth="1"/>
    <col min="11292" max="11292" width="4.7109375" style="415" bestFit="1" customWidth="1"/>
    <col min="11293" max="11537" width="9.140625" style="415"/>
    <col min="11538" max="11538" width="22.140625" style="415" bestFit="1" customWidth="1"/>
    <col min="11539" max="11539" width="6.7109375" style="415" bestFit="1" customWidth="1"/>
    <col min="11540" max="11540" width="12.7109375" style="415" bestFit="1" customWidth="1"/>
    <col min="11541" max="11546" width="9.140625" style="415"/>
    <col min="11547" max="11547" width="22.140625" style="415" bestFit="1" customWidth="1"/>
    <col min="11548" max="11548" width="4.7109375" style="415" bestFit="1" customWidth="1"/>
    <col min="11549" max="11793" width="9.140625" style="415"/>
    <col min="11794" max="11794" width="22.140625" style="415" bestFit="1" customWidth="1"/>
    <col min="11795" max="11795" width="6.7109375" style="415" bestFit="1" customWidth="1"/>
    <col min="11796" max="11796" width="12.7109375" style="415" bestFit="1" customWidth="1"/>
    <col min="11797" max="11802" width="9.140625" style="415"/>
    <col min="11803" max="11803" width="22.140625" style="415" bestFit="1" customWidth="1"/>
    <col min="11804" max="11804" width="4.7109375" style="415" bestFit="1" customWidth="1"/>
    <col min="11805" max="12049" width="9.140625" style="415"/>
    <col min="12050" max="12050" width="22.140625" style="415" bestFit="1" customWidth="1"/>
    <col min="12051" max="12051" width="6.7109375" style="415" bestFit="1" customWidth="1"/>
    <col min="12052" max="12052" width="12.7109375" style="415" bestFit="1" customWidth="1"/>
    <col min="12053" max="12058" width="9.140625" style="415"/>
    <col min="12059" max="12059" width="22.140625" style="415" bestFit="1" customWidth="1"/>
    <col min="12060" max="12060" width="4.7109375" style="415" bestFit="1" customWidth="1"/>
    <col min="12061" max="12305" width="9.140625" style="415"/>
    <col min="12306" max="12306" width="22.140625" style="415" bestFit="1" customWidth="1"/>
    <col min="12307" max="12307" width="6.7109375" style="415" bestFit="1" customWidth="1"/>
    <col min="12308" max="12308" width="12.7109375" style="415" bestFit="1" customWidth="1"/>
    <col min="12309" max="12314" width="9.140625" style="415"/>
    <col min="12315" max="12315" width="22.140625" style="415" bestFit="1" customWidth="1"/>
    <col min="12316" max="12316" width="4.7109375" style="415" bestFit="1" customWidth="1"/>
    <col min="12317" max="12561" width="9.140625" style="415"/>
    <col min="12562" max="12562" width="22.140625" style="415" bestFit="1" customWidth="1"/>
    <col min="12563" max="12563" width="6.7109375" style="415" bestFit="1" customWidth="1"/>
    <col min="12564" max="12564" width="12.7109375" style="415" bestFit="1" customWidth="1"/>
    <col min="12565" max="12570" width="9.140625" style="415"/>
    <col min="12571" max="12571" width="22.140625" style="415" bestFit="1" customWidth="1"/>
    <col min="12572" max="12572" width="4.7109375" style="415" bestFit="1" customWidth="1"/>
    <col min="12573" max="12817" width="9.140625" style="415"/>
    <col min="12818" max="12818" width="22.140625" style="415" bestFit="1" customWidth="1"/>
    <col min="12819" max="12819" width="6.7109375" style="415" bestFit="1" customWidth="1"/>
    <col min="12820" max="12820" width="12.7109375" style="415" bestFit="1" customWidth="1"/>
    <col min="12821" max="12826" width="9.140625" style="415"/>
    <col min="12827" max="12827" width="22.140625" style="415" bestFit="1" customWidth="1"/>
    <col min="12828" max="12828" width="4.7109375" style="415" bestFit="1" customWidth="1"/>
    <col min="12829" max="13073" width="9.140625" style="415"/>
    <col min="13074" max="13074" width="22.140625" style="415" bestFit="1" customWidth="1"/>
    <col min="13075" max="13075" width="6.7109375" style="415" bestFit="1" customWidth="1"/>
    <col min="13076" max="13076" width="12.7109375" style="415" bestFit="1" customWidth="1"/>
    <col min="13077" max="13082" width="9.140625" style="415"/>
    <col min="13083" max="13083" width="22.140625" style="415" bestFit="1" customWidth="1"/>
    <col min="13084" max="13084" width="4.7109375" style="415" bestFit="1" customWidth="1"/>
    <col min="13085" max="13329" width="9.140625" style="415"/>
    <col min="13330" max="13330" width="22.140625" style="415" bestFit="1" customWidth="1"/>
    <col min="13331" max="13331" width="6.7109375" style="415" bestFit="1" customWidth="1"/>
    <col min="13332" max="13332" width="12.7109375" style="415" bestFit="1" customWidth="1"/>
    <col min="13333" max="13338" width="9.140625" style="415"/>
    <col min="13339" max="13339" width="22.140625" style="415" bestFit="1" customWidth="1"/>
    <col min="13340" max="13340" width="4.7109375" style="415" bestFit="1" customWidth="1"/>
    <col min="13341" max="13585" width="9.140625" style="415"/>
    <col min="13586" max="13586" width="22.140625" style="415" bestFit="1" customWidth="1"/>
    <col min="13587" max="13587" width="6.7109375" style="415" bestFit="1" customWidth="1"/>
    <col min="13588" max="13588" width="12.7109375" style="415" bestFit="1" customWidth="1"/>
    <col min="13589" max="13594" width="9.140625" style="415"/>
    <col min="13595" max="13595" width="22.140625" style="415" bestFit="1" customWidth="1"/>
    <col min="13596" max="13596" width="4.7109375" style="415" bestFit="1" customWidth="1"/>
    <col min="13597" max="13841" width="9.140625" style="415"/>
    <col min="13842" max="13842" width="22.140625" style="415" bestFit="1" customWidth="1"/>
    <col min="13843" max="13843" width="6.7109375" style="415" bestFit="1" customWidth="1"/>
    <col min="13844" max="13844" width="12.7109375" style="415" bestFit="1" customWidth="1"/>
    <col min="13845" max="13850" width="9.140625" style="415"/>
    <col min="13851" max="13851" width="22.140625" style="415" bestFit="1" customWidth="1"/>
    <col min="13852" max="13852" width="4.7109375" style="415" bestFit="1" customWidth="1"/>
    <col min="13853" max="14097" width="9.140625" style="415"/>
    <col min="14098" max="14098" width="22.140625" style="415" bestFit="1" customWidth="1"/>
    <col min="14099" max="14099" width="6.7109375" style="415" bestFit="1" customWidth="1"/>
    <col min="14100" max="14100" width="12.7109375" style="415" bestFit="1" customWidth="1"/>
    <col min="14101" max="14106" width="9.140625" style="415"/>
    <col min="14107" max="14107" width="22.140625" style="415" bestFit="1" customWidth="1"/>
    <col min="14108" max="14108" width="4.7109375" style="415" bestFit="1" customWidth="1"/>
    <col min="14109" max="14353" width="9.140625" style="415"/>
    <col min="14354" max="14354" width="22.140625" style="415" bestFit="1" customWidth="1"/>
    <col min="14355" max="14355" width="6.7109375" style="415" bestFit="1" customWidth="1"/>
    <col min="14356" max="14356" width="12.7109375" style="415" bestFit="1" customWidth="1"/>
    <col min="14357" max="14362" width="9.140625" style="415"/>
    <col min="14363" max="14363" width="22.140625" style="415" bestFit="1" customWidth="1"/>
    <col min="14364" max="14364" width="4.7109375" style="415" bestFit="1" customWidth="1"/>
    <col min="14365" max="14609" width="9.140625" style="415"/>
    <col min="14610" max="14610" width="22.140625" style="415" bestFit="1" customWidth="1"/>
    <col min="14611" max="14611" width="6.7109375" style="415" bestFit="1" customWidth="1"/>
    <col min="14612" max="14612" width="12.7109375" style="415" bestFit="1" customWidth="1"/>
    <col min="14613" max="14618" width="9.140625" style="415"/>
    <col min="14619" max="14619" width="22.140625" style="415" bestFit="1" customWidth="1"/>
    <col min="14620" max="14620" width="4.7109375" style="415" bestFit="1" customWidth="1"/>
    <col min="14621" max="14865" width="9.140625" style="415"/>
    <col min="14866" max="14866" width="22.140625" style="415" bestFit="1" customWidth="1"/>
    <col min="14867" max="14867" width="6.7109375" style="415" bestFit="1" customWidth="1"/>
    <col min="14868" max="14868" width="12.7109375" style="415" bestFit="1" customWidth="1"/>
    <col min="14869" max="14874" width="9.140625" style="415"/>
    <col min="14875" max="14875" width="22.140625" style="415" bestFit="1" customWidth="1"/>
    <col min="14876" max="14876" width="4.7109375" style="415" bestFit="1" customWidth="1"/>
    <col min="14877" max="15121" width="9.140625" style="415"/>
    <col min="15122" max="15122" width="22.140625" style="415" bestFit="1" customWidth="1"/>
    <col min="15123" max="15123" width="6.7109375" style="415" bestFit="1" customWidth="1"/>
    <col min="15124" max="15124" width="12.7109375" style="415" bestFit="1" customWidth="1"/>
    <col min="15125" max="15130" width="9.140625" style="415"/>
    <col min="15131" max="15131" width="22.140625" style="415" bestFit="1" customWidth="1"/>
    <col min="15132" max="15132" width="4.7109375" style="415" bestFit="1" customWidth="1"/>
    <col min="15133" max="15377" width="9.140625" style="415"/>
    <col min="15378" max="15378" width="22.140625" style="415" bestFit="1" customWidth="1"/>
    <col min="15379" max="15379" width="6.7109375" style="415" bestFit="1" customWidth="1"/>
    <col min="15380" max="15380" width="12.7109375" style="415" bestFit="1" customWidth="1"/>
    <col min="15381" max="15386" width="9.140625" style="415"/>
    <col min="15387" max="15387" width="22.140625" style="415" bestFit="1" customWidth="1"/>
    <col min="15388" max="15388" width="4.7109375" style="415" bestFit="1" customWidth="1"/>
    <col min="15389" max="15633" width="9.140625" style="415"/>
    <col min="15634" max="15634" width="22.140625" style="415" bestFit="1" customWidth="1"/>
    <col min="15635" max="15635" width="6.7109375" style="415" bestFit="1" customWidth="1"/>
    <col min="15636" max="15636" width="12.7109375" style="415" bestFit="1" customWidth="1"/>
    <col min="15637" max="15642" width="9.140625" style="415"/>
    <col min="15643" max="15643" width="22.140625" style="415" bestFit="1" customWidth="1"/>
    <col min="15644" max="15644" width="4.7109375" style="415" bestFit="1" customWidth="1"/>
    <col min="15645" max="15889" width="9.140625" style="415"/>
    <col min="15890" max="15890" width="22.140625" style="415" bestFit="1" customWidth="1"/>
    <col min="15891" max="15891" width="6.7109375" style="415" bestFit="1" customWidth="1"/>
    <col min="15892" max="15892" width="12.7109375" style="415" bestFit="1" customWidth="1"/>
    <col min="15893" max="15898" width="9.140625" style="415"/>
    <col min="15899" max="15899" width="22.140625" style="415" bestFit="1" customWidth="1"/>
    <col min="15900" max="15900" width="4.7109375" style="415" bestFit="1" customWidth="1"/>
    <col min="15901" max="16145" width="9.140625" style="415"/>
    <col min="16146" max="16146" width="22.140625" style="415" bestFit="1" customWidth="1"/>
    <col min="16147" max="16147" width="6.7109375" style="415" bestFit="1" customWidth="1"/>
    <col min="16148" max="16148" width="12.7109375" style="415" bestFit="1" customWidth="1"/>
    <col min="16149" max="16154" width="9.140625" style="415"/>
    <col min="16155" max="16155" width="22.140625" style="415" bestFit="1" customWidth="1"/>
    <col min="16156" max="16156" width="4.7109375" style="415" bestFit="1" customWidth="1"/>
    <col min="16157" max="16384" width="9.140625" style="415"/>
  </cols>
  <sheetData>
    <row r="1" spans="2:25" ht="18">
      <c r="R1" s="450" t="s">
        <v>366</v>
      </c>
    </row>
    <row r="2" spans="2:25" ht="18.75" thickBot="1">
      <c r="D2" s="450" t="s">
        <v>366</v>
      </c>
      <c r="R2" s="414" t="s">
        <v>336</v>
      </c>
    </row>
    <row r="3" spans="2:25" ht="18" customHeight="1">
      <c r="D3" s="2437">
        <v>43663</v>
      </c>
      <c r="R3" s="1069" t="s">
        <v>367</v>
      </c>
      <c r="S3" s="1033"/>
      <c r="T3" s="1033"/>
      <c r="U3" s="1033"/>
      <c r="V3" s="1033"/>
      <c r="W3" s="1070"/>
      <c r="X3" s="3337" t="s">
        <v>559</v>
      </c>
      <c r="Y3" s="3338"/>
    </row>
    <row r="4" spans="2:25" ht="36.75" customHeight="1" thickBot="1">
      <c r="B4" s="1612"/>
      <c r="C4" s="1612"/>
      <c r="D4" s="1612"/>
      <c r="E4" s="1612"/>
      <c r="F4" s="1612"/>
      <c r="G4" s="1612"/>
      <c r="H4" s="1612"/>
      <c r="I4" s="1612" t="s">
        <v>851</v>
      </c>
      <c r="J4" s="1612"/>
      <c r="K4" s="1612"/>
      <c r="L4" s="1612"/>
      <c r="M4" s="1612"/>
      <c r="N4" s="1612"/>
      <c r="O4" s="1612"/>
      <c r="R4" s="416"/>
      <c r="S4" s="417" t="s">
        <v>558</v>
      </c>
      <c r="T4" s="451" t="s">
        <v>368</v>
      </c>
      <c r="U4" s="452" t="s">
        <v>342</v>
      </c>
      <c r="V4" s="419" t="s">
        <v>190</v>
      </c>
      <c r="W4" s="420" t="s">
        <v>343</v>
      </c>
      <c r="X4" s="3339"/>
      <c r="Y4" s="3340"/>
    </row>
    <row r="5" spans="2:25" ht="15.75" thickBot="1">
      <c r="B5" s="3341" t="s">
        <v>871</v>
      </c>
      <c r="C5" s="3342"/>
      <c r="D5" s="3342"/>
      <c r="E5" s="3342"/>
      <c r="F5" s="3342"/>
      <c r="G5" s="3343"/>
      <c r="H5" s="1612"/>
      <c r="I5" s="1991" t="s">
        <v>367</v>
      </c>
      <c r="J5" s="1614"/>
      <c r="K5" s="1614"/>
      <c r="L5" s="1614"/>
      <c r="M5" s="1614"/>
      <c r="N5" s="1992"/>
      <c r="O5" s="1612"/>
      <c r="R5" s="421" t="s">
        <v>191</v>
      </c>
      <c r="S5" s="447"/>
      <c r="T5" s="453"/>
      <c r="U5" s="454">
        <f>'[8]FY 09 UFR Salary Data'!$H$3</f>
        <v>56242.93</v>
      </c>
      <c r="V5" s="423">
        <v>0.25</v>
      </c>
      <c r="W5" s="422">
        <f>U5*V5</f>
        <v>14060.7325</v>
      </c>
      <c r="X5" s="1107">
        <f>U5*(1+$S$22)</f>
        <v>58084.42855302072</v>
      </c>
      <c r="Y5" s="1106">
        <f>V5*X5</f>
        <v>14521.10713825518</v>
      </c>
    </row>
    <row r="6" spans="2:25" ht="24.75" customHeight="1" thickBot="1">
      <c r="B6" s="3344" t="s">
        <v>725</v>
      </c>
      <c r="C6" s="3345"/>
      <c r="D6" s="3344" t="s">
        <v>873</v>
      </c>
      <c r="E6" s="3346"/>
      <c r="F6" s="3346"/>
      <c r="G6" s="3345"/>
      <c r="H6" s="1612"/>
      <c r="I6" s="1845"/>
      <c r="J6" s="1993" t="s">
        <v>558</v>
      </c>
      <c r="K6" s="1994" t="s">
        <v>368</v>
      </c>
      <c r="L6" s="1862" t="s">
        <v>342</v>
      </c>
      <c r="M6" s="1995" t="s">
        <v>190</v>
      </c>
      <c r="N6" s="1869" t="s">
        <v>343</v>
      </c>
      <c r="O6" s="1612"/>
      <c r="R6" s="455" t="s">
        <v>68</v>
      </c>
      <c r="S6" s="447"/>
      <c r="T6" s="456">
        <v>60</v>
      </c>
      <c r="U6" s="454">
        <f>'[8]FY 09 UFR Salary Data'!H24</f>
        <v>43813.11</v>
      </c>
      <c r="V6" s="423">
        <f>W20/T6</f>
        <v>0.5</v>
      </c>
      <c r="W6" s="422">
        <f>U6*V6</f>
        <v>21906.555</v>
      </c>
      <c r="X6" s="421">
        <f t="shared" ref="X6:X7" si="0">U6*(1+$S$22)</f>
        <v>45247.633035487976</v>
      </c>
      <c r="Y6" s="1062">
        <f>V6*X6</f>
        <v>22623.816517743988</v>
      </c>
    </row>
    <row r="7" spans="2:25" ht="15">
      <c r="B7" s="1627" t="s">
        <v>191</v>
      </c>
      <c r="C7" s="2019">
        <v>55383</v>
      </c>
      <c r="D7" s="2559" t="s">
        <v>852</v>
      </c>
      <c r="E7" s="2560"/>
      <c r="F7" s="2560"/>
      <c r="G7" s="2561"/>
      <c r="H7" s="1612"/>
      <c r="I7" s="1851" t="s">
        <v>191</v>
      </c>
      <c r="J7" s="1897"/>
      <c r="K7" s="1996"/>
      <c r="L7" s="1997">
        <f>C7</f>
        <v>55383</v>
      </c>
      <c r="M7" s="1998">
        <v>0.25</v>
      </c>
      <c r="N7" s="1855">
        <f>L7*M7</f>
        <v>13845.75</v>
      </c>
      <c r="O7" s="1612"/>
      <c r="R7" s="424" t="s">
        <v>192</v>
      </c>
      <c r="S7" s="447"/>
      <c r="T7" s="453">
        <v>15</v>
      </c>
      <c r="U7" s="454">
        <f>'[8]FY 09 UFR Salary Data'!$F$42</f>
        <v>31320.912288456329</v>
      </c>
      <c r="V7" s="423">
        <f>W20/T7</f>
        <v>2</v>
      </c>
      <c r="W7" s="422">
        <f>U7*V7</f>
        <v>62641.824576912659</v>
      </c>
      <c r="X7" s="1122">
        <f t="shared" si="0"/>
        <v>32346.417443655057</v>
      </c>
      <c r="Y7" s="1123">
        <f>V7*X7</f>
        <v>64692.834887310113</v>
      </c>
    </row>
    <row r="8" spans="2:25">
      <c r="B8" s="1627" t="s">
        <v>839</v>
      </c>
      <c r="C8" s="2019">
        <v>40107</v>
      </c>
      <c r="D8" s="1627" t="s">
        <v>872</v>
      </c>
      <c r="E8" s="1645"/>
      <c r="F8" s="1645"/>
      <c r="G8" s="1632"/>
      <c r="H8" s="1612"/>
      <c r="I8" s="1856" t="s">
        <v>839</v>
      </c>
      <c r="J8" s="1897"/>
      <c r="K8" s="1996">
        <v>15</v>
      </c>
      <c r="L8" s="1997">
        <f>C8</f>
        <v>40107</v>
      </c>
      <c r="M8" s="1998">
        <f>N21/K8</f>
        <v>2</v>
      </c>
      <c r="N8" s="1855">
        <f>L8*M8</f>
        <v>80214</v>
      </c>
      <c r="O8" s="1612"/>
      <c r="R8" s="457" t="s">
        <v>194</v>
      </c>
      <c r="S8" s="476"/>
      <c r="T8" s="458"/>
      <c r="U8" s="458"/>
      <c r="V8" s="459">
        <f>SUM(V5:V7)</f>
        <v>2.75</v>
      </c>
      <c r="W8" s="458">
        <f>SUM(W5:W7)</f>
        <v>98609.112076912657</v>
      </c>
      <c r="X8" s="1119"/>
      <c r="Y8" s="1120">
        <f>SUM(Y5:Y7)</f>
        <v>101837.75854330929</v>
      </c>
    </row>
    <row r="9" spans="2:25" ht="15.75">
      <c r="B9" s="1627"/>
      <c r="C9" s="1645"/>
      <c r="D9" s="1627"/>
      <c r="E9" s="1645"/>
      <c r="F9" s="1645"/>
      <c r="G9" s="1632"/>
      <c r="H9" s="1612"/>
      <c r="I9" s="1633" t="s">
        <v>194</v>
      </c>
      <c r="J9" s="1999"/>
      <c r="K9" s="1859"/>
      <c r="L9" s="1859"/>
      <c r="M9" s="2000">
        <f>SUM(M7:M8)</f>
        <v>2.25</v>
      </c>
      <c r="N9" s="1861">
        <f>SUM(N7:N8)</f>
        <v>94059.75</v>
      </c>
      <c r="O9" s="1612"/>
      <c r="R9" s="426"/>
      <c r="S9" s="427"/>
      <c r="T9" s="428"/>
      <c r="U9" s="428"/>
      <c r="V9" s="429"/>
      <c r="W9" s="428"/>
      <c r="X9" s="1108"/>
      <c r="Y9" s="1063"/>
    </row>
    <row r="10" spans="2:25">
      <c r="B10" s="1627"/>
      <c r="C10" s="1645"/>
      <c r="D10" s="1627"/>
      <c r="E10" s="1645"/>
      <c r="F10" s="1645"/>
      <c r="G10" s="1632"/>
      <c r="H10" s="1612"/>
      <c r="I10" s="1631"/>
      <c r="J10" s="1862"/>
      <c r="K10" s="1864"/>
      <c r="L10" s="1864"/>
      <c r="M10" s="2001"/>
      <c r="N10" s="1866"/>
      <c r="O10" s="1612"/>
      <c r="R10" s="416" t="s">
        <v>195</v>
      </c>
      <c r="S10" s="430"/>
      <c r="T10" s="418"/>
      <c r="U10" s="418"/>
      <c r="V10" s="419"/>
      <c r="W10" s="418"/>
      <c r="X10" s="1109"/>
      <c r="Y10" s="1061"/>
    </row>
    <row r="11" spans="2:25">
      <c r="B11" s="3291" t="s">
        <v>195</v>
      </c>
      <c r="C11" s="3295"/>
      <c r="D11" s="1627"/>
      <c r="E11" s="1645"/>
      <c r="F11" s="1645"/>
      <c r="G11" s="1632"/>
      <c r="H11" s="1612"/>
      <c r="I11" s="1845" t="s">
        <v>195</v>
      </c>
      <c r="J11" s="1867"/>
      <c r="K11" s="1868"/>
      <c r="L11" s="1868"/>
      <c r="M11" s="1995"/>
      <c r="N11" s="1869"/>
      <c r="O11" s="1612"/>
      <c r="R11" s="431" t="s">
        <v>196</v>
      </c>
      <c r="S11" s="443">
        <v>0.22</v>
      </c>
      <c r="T11" s="460" t="s">
        <v>197</v>
      </c>
      <c r="U11" s="432"/>
      <c r="V11" s="433"/>
      <c r="W11" s="1056">
        <f>W8*S11</f>
        <v>21694.004656920784</v>
      </c>
      <c r="X11" s="1110"/>
      <c r="Y11" s="1064">
        <f>S11*Y8</f>
        <v>22404.306879528045</v>
      </c>
    </row>
    <row r="12" spans="2:25">
      <c r="B12" s="1627" t="s">
        <v>196</v>
      </c>
      <c r="C12" s="1725">
        <v>0.22</v>
      </c>
      <c r="D12" s="1627" t="s">
        <v>546</v>
      </c>
      <c r="E12" s="1645"/>
      <c r="F12" s="1645"/>
      <c r="G12" s="1632"/>
      <c r="H12" s="1612"/>
      <c r="I12" s="1647" t="s">
        <v>196</v>
      </c>
      <c r="J12" s="1645"/>
      <c r="K12" s="1871"/>
      <c r="L12" s="2002">
        <v>0.22</v>
      </c>
      <c r="M12" s="2003"/>
      <c r="N12" s="1855">
        <f>N9*L12</f>
        <v>20693.145</v>
      </c>
      <c r="O12" s="1612"/>
      <c r="R12" s="461" t="s">
        <v>198</v>
      </c>
      <c r="S12" s="462">
        <v>0.75</v>
      </c>
      <c r="T12" s="463"/>
      <c r="U12" s="463"/>
      <c r="V12" s="464"/>
      <c r="W12" s="1057">
        <f>W8+W11</f>
        <v>120303.11673383345</v>
      </c>
      <c r="X12" s="1111"/>
      <c r="Y12" s="1065">
        <f>Y8+Y11</f>
        <v>124242.06542283733</v>
      </c>
    </row>
    <row r="13" spans="2:25" ht="15">
      <c r="B13" s="1627" t="s">
        <v>199</v>
      </c>
      <c r="C13" s="2019">
        <v>43123</v>
      </c>
      <c r="D13" s="1627" t="s">
        <v>850</v>
      </c>
      <c r="E13" s="1645"/>
      <c r="F13" s="1645"/>
      <c r="G13" s="1632"/>
      <c r="H13" s="1612"/>
      <c r="I13" s="1650" t="s">
        <v>198</v>
      </c>
      <c r="J13" s="1874"/>
      <c r="K13" s="1875"/>
      <c r="L13" s="1875"/>
      <c r="M13" s="2004"/>
      <c r="N13" s="1877">
        <f>N9+N12</f>
        <v>114752.895</v>
      </c>
      <c r="O13" s="1612"/>
      <c r="R13" s="445"/>
      <c r="S13" s="465"/>
      <c r="T13" s="446"/>
      <c r="U13" s="446"/>
      <c r="V13" s="425"/>
      <c r="W13" s="418"/>
      <c r="X13" s="1109"/>
      <c r="Y13" s="1061"/>
    </row>
    <row r="14" spans="2:25">
      <c r="B14" s="1627" t="s">
        <v>869</v>
      </c>
      <c r="C14" s="2019">
        <v>21500</v>
      </c>
      <c r="D14" s="1627" t="s">
        <v>870</v>
      </c>
      <c r="E14" s="1645"/>
      <c r="F14" s="1645"/>
      <c r="G14" s="1632"/>
      <c r="H14" s="1612"/>
      <c r="I14" s="1627"/>
      <c r="J14" s="2020"/>
      <c r="K14" s="1853"/>
      <c r="L14" s="1853"/>
      <c r="M14" s="2005"/>
      <c r="N14" s="1869"/>
      <c r="O14" s="1612"/>
      <c r="R14" s="434" t="s">
        <v>199</v>
      </c>
      <c r="S14" s="466">
        <v>0.25</v>
      </c>
      <c r="T14" s="446"/>
      <c r="U14" s="446"/>
      <c r="V14" s="425"/>
      <c r="W14" s="1058">
        <f>W15-W12</f>
        <v>40101.038911277807</v>
      </c>
      <c r="X14" s="1112"/>
      <c r="Y14" s="1066">
        <f>Y15-Y12</f>
        <v>41414.021807612444</v>
      </c>
    </row>
    <row r="15" spans="2:25">
      <c r="B15" s="1627" t="s">
        <v>201</v>
      </c>
      <c r="C15" s="1725">
        <v>0.11</v>
      </c>
      <c r="D15" s="1627" t="s">
        <v>546</v>
      </c>
      <c r="E15" s="1645"/>
      <c r="F15" s="1645"/>
      <c r="G15" s="1632"/>
      <c r="H15" s="1612"/>
      <c r="I15" s="1627" t="s">
        <v>199</v>
      </c>
      <c r="J15" s="2006"/>
      <c r="K15" s="1853"/>
      <c r="L15" s="1853"/>
      <c r="M15" s="2005"/>
      <c r="N15" s="1880">
        <f>C13</f>
        <v>43123</v>
      </c>
      <c r="O15" s="1612"/>
      <c r="R15" s="461" t="s">
        <v>200</v>
      </c>
      <c r="S15" s="462"/>
      <c r="T15" s="463"/>
      <c r="U15" s="463"/>
      <c r="V15" s="464"/>
      <c r="W15" s="1057">
        <f>W12/S12</f>
        <v>160404.15564511126</v>
      </c>
      <c r="X15" s="1111"/>
      <c r="Y15" s="1065">
        <f>Y12/S12</f>
        <v>165656.08723044978</v>
      </c>
    </row>
    <row r="16" spans="2:25">
      <c r="B16" s="2021" t="s">
        <v>653</v>
      </c>
      <c r="C16" s="1498">
        <v>6.3E-3</v>
      </c>
      <c r="D16" s="2021" t="s">
        <v>860</v>
      </c>
      <c r="E16" s="2022"/>
      <c r="F16" s="2022"/>
      <c r="G16" s="2565"/>
      <c r="H16" s="1612"/>
      <c r="I16" s="1650" t="s">
        <v>200</v>
      </c>
      <c r="J16" s="1874"/>
      <c r="K16" s="1875"/>
      <c r="L16" s="1875"/>
      <c r="M16" s="2004"/>
      <c r="N16" s="1877">
        <f>N15+N13</f>
        <v>157875.89500000002</v>
      </c>
      <c r="O16" s="1612"/>
      <c r="R16" s="434" t="s">
        <v>201</v>
      </c>
      <c r="S16" s="467">
        <v>0.11</v>
      </c>
      <c r="T16" s="446"/>
      <c r="U16" s="446"/>
      <c r="V16" s="425"/>
      <c r="W16" s="1058">
        <f>W15*S16</f>
        <v>17644.457120962237</v>
      </c>
      <c r="X16" s="1112"/>
      <c r="Y16" s="1066">
        <f>Y15*S16</f>
        <v>18222.169595349475</v>
      </c>
    </row>
    <row r="17" spans="2:25">
      <c r="B17" s="1627"/>
      <c r="C17" s="1645"/>
      <c r="D17" s="1627"/>
      <c r="E17" s="1645"/>
      <c r="F17" s="1645"/>
      <c r="G17" s="1632"/>
      <c r="H17" s="1612"/>
      <c r="I17" s="1627" t="s">
        <v>201</v>
      </c>
      <c r="J17" s="1645"/>
      <c r="K17" s="1853"/>
      <c r="L17" s="2007">
        <v>0.11</v>
      </c>
      <c r="M17" s="2005"/>
      <c r="N17" s="1880">
        <f>N16*L17</f>
        <v>17366.348450000001</v>
      </c>
      <c r="O17" s="1612"/>
      <c r="R17" s="437"/>
      <c r="S17" s="448"/>
      <c r="T17" s="438"/>
      <c r="U17" s="438"/>
      <c r="V17" s="444"/>
      <c r="W17" s="1059"/>
      <c r="X17" s="1113"/>
      <c r="Y17" s="1067"/>
    </row>
    <row r="18" spans="2:25" ht="13.5" thickBot="1">
      <c r="B18" s="1617" t="s">
        <v>726</v>
      </c>
      <c r="C18" s="2562">
        <f>'Spring 2019 CAF'!BU25</f>
        <v>1.8120393120392975E-2</v>
      </c>
      <c r="D18" s="1617" t="s">
        <v>652</v>
      </c>
      <c r="E18" s="1619"/>
      <c r="F18" s="1619"/>
      <c r="G18" s="1620"/>
      <c r="H18" s="1612"/>
      <c r="I18" s="1627" t="str">
        <f>B14</f>
        <v>Specialty Consulations</v>
      </c>
      <c r="J18" s="1645"/>
      <c r="K18" s="1853"/>
      <c r="L18" s="2535"/>
      <c r="M18" s="2005"/>
      <c r="N18" s="1880">
        <f>C14</f>
        <v>21500</v>
      </c>
      <c r="O18" s="1612"/>
      <c r="R18" s="439" t="s">
        <v>203</v>
      </c>
      <c r="S18" s="468"/>
      <c r="T18" s="440"/>
      <c r="U18" s="440"/>
      <c r="V18" s="441"/>
      <c r="W18" s="1060">
        <f>W15+W16</f>
        <v>178048.61276607349</v>
      </c>
      <c r="X18" s="1114"/>
      <c r="Y18" s="1068">
        <f>Y15+Y16</f>
        <v>183878.25682579924</v>
      </c>
    </row>
    <row r="19" spans="2:25">
      <c r="B19" s="1544"/>
      <c r="C19" s="2187"/>
      <c r="D19" s="1544"/>
      <c r="E19" s="1544"/>
      <c r="F19" s="1544"/>
      <c r="G19" s="1544"/>
      <c r="H19" s="1612"/>
      <c r="I19" s="2008" t="str">
        <f>B16</f>
        <v>PFMLA</v>
      </c>
      <c r="J19" s="2009"/>
      <c r="K19" s="2010"/>
      <c r="L19" s="2011">
        <f>C16</f>
        <v>6.3E-3</v>
      </c>
      <c r="M19" s="2012"/>
      <c r="N19" s="2013">
        <f>L19*N9</f>
        <v>592.57642499999997</v>
      </c>
      <c r="O19" s="1612"/>
      <c r="R19" s="416"/>
      <c r="S19" s="2534"/>
      <c r="T19" s="418"/>
      <c r="U19" s="418"/>
      <c r="V19" s="471"/>
      <c r="W19" s="428"/>
      <c r="X19" s="1108"/>
      <c r="Y19" s="1063"/>
    </row>
    <row r="20" spans="2:25" ht="13.5" thickBot="1">
      <c r="B20" s="1544"/>
      <c r="C20" s="2187"/>
      <c r="D20" s="1544"/>
      <c r="E20" s="1544"/>
      <c r="F20" s="1544"/>
      <c r="G20" s="1544"/>
      <c r="H20" s="1612"/>
      <c r="I20" s="1881" t="s">
        <v>203</v>
      </c>
      <c r="J20" s="1882"/>
      <c r="K20" s="1883"/>
      <c r="L20" s="1883"/>
      <c r="M20" s="2014"/>
      <c r="N20" s="1885">
        <f>SUM(N16:N19)</f>
        <v>197334.81987500002</v>
      </c>
      <c r="O20" s="1612"/>
      <c r="R20" s="436" t="s">
        <v>332</v>
      </c>
      <c r="S20" s="435"/>
      <c r="T20" s="435"/>
      <c r="U20" s="435"/>
      <c r="V20" s="435"/>
      <c r="W20" s="435">
        <v>30</v>
      </c>
      <c r="X20" s="434"/>
      <c r="Y20" s="1117">
        <f>W20</f>
        <v>30</v>
      </c>
    </row>
    <row r="21" spans="2:25" ht="13.5" thickTop="1">
      <c r="B21" s="1612"/>
      <c r="C21" s="1989"/>
      <c r="D21" s="1612"/>
      <c r="E21" s="1612"/>
      <c r="F21" s="1612"/>
      <c r="G21" s="1612"/>
      <c r="H21" s="1612"/>
      <c r="I21" s="1647" t="s">
        <v>332</v>
      </c>
      <c r="J21" s="1645"/>
      <c r="K21" s="1645"/>
      <c r="L21" s="1645"/>
      <c r="M21" s="1645"/>
      <c r="N21" s="1632">
        <v>30</v>
      </c>
      <c r="O21" s="1612"/>
      <c r="R21" s="436" t="s">
        <v>204</v>
      </c>
      <c r="S21" s="430"/>
      <c r="T21" s="418"/>
      <c r="U21" s="418"/>
      <c r="V21" s="471"/>
      <c r="W21" s="1121">
        <f>(W18/W20)/365</f>
        <v>16.260147284572923</v>
      </c>
      <c r="X21" s="1115"/>
      <c r="Y21" s="1118"/>
    </row>
    <row r="22" spans="2:25" ht="13.5" thickBot="1">
      <c r="B22" s="1612"/>
      <c r="C22" s="1612"/>
      <c r="D22" s="1612"/>
      <c r="E22" s="1612"/>
      <c r="F22" s="1612"/>
      <c r="G22" s="1612"/>
      <c r="H22" s="1612"/>
      <c r="I22" s="1647" t="s">
        <v>204</v>
      </c>
      <c r="J22" s="1867"/>
      <c r="K22" s="1868"/>
      <c r="L22" s="1868"/>
      <c r="M22" s="2015"/>
      <c r="N22" s="2016">
        <f>(N20/N21)/365</f>
        <v>18.021444737442923</v>
      </c>
      <c r="O22" s="1612"/>
      <c r="R22" s="472" t="s">
        <v>205</v>
      </c>
      <c r="S22" s="473">
        <f>[8]CAF!$AA$24</f>
        <v>3.2741867342628073E-2</v>
      </c>
      <c r="T22" s="474"/>
      <c r="U22" s="474"/>
      <c r="V22" s="475"/>
      <c r="W22" s="1124">
        <f>W21*(1+S22)</f>
        <v>16.792534869936006</v>
      </c>
      <c r="X22" s="1116"/>
      <c r="Y22" s="1125">
        <f>Y18/Y20/365</f>
        <v>16.792534869936002</v>
      </c>
    </row>
    <row r="23" spans="2:25" ht="13.5" thickBot="1">
      <c r="B23" s="1612"/>
      <c r="C23" s="1612"/>
      <c r="D23" s="1612"/>
      <c r="E23" s="1612"/>
      <c r="F23" s="1612"/>
      <c r="G23" s="1612"/>
      <c r="H23" s="1612"/>
      <c r="I23" s="1888" t="s">
        <v>205</v>
      </c>
      <c r="J23" s="1619"/>
      <c r="K23" s="1889"/>
      <c r="L23" s="2017">
        <f>C18</f>
        <v>1.8120393120392975E-2</v>
      </c>
      <c r="M23" s="2018"/>
      <c r="N23" s="2024">
        <f>N22*(1+L23)</f>
        <v>18.348000400682828</v>
      </c>
      <c r="O23" s="1612"/>
      <c r="V23" s="1126"/>
      <c r="X23" s="1126">
        <v>4.19E-2</v>
      </c>
      <c r="Y23" s="1125">
        <f>Y22*(1+X23)-0.01</f>
        <v>17.486142080986319</v>
      </c>
    </row>
    <row r="24" spans="2:25" ht="13.5" thickBot="1">
      <c r="B24" s="1612"/>
      <c r="C24" s="1612"/>
      <c r="D24" s="1612"/>
      <c r="E24" s="1612"/>
      <c r="F24" s="1612"/>
      <c r="G24" s="1612"/>
      <c r="H24" s="1612"/>
      <c r="I24" s="1612"/>
      <c r="J24" s="1612"/>
      <c r="K24" s="1612"/>
      <c r="L24" s="1612"/>
      <c r="M24" s="1612"/>
      <c r="N24" s="2023"/>
      <c r="R24" s="415" t="s">
        <v>354</v>
      </c>
      <c r="X24" s="1126">
        <f>'CAF Spring17'!BK27</f>
        <v>2.7235921972764018E-2</v>
      </c>
      <c r="Y24" s="1104">
        <f>Y23*(1+X24)</f>
        <v>17.962393282308728</v>
      </c>
    </row>
    <row r="25" spans="2:25">
      <c r="B25" s="1612"/>
      <c r="C25" s="1612"/>
      <c r="D25" s="1612"/>
      <c r="E25" s="1612"/>
      <c r="F25" s="1612"/>
      <c r="G25" s="1612"/>
      <c r="H25" s="1612"/>
      <c r="I25" s="1612"/>
      <c r="J25" s="1612"/>
      <c r="K25" s="1612"/>
      <c r="L25" s="1612"/>
      <c r="M25" s="1612"/>
      <c r="N25" s="1612"/>
      <c r="O25" s="1887"/>
      <c r="R25" s="415" t="s">
        <v>369</v>
      </c>
    </row>
    <row r="26" spans="2:25">
      <c r="B26" s="1612"/>
      <c r="C26" s="1612"/>
      <c r="D26" s="1612"/>
      <c r="E26" s="1612"/>
      <c r="F26" s="1612"/>
      <c r="G26" s="1612"/>
      <c r="H26" s="1612"/>
      <c r="I26" s="1612"/>
      <c r="J26" s="1612"/>
      <c r="K26" s="1612"/>
      <c r="L26" s="1612"/>
      <c r="M26" s="1612"/>
      <c r="N26" s="1612"/>
      <c r="O26" s="1612"/>
      <c r="R26" s="415" t="s">
        <v>370</v>
      </c>
    </row>
    <row r="27" spans="2:25">
      <c r="B27" s="2456"/>
      <c r="O27" s="1612"/>
      <c r="R27" s="415" t="s">
        <v>371</v>
      </c>
    </row>
    <row r="28" spans="2:25">
      <c r="R28" s="415" t="s">
        <v>372</v>
      </c>
    </row>
    <row r="29" spans="2:25">
      <c r="R29" s="469" t="s">
        <v>373</v>
      </c>
    </row>
    <row r="30" spans="2:25">
      <c r="R30" s="469" t="s">
        <v>374</v>
      </c>
    </row>
  </sheetData>
  <customSheetViews>
    <customSheetView guid="{4C1AD9FE-DB97-4D30-8CF1-D476DD376A5A}">
      <selection activeCell="J10" sqref="J10"/>
      <pageMargins left="0.75" right="0.75" top="1" bottom="1" header="0.5" footer="0.5"/>
      <printOptions gridLines="1"/>
      <pageSetup orientation="landscape" verticalDpi="300" r:id="rId1"/>
      <headerFooter alignWithMargins="0">
        <oddHeader>&amp;F</oddHeader>
        <oddFooter>&amp;L&amp;"Arial,Bold"DRAFT&amp;RPage 11</oddFooter>
      </headerFooter>
    </customSheetView>
    <customSheetView guid="{6A16E15D-0E79-4250-8AEC-339F57F63027}">
      <selection activeCell="J10" sqref="J10"/>
      <pageMargins left="0.75" right="0.75" top="1" bottom="1" header="0.5" footer="0.5"/>
      <printOptions gridLines="1"/>
      <pageSetup orientation="landscape" verticalDpi="300" r:id="rId2"/>
      <headerFooter alignWithMargins="0">
        <oddHeader>&amp;F</oddHeader>
        <oddFooter>&amp;L&amp;"Arial,Bold"DRAFT&amp;RPage 11</oddFooter>
      </headerFooter>
    </customSheetView>
  </customSheetViews>
  <mergeCells count="5">
    <mergeCell ref="X3:Y4"/>
    <mergeCell ref="B5:G5"/>
    <mergeCell ref="B11:C11"/>
    <mergeCell ref="B6:C6"/>
    <mergeCell ref="D6:G6"/>
  </mergeCells>
  <pageMargins left="0.75" right="0.75" top="1" bottom="1" header="0.5" footer="0.5"/>
  <pageSetup scale="75" orientation="landscape" r:id="rId3"/>
  <headerFooter alignWithMargins="0">
    <oddHeader>&amp;F</oddHeader>
    <oddFooter>&amp;L&amp;"Arial,Bold"DRAFT&amp;RPage 11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"/>
  <sheetViews>
    <sheetView topLeftCell="BH1" workbookViewId="0">
      <selection activeCell="BI6" sqref="BI6:BV28"/>
    </sheetView>
  </sheetViews>
  <sheetFormatPr defaultRowHeight="12.75"/>
  <cols>
    <col min="1" max="1" width="38.42578125" style="1515" customWidth="1"/>
    <col min="2" max="2" width="12.85546875" style="1520" customWidth="1"/>
    <col min="3" max="61" width="7.7109375" style="1515" customWidth="1"/>
    <col min="62" max="73" width="9" style="1515" customWidth="1"/>
    <col min="74" max="82" width="7.7109375" style="1515" customWidth="1"/>
    <col min="83" max="256" width="9.140625" style="1515"/>
    <col min="257" max="257" width="38.42578125" style="1515" customWidth="1"/>
    <col min="258" max="258" width="12.85546875" style="1515" customWidth="1"/>
    <col min="259" max="317" width="7.7109375" style="1515" customWidth="1"/>
    <col min="318" max="329" width="9" style="1515" customWidth="1"/>
    <col min="330" max="338" width="7.7109375" style="1515" customWidth="1"/>
    <col min="339" max="512" width="9.140625" style="1515"/>
    <col min="513" max="513" width="38.42578125" style="1515" customWidth="1"/>
    <col min="514" max="514" width="12.85546875" style="1515" customWidth="1"/>
    <col min="515" max="573" width="7.7109375" style="1515" customWidth="1"/>
    <col min="574" max="585" width="9" style="1515" customWidth="1"/>
    <col min="586" max="594" width="7.7109375" style="1515" customWidth="1"/>
    <col min="595" max="768" width="9.140625" style="1515"/>
    <col min="769" max="769" width="38.42578125" style="1515" customWidth="1"/>
    <col min="770" max="770" width="12.85546875" style="1515" customWidth="1"/>
    <col min="771" max="829" width="7.7109375" style="1515" customWidth="1"/>
    <col min="830" max="841" width="9" style="1515" customWidth="1"/>
    <col min="842" max="850" width="7.7109375" style="1515" customWidth="1"/>
    <col min="851" max="1024" width="9.140625" style="1515"/>
    <col min="1025" max="1025" width="38.42578125" style="1515" customWidth="1"/>
    <col min="1026" max="1026" width="12.85546875" style="1515" customWidth="1"/>
    <col min="1027" max="1085" width="7.7109375" style="1515" customWidth="1"/>
    <col min="1086" max="1097" width="9" style="1515" customWidth="1"/>
    <col min="1098" max="1106" width="7.7109375" style="1515" customWidth="1"/>
    <col min="1107" max="1280" width="9.140625" style="1515"/>
    <col min="1281" max="1281" width="38.42578125" style="1515" customWidth="1"/>
    <col min="1282" max="1282" width="12.85546875" style="1515" customWidth="1"/>
    <col min="1283" max="1341" width="7.7109375" style="1515" customWidth="1"/>
    <col min="1342" max="1353" width="9" style="1515" customWidth="1"/>
    <col min="1354" max="1362" width="7.7109375" style="1515" customWidth="1"/>
    <col min="1363" max="1536" width="9.140625" style="1515"/>
    <col min="1537" max="1537" width="38.42578125" style="1515" customWidth="1"/>
    <col min="1538" max="1538" width="12.85546875" style="1515" customWidth="1"/>
    <col min="1539" max="1597" width="7.7109375" style="1515" customWidth="1"/>
    <col min="1598" max="1609" width="9" style="1515" customWidth="1"/>
    <col min="1610" max="1618" width="7.7109375" style="1515" customWidth="1"/>
    <col min="1619" max="1792" width="9.140625" style="1515"/>
    <col min="1793" max="1793" width="38.42578125" style="1515" customWidth="1"/>
    <col min="1794" max="1794" width="12.85546875" style="1515" customWidth="1"/>
    <col min="1795" max="1853" width="7.7109375" style="1515" customWidth="1"/>
    <col min="1854" max="1865" width="9" style="1515" customWidth="1"/>
    <col min="1866" max="1874" width="7.7109375" style="1515" customWidth="1"/>
    <col min="1875" max="2048" width="9.140625" style="1515"/>
    <col min="2049" max="2049" width="38.42578125" style="1515" customWidth="1"/>
    <col min="2050" max="2050" width="12.85546875" style="1515" customWidth="1"/>
    <col min="2051" max="2109" width="7.7109375" style="1515" customWidth="1"/>
    <col min="2110" max="2121" width="9" style="1515" customWidth="1"/>
    <col min="2122" max="2130" width="7.7109375" style="1515" customWidth="1"/>
    <col min="2131" max="2304" width="9.140625" style="1515"/>
    <col min="2305" max="2305" width="38.42578125" style="1515" customWidth="1"/>
    <col min="2306" max="2306" width="12.85546875" style="1515" customWidth="1"/>
    <col min="2307" max="2365" width="7.7109375" style="1515" customWidth="1"/>
    <col min="2366" max="2377" width="9" style="1515" customWidth="1"/>
    <col min="2378" max="2386" width="7.7109375" style="1515" customWidth="1"/>
    <col min="2387" max="2560" width="9.140625" style="1515"/>
    <col min="2561" max="2561" width="38.42578125" style="1515" customWidth="1"/>
    <col min="2562" max="2562" width="12.85546875" style="1515" customWidth="1"/>
    <col min="2563" max="2621" width="7.7109375" style="1515" customWidth="1"/>
    <col min="2622" max="2633" width="9" style="1515" customWidth="1"/>
    <col min="2634" max="2642" width="7.7109375" style="1515" customWidth="1"/>
    <col min="2643" max="2816" width="9.140625" style="1515"/>
    <col min="2817" max="2817" width="38.42578125" style="1515" customWidth="1"/>
    <col min="2818" max="2818" width="12.85546875" style="1515" customWidth="1"/>
    <col min="2819" max="2877" width="7.7109375" style="1515" customWidth="1"/>
    <col min="2878" max="2889" width="9" style="1515" customWidth="1"/>
    <col min="2890" max="2898" width="7.7109375" style="1515" customWidth="1"/>
    <col min="2899" max="3072" width="9.140625" style="1515"/>
    <col min="3073" max="3073" width="38.42578125" style="1515" customWidth="1"/>
    <col min="3074" max="3074" width="12.85546875" style="1515" customWidth="1"/>
    <col min="3075" max="3133" width="7.7109375" style="1515" customWidth="1"/>
    <col min="3134" max="3145" width="9" style="1515" customWidth="1"/>
    <col min="3146" max="3154" width="7.7109375" style="1515" customWidth="1"/>
    <col min="3155" max="3328" width="9.140625" style="1515"/>
    <col min="3329" max="3329" width="38.42578125" style="1515" customWidth="1"/>
    <col min="3330" max="3330" width="12.85546875" style="1515" customWidth="1"/>
    <col min="3331" max="3389" width="7.7109375" style="1515" customWidth="1"/>
    <col min="3390" max="3401" width="9" style="1515" customWidth="1"/>
    <col min="3402" max="3410" width="7.7109375" style="1515" customWidth="1"/>
    <col min="3411" max="3584" width="9.140625" style="1515"/>
    <col min="3585" max="3585" width="38.42578125" style="1515" customWidth="1"/>
    <col min="3586" max="3586" width="12.85546875" style="1515" customWidth="1"/>
    <col min="3587" max="3645" width="7.7109375" style="1515" customWidth="1"/>
    <col min="3646" max="3657" width="9" style="1515" customWidth="1"/>
    <col min="3658" max="3666" width="7.7109375" style="1515" customWidth="1"/>
    <col min="3667" max="3840" width="9.140625" style="1515"/>
    <col min="3841" max="3841" width="38.42578125" style="1515" customWidth="1"/>
    <col min="3842" max="3842" width="12.85546875" style="1515" customWidth="1"/>
    <col min="3843" max="3901" width="7.7109375" style="1515" customWidth="1"/>
    <col min="3902" max="3913" width="9" style="1515" customWidth="1"/>
    <col min="3914" max="3922" width="7.7109375" style="1515" customWidth="1"/>
    <col min="3923" max="4096" width="9.140625" style="1515"/>
    <col min="4097" max="4097" width="38.42578125" style="1515" customWidth="1"/>
    <col min="4098" max="4098" width="12.85546875" style="1515" customWidth="1"/>
    <col min="4099" max="4157" width="7.7109375" style="1515" customWidth="1"/>
    <col min="4158" max="4169" width="9" style="1515" customWidth="1"/>
    <col min="4170" max="4178" width="7.7109375" style="1515" customWidth="1"/>
    <col min="4179" max="4352" width="9.140625" style="1515"/>
    <col min="4353" max="4353" width="38.42578125" style="1515" customWidth="1"/>
    <col min="4354" max="4354" width="12.85546875" style="1515" customWidth="1"/>
    <col min="4355" max="4413" width="7.7109375" style="1515" customWidth="1"/>
    <col min="4414" max="4425" width="9" style="1515" customWidth="1"/>
    <col min="4426" max="4434" width="7.7109375" style="1515" customWidth="1"/>
    <col min="4435" max="4608" width="9.140625" style="1515"/>
    <col min="4609" max="4609" width="38.42578125" style="1515" customWidth="1"/>
    <col min="4610" max="4610" width="12.85546875" style="1515" customWidth="1"/>
    <col min="4611" max="4669" width="7.7109375" style="1515" customWidth="1"/>
    <col min="4670" max="4681" width="9" style="1515" customWidth="1"/>
    <col min="4682" max="4690" width="7.7109375" style="1515" customWidth="1"/>
    <col min="4691" max="4864" width="9.140625" style="1515"/>
    <col min="4865" max="4865" width="38.42578125" style="1515" customWidth="1"/>
    <col min="4866" max="4866" width="12.85546875" style="1515" customWidth="1"/>
    <col min="4867" max="4925" width="7.7109375" style="1515" customWidth="1"/>
    <col min="4926" max="4937" width="9" style="1515" customWidth="1"/>
    <col min="4938" max="4946" width="7.7109375" style="1515" customWidth="1"/>
    <col min="4947" max="5120" width="9.140625" style="1515"/>
    <col min="5121" max="5121" width="38.42578125" style="1515" customWidth="1"/>
    <col min="5122" max="5122" width="12.85546875" style="1515" customWidth="1"/>
    <col min="5123" max="5181" width="7.7109375" style="1515" customWidth="1"/>
    <col min="5182" max="5193" width="9" style="1515" customWidth="1"/>
    <col min="5194" max="5202" width="7.7109375" style="1515" customWidth="1"/>
    <col min="5203" max="5376" width="9.140625" style="1515"/>
    <col min="5377" max="5377" width="38.42578125" style="1515" customWidth="1"/>
    <col min="5378" max="5378" width="12.85546875" style="1515" customWidth="1"/>
    <col min="5379" max="5437" width="7.7109375" style="1515" customWidth="1"/>
    <col min="5438" max="5449" width="9" style="1515" customWidth="1"/>
    <col min="5450" max="5458" width="7.7109375" style="1515" customWidth="1"/>
    <col min="5459" max="5632" width="9.140625" style="1515"/>
    <col min="5633" max="5633" width="38.42578125" style="1515" customWidth="1"/>
    <col min="5634" max="5634" width="12.85546875" style="1515" customWidth="1"/>
    <col min="5635" max="5693" width="7.7109375" style="1515" customWidth="1"/>
    <col min="5694" max="5705" width="9" style="1515" customWidth="1"/>
    <col min="5706" max="5714" width="7.7109375" style="1515" customWidth="1"/>
    <col min="5715" max="5888" width="9.140625" style="1515"/>
    <col min="5889" max="5889" width="38.42578125" style="1515" customWidth="1"/>
    <col min="5890" max="5890" width="12.85546875" style="1515" customWidth="1"/>
    <col min="5891" max="5949" width="7.7109375" style="1515" customWidth="1"/>
    <col min="5950" max="5961" width="9" style="1515" customWidth="1"/>
    <col min="5962" max="5970" width="7.7109375" style="1515" customWidth="1"/>
    <col min="5971" max="6144" width="9.140625" style="1515"/>
    <col min="6145" max="6145" width="38.42578125" style="1515" customWidth="1"/>
    <col min="6146" max="6146" width="12.85546875" style="1515" customWidth="1"/>
    <col min="6147" max="6205" width="7.7109375" style="1515" customWidth="1"/>
    <col min="6206" max="6217" width="9" style="1515" customWidth="1"/>
    <col min="6218" max="6226" width="7.7109375" style="1515" customWidth="1"/>
    <col min="6227" max="6400" width="9.140625" style="1515"/>
    <col min="6401" max="6401" width="38.42578125" style="1515" customWidth="1"/>
    <col min="6402" max="6402" width="12.85546875" style="1515" customWidth="1"/>
    <col min="6403" max="6461" width="7.7109375" style="1515" customWidth="1"/>
    <col min="6462" max="6473" width="9" style="1515" customWidth="1"/>
    <col min="6474" max="6482" width="7.7109375" style="1515" customWidth="1"/>
    <col min="6483" max="6656" width="9.140625" style="1515"/>
    <col min="6657" max="6657" width="38.42578125" style="1515" customWidth="1"/>
    <col min="6658" max="6658" width="12.85546875" style="1515" customWidth="1"/>
    <col min="6659" max="6717" width="7.7109375" style="1515" customWidth="1"/>
    <col min="6718" max="6729" width="9" style="1515" customWidth="1"/>
    <col min="6730" max="6738" width="7.7109375" style="1515" customWidth="1"/>
    <col min="6739" max="6912" width="9.140625" style="1515"/>
    <col min="6913" max="6913" width="38.42578125" style="1515" customWidth="1"/>
    <col min="6914" max="6914" width="12.85546875" style="1515" customWidth="1"/>
    <col min="6915" max="6973" width="7.7109375" style="1515" customWidth="1"/>
    <col min="6974" max="6985" width="9" style="1515" customWidth="1"/>
    <col min="6986" max="6994" width="7.7109375" style="1515" customWidth="1"/>
    <col min="6995" max="7168" width="9.140625" style="1515"/>
    <col min="7169" max="7169" width="38.42578125" style="1515" customWidth="1"/>
    <col min="7170" max="7170" width="12.85546875" style="1515" customWidth="1"/>
    <col min="7171" max="7229" width="7.7109375" style="1515" customWidth="1"/>
    <col min="7230" max="7241" width="9" style="1515" customWidth="1"/>
    <col min="7242" max="7250" width="7.7109375" style="1515" customWidth="1"/>
    <col min="7251" max="7424" width="9.140625" style="1515"/>
    <col min="7425" max="7425" width="38.42578125" style="1515" customWidth="1"/>
    <col min="7426" max="7426" width="12.85546875" style="1515" customWidth="1"/>
    <col min="7427" max="7485" width="7.7109375" style="1515" customWidth="1"/>
    <col min="7486" max="7497" width="9" style="1515" customWidth="1"/>
    <col min="7498" max="7506" width="7.7109375" style="1515" customWidth="1"/>
    <col min="7507" max="7680" width="9.140625" style="1515"/>
    <col min="7681" max="7681" width="38.42578125" style="1515" customWidth="1"/>
    <col min="7682" max="7682" width="12.85546875" style="1515" customWidth="1"/>
    <col min="7683" max="7741" width="7.7109375" style="1515" customWidth="1"/>
    <col min="7742" max="7753" width="9" style="1515" customWidth="1"/>
    <col min="7754" max="7762" width="7.7109375" style="1515" customWidth="1"/>
    <col min="7763" max="7936" width="9.140625" style="1515"/>
    <col min="7937" max="7937" width="38.42578125" style="1515" customWidth="1"/>
    <col min="7938" max="7938" width="12.85546875" style="1515" customWidth="1"/>
    <col min="7939" max="7997" width="7.7109375" style="1515" customWidth="1"/>
    <col min="7998" max="8009" width="9" style="1515" customWidth="1"/>
    <col min="8010" max="8018" width="7.7109375" style="1515" customWidth="1"/>
    <col min="8019" max="8192" width="9.140625" style="1515"/>
    <col min="8193" max="8193" width="38.42578125" style="1515" customWidth="1"/>
    <col min="8194" max="8194" width="12.85546875" style="1515" customWidth="1"/>
    <col min="8195" max="8253" width="7.7109375" style="1515" customWidth="1"/>
    <col min="8254" max="8265" width="9" style="1515" customWidth="1"/>
    <col min="8266" max="8274" width="7.7109375" style="1515" customWidth="1"/>
    <col min="8275" max="8448" width="9.140625" style="1515"/>
    <col min="8449" max="8449" width="38.42578125" style="1515" customWidth="1"/>
    <col min="8450" max="8450" width="12.85546875" style="1515" customWidth="1"/>
    <col min="8451" max="8509" width="7.7109375" style="1515" customWidth="1"/>
    <col min="8510" max="8521" width="9" style="1515" customWidth="1"/>
    <col min="8522" max="8530" width="7.7109375" style="1515" customWidth="1"/>
    <col min="8531" max="8704" width="9.140625" style="1515"/>
    <col min="8705" max="8705" width="38.42578125" style="1515" customWidth="1"/>
    <col min="8706" max="8706" width="12.85546875" style="1515" customWidth="1"/>
    <col min="8707" max="8765" width="7.7109375" style="1515" customWidth="1"/>
    <col min="8766" max="8777" width="9" style="1515" customWidth="1"/>
    <col min="8778" max="8786" width="7.7109375" style="1515" customWidth="1"/>
    <col min="8787" max="8960" width="9.140625" style="1515"/>
    <col min="8961" max="8961" width="38.42578125" style="1515" customWidth="1"/>
    <col min="8962" max="8962" width="12.85546875" style="1515" customWidth="1"/>
    <col min="8963" max="9021" width="7.7109375" style="1515" customWidth="1"/>
    <col min="9022" max="9033" width="9" style="1515" customWidth="1"/>
    <col min="9034" max="9042" width="7.7109375" style="1515" customWidth="1"/>
    <col min="9043" max="9216" width="9.140625" style="1515"/>
    <col min="9217" max="9217" width="38.42578125" style="1515" customWidth="1"/>
    <col min="9218" max="9218" width="12.85546875" style="1515" customWidth="1"/>
    <col min="9219" max="9277" width="7.7109375" style="1515" customWidth="1"/>
    <col min="9278" max="9289" width="9" style="1515" customWidth="1"/>
    <col min="9290" max="9298" width="7.7109375" style="1515" customWidth="1"/>
    <col min="9299" max="9472" width="9.140625" style="1515"/>
    <col min="9473" max="9473" width="38.42578125" style="1515" customWidth="1"/>
    <col min="9474" max="9474" width="12.85546875" style="1515" customWidth="1"/>
    <col min="9475" max="9533" width="7.7109375" style="1515" customWidth="1"/>
    <col min="9534" max="9545" width="9" style="1515" customWidth="1"/>
    <col min="9546" max="9554" width="7.7109375" style="1515" customWidth="1"/>
    <col min="9555" max="9728" width="9.140625" style="1515"/>
    <col min="9729" max="9729" width="38.42578125" style="1515" customWidth="1"/>
    <col min="9730" max="9730" width="12.85546875" style="1515" customWidth="1"/>
    <col min="9731" max="9789" width="7.7109375" style="1515" customWidth="1"/>
    <col min="9790" max="9801" width="9" style="1515" customWidth="1"/>
    <col min="9802" max="9810" width="7.7109375" style="1515" customWidth="1"/>
    <col min="9811" max="9984" width="9.140625" style="1515"/>
    <col min="9985" max="9985" width="38.42578125" style="1515" customWidth="1"/>
    <col min="9986" max="9986" width="12.85546875" style="1515" customWidth="1"/>
    <col min="9987" max="10045" width="7.7109375" style="1515" customWidth="1"/>
    <col min="10046" max="10057" width="9" style="1515" customWidth="1"/>
    <col min="10058" max="10066" width="7.7109375" style="1515" customWidth="1"/>
    <col min="10067" max="10240" width="9.140625" style="1515"/>
    <col min="10241" max="10241" width="38.42578125" style="1515" customWidth="1"/>
    <col min="10242" max="10242" width="12.85546875" style="1515" customWidth="1"/>
    <col min="10243" max="10301" width="7.7109375" style="1515" customWidth="1"/>
    <col min="10302" max="10313" width="9" style="1515" customWidth="1"/>
    <col min="10314" max="10322" width="7.7109375" style="1515" customWidth="1"/>
    <col min="10323" max="10496" width="9.140625" style="1515"/>
    <col min="10497" max="10497" width="38.42578125" style="1515" customWidth="1"/>
    <col min="10498" max="10498" width="12.85546875" style="1515" customWidth="1"/>
    <col min="10499" max="10557" width="7.7109375" style="1515" customWidth="1"/>
    <col min="10558" max="10569" width="9" style="1515" customWidth="1"/>
    <col min="10570" max="10578" width="7.7109375" style="1515" customWidth="1"/>
    <col min="10579" max="10752" width="9.140625" style="1515"/>
    <col min="10753" max="10753" width="38.42578125" style="1515" customWidth="1"/>
    <col min="10754" max="10754" width="12.85546875" style="1515" customWidth="1"/>
    <col min="10755" max="10813" width="7.7109375" style="1515" customWidth="1"/>
    <col min="10814" max="10825" width="9" style="1515" customWidth="1"/>
    <col min="10826" max="10834" width="7.7109375" style="1515" customWidth="1"/>
    <col min="10835" max="11008" width="9.140625" style="1515"/>
    <col min="11009" max="11009" width="38.42578125" style="1515" customWidth="1"/>
    <col min="11010" max="11010" width="12.85546875" style="1515" customWidth="1"/>
    <col min="11011" max="11069" width="7.7109375" style="1515" customWidth="1"/>
    <col min="11070" max="11081" width="9" style="1515" customWidth="1"/>
    <col min="11082" max="11090" width="7.7109375" style="1515" customWidth="1"/>
    <col min="11091" max="11264" width="9.140625" style="1515"/>
    <col min="11265" max="11265" width="38.42578125" style="1515" customWidth="1"/>
    <col min="11266" max="11266" width="12.85546875" style="1515" customWidth="1"/>
    <col min="11267" max="11325" width="7.7109375" style="1515" customWidth="1"/>
    <col min="11326" max="11337" width="9" style="1515" customWidth="1"/>
    <col min="11338" max="11346" width="7.7109375" style="1515" customWidth="1"/>
    <col min="11347" max="11520" width="9.140625" style="1515"/>
    <col min="11521" max="11521" width="38.42578125" style="1515" customWidth="1"/>
    <col min="11522" max="11522" width="12.85546875" style="1515" customWidth="1"/>
    <col min="11523" max="11581" width="7.7109375" style="1515" customWidth="1"/>
    <col min="11582" max="11593" width="9" style="1515" customWidth="1"/>
    <col min="11594" max="11602" width="7.7109375" style="1515" customWidth="1"/>
    <col min="11603" max="11776" width="9.140625" style="1515"/>
    <col min="11777" max="11777" width="38.42578125" style="1515" customWidth="1"/>
    <col min="11778" max="11778" width="12.85546875" style="1515" customWidth="1"/>
    <col min="11779" max="11837" width="7.7109375" style="1515" customWidth="1"/>
    <col min="11838" max="11849" width="9" style="1515" customWidth="1"/>
    <col min="11850" max="11858" width="7.7109375" style="1515" customWidth="1"/>
    <col min="11859" max="12032" width="9.140625" style="1515"/>
    <col min="12033" max="12033" width="38.42578125" style="1515" customWidth="1"/>
    <col min="12034" max="12034" width="12.85546875" style="1515" customWidth="1"/>
    <col min="12035" max="12093" width="7.7109375" style="1515" customWidth="1"/>
    <col min="12094" max="12105" width="9" style="1515" customWidth="1"/>
    <col min="12106" max="12114" width="7.7109375" style="1515" customWidth="1"/>
    <col min="12115" max="12288" width="9.140625" style="1515"/>
    <col min="12289" max="12289" width="38.42578125" style="1515" customWidth="1"/>
    <col min="12290" max="12290" width="12.85546875" style="1515" customWidth="1"/>
    <col min="12291" max="12349" width="7.7109375" style="1515" customWidth="1"/>
    <col min="12350" max="12361" width="9" style="1515" customWidth="1"/>
    <col min="12362" max="12370" width="7.7109375" style="1515" customWidth="1"/>
    <col min="12371" max="12544" width="9.140625" style="1515"/>
    <col min="12545" max="12545" width="38.42578125" style="1515" customWidth="1"/>
    <col min="12546" max="12546" width="12.85546875" style="1515" customWidth="1"/>
    <col min="12547" max="12605" width="7.7109375" style="1515" customWidth="1"/>
    <col min="12606" max="12617" width="9" style="1515" customWidth="1"/>
    <col min="12618" max="12626" width="7.7109375" style="1515" customWidth="1"/>
    <col min="12627" max="12800" width="9.140625" style="1515"/>
    <col min="12801" max="12801" width="38.42578125" style="1515" customWidth="1"/>
    <col min="12802" max="12802" width="12.85546875" style="1515" customWidth="1"/>
    <col min="12803" max="12861" width="7.7109375" style="1515" customWidth="1"/>
    <col min="12862" max="12873" width="9" style="1515" customWidth="1"/>
    <col min="12874" max="12882" width="7.7109375" style="1515" customWidth="1"/>
    <col min="12883" max="13056" width="9.140625" style="1515"/>
    <col min="13057" max="13057" width="38.42578125" style="1515" customWidth="1"/>
    <col min="13058" max="13058" width="12.85546875" style="1515" customWidth="1"/>
    <col min="13059" max="13117" width="7.7109375" style="1515" customWidth="1"/>
    <col min="13118" max="13129" width="9" style="1515" customWidth="1"/>
    <col min="13130" max="13138" width="7.7109375" style="1515" customWidth="1"/>
    <col min="13139" max="13312" width="9.140625" style="1515"/>
    <col min="13313" max="13313" width="38.42578125" style="1515" customWidth="1"/>
    <col min="13314" max="13314" width="12.85546875" style="1515" customWidth="1"/>
    <col min="13315" max="13373" width="7.7109375" style="1515" customWidth="1"/>
    <col min="13374" max="13385" width="9" style="1515" customWidth="1"/>
    <col min="13386" max="13394" width="7.7109375" style="1515" customWidth="1"/>
    <col min="13395" max="13568" width="9.140625" style="1515"/>
    <col min="13569" max="13569" width="38.42578125" style="1515" customWidth="1"/>
    <col min="13570" max="13570" width="12.85546875" style="1515" customWidth="1"/>
    <col min="13571" max="13629" width="7.7109375" style="1515" customWidth="1"/>
    <col min="13630" max="13641" width="9" style="1515" customWidth="1"/>
    <col min="13642" max="13650" width="7.7109375" style="1515" customWidth="1"/>
    <col min="13651" max="13824" width="9.140625" style="1515"/>
    <col min="13825" max="13825" width="38.42578125" style="1515" customWidth="1"/>
    <col min="13826" max="13826" width="12.85546875" style="1515" customWidth="1"/>
    <col min="13827" max="13885" width="7.7109375" style="1515" customWidth="1"/>
    <col min="13886" max="13897" width="9" style="1515" customWidth="1"/>
    <col min="13898" max="13906" width="7.7109375" style="1515" customWidth="1"/>
    <col min="13907" max="14080" width="9.140625" style="1515"/>
    <col min="14081" max="14081" width="38.42578125" style="1515" customWidth="1"/>
    <col min="14082" max="14082" width="12.85546875" style="1515" customWidth="1"/>
    <col min="14083" max="14141" width="7.7109375" style="1515" customWidth="1"/>
    <col min="14142" max="14153" width="9" style="1515" customWidth="1"/>
    <col min="14154" max="14162" width="7.7109375" style="1515" customWidth="1"/>
    <col min="14163" max="14336" width="9.140625" style="1515"/>
    <col min="14337" max="14337" width="38.42578125" style="1515" customWidth="1"/>
    <col min="14338" max="14338" width="12.85546875" style="1515" customWidth="1"/>
    <col min="14339" max="14397" width="7.7109375" style="1515" customWidth="1"/>
    <col min="14398" max="14409" width="9" style="1515" customWidth="1"/>
    <col min="14410" max="14418" width="7.7109375" style="1515" customWidth="1"/>
    <col min="14419" max="14592" width="9.140625" style="1515"/>
    <col min="14593" max="14593" width="38.42578125" style="1515" customWidth="1"/>
    <col min="14594" max="14594" width="12.85546875" style="1515" customWidth="1"/>
    <col min="14595" max="14653" width="7.7109375" style="1515" customWidth="1"/>
    <col min="14654" max="14665" width="9" style="1515" customWidth="1"/>
    <col min="14666" max="14674" width="7.7109375" style="1515" customWidth="1"/>
    <col min="14675" max="14848" width="9.140625" style="1515"/>
    <col min="14849" max="14849" width="38.42578125" style="1515" customWidth="1"/>
    <col min="14850" max="14850" width="12.85546875" style="1515" customWidth="1"/>
    <col min="14851" max="14909" width="7.7109375" style="1515" customWidth="1"/>
    <col min="14910" max="14921" width="9" style="1515" customWidth="1"/>
    <col min="14922" max="14930" width="7.7109375" style="1515" customWidth="1"/>
    <col min="14931" max="15104" width="9.140625" style="1515"/>
    <col min="15105" max="15105" width="38.42578125" style="1515" customWidth="1"/>
    <col min="15106" max="15106" width="12.85546875" style="1515" customWidth="1"/>
    <col min="15107" max="15165" width="7.7109375" style="1515" customWidth="1"/>
    <col min="15166" max="15177" width="9" style="1515" customWidth="1"/>
    <col min="15178" max="15186" width="7.7109375" style="1515" customWidth="1"/>
    <col min="15187" max="15360" width="9.140625" style="1515"/>
    <col min="15361" max="15361" width="38.42578125" style="1515" customWidth="1"/>
    <col min="15362" max="15362" width="12.85546875" style="1515" customWidth="1"/>
    <col min="15363" max="15421" width="7.7109375" style="1515" customWidth="1"/>
    <col min="15422" max="15433" width="9" style="1515" customWidth="1"/>
    <col min="15434" max="15442" width="7.7109375" style="1515" customWidth="1"/>
    <col min="15443" max="15616" width="9.140625" style="1515"/>
    <col min="15617" max="15617" width="38.42578125" style="1515" customWidth="1"/>
    <col min="15618" max="15618" width="12.85546875" style="1515" customWidth="1"/>
    <col min="15619" max="15677" width="7.7109375" style="1515" customWidth="1"/>
    <col min="15678" max="15689" width="9" style="1515" customWidth="1"/>
    <col min="15690" max="15698" width="7.7109375" style="1515" customWidth="1"/>
    <col min="15699" max="15872" width="9.140625" style="1515"/>
    <col min="15873" max="15873" width="38.42578125" style="1515" customWidth="1"/>
    <col min="15874" max="15874" width="12.85546875" style="1515" customWidth="1"/>
    <col min="15875" max="15933" width="7.7109375" style="1515" customWidth="1"/>
    <col min="15934" max="15945" width="9" style="1515" customWidth="1"/>
    <col min="15946" max="15954" width="7.7109375" style="1515" customWidth="1"/>
    <col min="15955" max="16128" width="9.140625" style="1515"/>
    <col min="16129" max="16129" width="38.42578125" style="1515" customWidth="1"/>
    <col min="16130" max="16130" width="12.85546875" style="1515" customWidth="1"/>
    <col min="16131" max="16189" width="7.7109375" style="1515" customWidth="1"/>
    <col min="16190" max="16201" width="9" style="1515" customWidth="1"/>
    <col min="16202" max="16210" width="7.7109375" style="1515" customWidth="1"/>
    <col min="16211" max="16384" width="9.140625" style="1515"/>
  </cols>
  <sheetData>
    <row r="1" spans="1:83" ht="18">
      <c r="A1" s="1513" t="s">
        <v>95</v>
      </c>
      <c r="B1" s="1514"/>
    </row>
    <row r="2" spans="1:83" ht="15.75">
      <c r="A2" s="1516" t="s">
        <v>692</v>
      </c>
      <c r="B2" s="1517"/>
    </row>
    <row r="3" spans="1:83" ht="15.75" thickBot="1">
      <c r="A3" s="1518" t="s">
        <v>96</v>
      </c>
      <c r="B3" s="1519"/>
    </row>
    <row r="6" spans="1:83">
      <c r="BA6" s="1521" t="s">
        <v>99</v>
      </c>
      <c r="BB6" s="1521" t="s">
        <v>99</v>
      </c>
      <c r="BC6" s="1521" t="s">
        <v>99</v>
      </c>
      <c r="BD6" s="1521" t="s">
        <v>99</v>
      </c>
      <c r="BE6" s="1521" t="s">
        <v>100</v>
      </c>
      <c r="BF6" s="1521" t="s">
        <v>100</v>
      </c>
      <c r="BG6" s="1521" t="s">
        <v>100</v>
      </c>
      <c r="BH6" s="1521" t="s">
        <v>100</v>
      </c>
      <c r="BI6" s="904" t="s">
        <v>101</v>
      </c>
      <c r="BJ6" s="904" t="s">
        <v>101</v>
      </c>
      <c r="BK6" s="904" t="s">
        <v>101</v>
      </c>
      <c r="BL6" s="904" t="s">
        <v>101</v>
      </c>
      <c r="BM6" s="905" t="s">
        <v>501</v>
      </c>
      <c r="BN6" s="905" t="s">
        <v>501</v>
      </c>
      <c r="BO6" s="905" t="s">
        <v>501</v>
      </c>
      <c r="BP6" s="905" t="s">
        <v>501</v>
      </c>
      <c r="BQ6" s="906" t="s">
        <v>502</v>
      </c>
      <c r="BR6" s="906" t="s">
        <v>502</v>
      </c>
      <c r="BS6" s="906" t="s">
        <v>502</v>
      </c>
      <c r="BT6" s="906" t="s">
        <v>502</v>
      </c>
      <c r="BU6" s="902" t="s">
        <v>693</v>
      </c>
      <c r="BV6" s="902" t="s">
        <v>693</v>
      </c>
      <c r="BW6" s="902" t="s">
        <v>693</v>
      </c>
      <c r="BX6" s="902" t="s">
        <v>693</v>
      </c>
      <c r="BY6" s="1522" t="s">
        <v>694</v>
      </c>
      <c r="BZ6" s="1522" t="s">
        <v>694</v>
      </c>
      <c r="CA6" s="1522" t="s">
        <v>694</v>
      </c>
      <c r="CB6" s="1522" t="s">
        <v>694</v>
      </c>
    </row>
    <row r="7" spans="1:83" s="1520" customFormat="1">
      <c r="B7" s="1520" t="s">
        <v>102</v>
      </c>
      <c r="C7" s="1523" t="s">
        <v>103</v>
      </c>
      <c r="D7" s="1523" t="s">
        <v>104</v>
      </c>
      <c r="E7" s="1523" t="s">
        <v>105</v>
      </c>
      <c r="F7" s="1523" t="s">
        <v>106</v>
      </c>
      <c r="G7" s="1523" t="s">
        <v>107</v>
      </c>
      <c r="H7" s="1523" t="s">
        <v>108</v>
      </c>
      <c r="I7" s="1523" t="s">
        <v>109</v>
      </c>
      <c r="J7" s="1523" t="s">
        <v>110</v>
      </c>
      <c r="K7" s="1523" t="s">
        <v>111</v>
      </c>
      <c r="L7" s="1523" t="s">
        <v>112</v>
      </c>
      <c r="M7" s="1523" t="s">
        <v>113</v>
      </c>
      <c r="N7" s="1523" t="s">
        <v>114</v>
      </c>
      <c r="O7" s="1523" t="s">
        <v>115</v>
      </c>
      <c r="P7" s="1523" t="s">
        <v>116</v>
      </c>
      <c r="Q7" s="1523" t="s">
        <v>117</v>
      </c>
      <c r="R7" s="1523" t="s">
        <v>118</v>
      </c>
      <c r="S7" s="1523" t="s">
        <v>119</v>
      </c>
      <c r="T7" s="1523" t="s">
        <v>120</v>
      </c>
      <c r="U7" s="1523" t="s">
        <v>121</v>
      </c>
      <c r="V7" s="1523" t="s">
        <v>122</v>
      </c>
      <c r="W7" s="1523" t="s">
        <v>123</v>
      </c>
      <c r="X7" s="1523" t="s">
        <v>124</v>
      </c>
      <c r="Y7" s="1523" t="s">
        <v>125</v>
      </c>
      <c r="Z7" s="1523" t="s">
        <v>126</v>
      </c>
      <c r="AA7" s="1523" t="s">
        <v>127</v>
      </c>
      <c r="AB7" s="1523" t="s">
        <v>128</v>
      </c>
      <c r="AC7" s="1523" t="s">
        <v>129</v>
      </c>
      <c r="AD7" s="1523" t="s">
        <v>130</v>
      </c>
      <c r="AE7" s="1523" t="s">
        <v>131</v>
      </c>
      <c r="AF7" s="1523" t="s">
        <v>132</v>
      </c>
      <c r="AG7" s="1523" t="s">
        <v>133</v>
      </c>
      <c r="AH7" s="1523" t="s">
        <v>134</v>
      </c>
      <c r="AI7" s="1523" t="s">
        <v>135</v>
      </c>
      <c r="AJ7" s="1523" t="s">
        <v>136</v>
      </c>
      <c r="AK7" s="1523" t="s">
        <v>137</v>
      </c>
      <c r="AL7" s="1523" t="s">
        <v>138</v>
      </c>
      <c r="AM7" s="1523" t="s">
        <v>139</v>
      </c>
      <c r="AN7" s="1523" t="s">
        <v>140</v>
      </c>
      <c r="AO7" s="1523" t="s">
        <v>141</v>
      </c>
      <c r="AP7" s="1523" t="s">
        <v>142</v>
      </c>
      <c r="AQ7" s="1523" t="s">
        <v>143</v>
      </c>
      <c r="AR7" s="1523" t="s">
        <v>144</v>
      </c>
      <c r="AS7" s="1523" t="s">
        <v>145</v>
      </c>
      <c r="AT7" s="1523" t="s">
        <v>146</v>
      </c>
      <c r="AU7" s="1520" t="s">
        <v>147</v>
      </c>
      <c r="AV7" s="1520" t="s">
        <v>148</v>
      </c>
      <c r="AW7" s="1520" t="s">
        <v>149</v>
      </c>
      <c r="AX7" s="1520" t="s">
        <v>150</v>
      </c>
      <c r="AY7" s="1520" t="s">
        <v>151</v>
      </c>
      <c r="AZ7" s="1520" t="s">
        <v>152</v>
      </c>
      <c r="BA7" s="1520" t="s">
        <v>153</v>
      </c>
      <c r="BB7" s="1520" t="s">
        <v>154</v>
      </c>
      <c r="BC7" s="1520" t="s">
        <v>155</v>
      </c>
      <c r="BD7" s="1520" t="s">
        <v>156</v>
      </c>
      <c r="BE7" s="1520" t="s">
        <v>157</v>
      </c>
      <c r="BF7" s="1520" t="s">
        <v>158</v>
      </c>
      <c r="BG7" s="1520" t="s">
        <v>159</v>
      </c>
      <c r="BH7" s="1520" t="s">
        <v>160</v>
      </c>
      <c r="BI7" s="1520" t="s">
        <v>161</v>
      </c>
      <c r="BJ7" s="1520" t="s">
        <v>162</v>
      </c>
      <c r="BK7" s="1520" t="s">
        <v>163</v>
      </c>
      <c r="BL7" s="1520" t="s">
        <v>164</v>
      </c>
      <c r="BM7" s="1520" t="s">
        <v>165</v>
      </c>
      <c r="BN7" s="1520" t="s">
        <v>166</v>
      </c>
      <c r="BO7" s="1520" t="s">
        <v>167</v>
      </c>
      <c r="BP7" s="1520" t="s">
        <v>168</v>
      </c>
      <c r="BQ7" s="1520" t="s">
        <v>169</v>
      </c>
      <c r="BR7" s="1520" t="s">
        <v>170</v>
      </c>
      <c r="BS7" s="1520" t="s">
        <v>171</v>
      </c>
      <c r="BT7" s="1520" t="s">
        <v>172</v>
      </c>
      <c r="BU7" s="1520" t="s">
        <v>173</v>
      </c>
      <c r="BV7" s="1520" t="s">
        <v>174</v>
      </c>
      <c r="BW7" s="1520" t="s">
        <v>695</v>
      </c>
      <c r="BX7" s="1520" t="s">
        <v>696</v>
      </c>
      <c r="BY7" s="1520" t="s">
        <v>697</v>
      </c>
      <c r="BZ7" s="1520" t="s">
        <v>698</v>
      </c>
      <c r="CA7" s="1520" t="s">
        <v>699</v>
      </c>
      <c r="CB7" s="1520" t="s">
        <v>700</v>
      </c>
      <c r="CC7" s="1520" t="s">
        <v>701</v>
      </c>
      <c r="CD7" s="1520" t="s">
        <v>702</v>
      </c>
      <c r="CE7" s="1520" t="s">
        <v>175</v>
      </c>
    </row>
    <row r="8" spans="1:83">
      <c r="A8" s="1520" t="s">
        <v>176</v>
      </c>
      <c r="B8" s="1520" t="s">
        <v>177</v>
      </c>
      <c r="C8" s="1524">
        <v>2.0350000000000001</v>
      </c>
      <c r="D8" s="1524">
        <v>2.06</v>
      </c>
      <c r="E8" s="1524">
        <v>2.0649999999999999</v>
      </c>
      <c r="F8" s="1524">
        <v>2.0870000000000002</v>
      </c>
      <c r="G8" s="1524">
        <v>2.1040000000000001</v>
      </c>
      <c r="H8" s="1524">
        <v>2.1150000000000002</v>
      </c>
      <c r="I8" s="1524">
        <v>2.1509999999999998</v>
      </c>
      <c r="J8" s="1524">
        <v>2.17</v>
      </c>
      <c r="K8" s="1524">
        <v>2.1869999999999998</v>
      </c>
      <c r="L8" s="1524">
        <v>2.2120000000000002</v>
      </c>
      <c r="M8" s="1524">
        <v>2.2349999999999999</v>
      </c>
      <c r="N8" s="1524">
        <v>2.2210000000000001</v>
      </c>
      <c r="O8" s="1524">
        <v>2.2320000000000002</v>
      </c>
      <c r="P8" s="1524">
        <v>2.258</v>
      </c>
      <c r="Q8" s="1524">
        <v>2.2759999999999998</v>
      </c>
      <c r="R8" s="1524">
        <v>2.302</v>
      </c>
      <c r="S8" s="1524">
        <v>2.3199999999999998</v>
      </c>
      <c r="T8" s="1524">
        <v>2.3639999999999999</v>
      </c>
      <c r="U8" s="1524">
        <v>2.4049999999999998</v>
      </c>
      <c r="V8" s="1524">
        <v>2.351</v>
      </c>
      <c r="W8" s="1524">
        <v>2.34</v>
      </c>
      <c r="X8" s="1524">
        <v>2.347</v>
      </c>
      <c r="Y8" s="1524">
        <v>2.367</v>
      </c>
      <c r="Z8" s="1524">
        <v>2.3809999999999998</v>
      </c>
      <c r="AA8" s="1524">
        <v>2.379</v>
      </c>
      <c r="AB8" s="1524">
        <v>2.383</v>
      </c>
      <c r="AC8" s="1524">
        <v>2.3980000000000001</v>
      </c>
      <c r="AD8" s="1524">
        <v>2.4220000000000002</v>
      </c>
      <c r="AE8" s="1524">
        <v>2.4319999999999999</v>
      </c>
      <c r="AF8" s="1524">
        <v>2.4769999999999999</v>
      </c>
      <c r="AG8" s="1524">
        <v>2.4889999999999999</v>
      </c>
      <c r="AH8" s="1524">
        <v>2.4969999999999999</v>
      </c>
      <c r="AI8" s="1524">
        <v>2.5129999999999999</v>
      </c>
      <c r="AJ8" s="1524">
        <v>2.5190000000000001</v>
      </c>
      <c r="AK8" s="1524">
        <v>2.5299999999999998</v>
      </c>
      <c r="AL8" s="1524">
        <v>2.5499999999999998</v>
      </c>
      <c r="AM8" s="1524">
        <v>2.5569999999999999</v>
      </c>
      <c r="AN8" s="1524">
        <v>2.5550000000000002</v>
      </c>
      <c r="AO8" s="1524">
        <v>2.5739999999999998</v>
      </c>
      <c r="AP8" s="1524">
        <v>2.589</v>
      </c>
      <c r="AQ8" s="1524">
        <v>2.597</v>
      </c>
      <c r="AR8" s="1524">
        <v>2.6080000000000001</v>
      </c>
      <c r="AS8" s="1524">
        <v>2.6139999999999999</v>
      </c>
      <c r="AT8" s="1524">
        <v>2.617</v>
      </c>
      <c r="AU8" s="1515">
        <v>2.6120000000000001</v>
      </c>
      <c r="AV8" s="1515">
        <v>2.6230000000000002</v>
      </c>
      <c r="AW8" s="1515">
        <v>2.6190000000000002</v>
      </c>
      <c r="AX8" s="1515">
        <v>2.6269999999999998</v>
      </c>
      <c r="AY8" s="1515">
        <v>2.621</v>
      </c>
      <c r="AZ8" s="1515">
        <v>2.6419999999999999</v>
      </c>
      <c r="BA8" s="1515">
        <v>2.6629999999999998</v>
      </c>
      <c r="BB8" s="1515">
        <v>2.6779999999999999</v>
      </c>
      <c r="BC8" s="1515">
        <v>2.694</v>
      </c>
      <c r="BD8" s="1515">
        <v>2.6960000000000002</v>
      </c>
      <c r="BE8" s="1515">
        <v>2.7080000000000002</v>
      </c>
      <c r="BF8" s="1515">
        <v>2.72</v>
      </c>
      <c r="BG8" s="1515">
        <v>2.7589999999999999</v>
      </c>
      <c r="BH8" s="1515">
        <v>2.7719999999999998</v>
      </c>
      <c r="BI8" s="1515">
        <v>2.7810000000000001</v>
      </c>
      <c r="BJ8" s="1515">
        <v>2.7879999999999998</v>
      </c>
      <c r="BK8" s="1515">
        <v>2.794</v>
      </c>
      <c r="BL8" s="1515">
        <v>2.8210000000000002</v>
      </c>
      <c r="BM8" s="1515">
        <v>2.843</v>
      </c>
      <c r="BN8" s="1515">
        <v>2.8580000000000001</v>
      </c>
      <c r="BO8" s="1515">
        <v>2.87</v>
      </c>
      <c r="BP8" s="1515">
        <v>2.879</v>
      </c>
      <c r="BQ8" s="1515">
        <v>2.8940000000000001</v>
      </c>
      <c r="BR8" s="1515">
        <v>2.9039999999999999</v>
      </c>
      <c r="BS8" s="1515">
        <v>2.927</v>
      </c>
      <c r="BT8" s="1515">
        <v>2.9470000000000001</v>
      </c>
      <c r="BU8" s="1515">
        <v>2.9670000000000001</v>
      </c>
      <c r="BV8" s="1515">
        <v>2.9849999999999999</v>
      </c>
      <c r="BW8" s="1515">
        <v>3.004</v>
      </c>
      <c r="BX8" s="1515">
        <v>3.0209999999999999</v>
      </c>
      <c r="BY8" s="1515">
        <v>3.0390000000000001</v>
      </c>
      <c r="BZ8" s="1515">
        <v>3.0590000000000002</v>
      </c>
      <c r="CA8" s="1515">
        <v>3.0779999999999998</v>
      </c>
      <c r="CB8" s="1515">
        <v>3.0939999999999999</v>
      </c>
      <c r="CC8" s="1515">
        <v>3.1139999999999999</v>
      </c>
      <c r="CD8" s="1515">
        <v>3.1339999999999999</v>
      </c>
    </row>
    <row r="9" spans="1:83">
      <c r="A9" s="1520" t="s">
        <v>178</v>
      </c>
      <c r="B9" s="1520" t="s">
        <v>179</v>
      </c>
      <c r="C9" s="1524">
        <v>2.0350000000000001</v>
      </c>
      <c r="D9" s="1524">
        <v>2.06</v>
      </c>
      <c r="E9" s="1524">
        <v>2.0649999999999999</v>
      </c>
      <c r="F9" s="1524">
        <v>2.0870000000000002</v>
      </c>
      <c r="G9" s="1524">
        <v>2.1040000000000001</v>
      </c>
      <c r="H9" s="1524">
        <v>2.1150000000000002</v>
      </c>
      <c r="I9" s="1524">
        <v>2.1509999999999998</v>
      </c>
      <c r="J9" s="1524">
        <v>2.17</v>
      </c>
      <c r="K9" s="1524">
        <v>2.1869999999999998</v>
      </c>
      <c r="L9" s="1524">
        <v>2.2120000000000002</v>
      </c>
      <c r="M9" s="1524">
        <v>2.2349999999999999</v>
      </c>
      <c r="N9" s="1524">
        <v>2.2210000000000001</v>
      </c>
      <c r="O9" s="1524">
        <v>2.2320000000000002</v>
      </c>
      <c r="P9" s="1524">
        <v>2.258</v>
      </c>
      <c r="Q9" s="1524">
        <v>2.2759999999999998</v>
      </c>
      <c r="R9" s="1524">
        <v>2.302</v>
      </c>
      <c r="S9" s="1524">
        <v>2.3199999999999998</v>
      </c>
      <c r="T9" s="1524">
        <v>2.3639999999999999</v>
      </c>
      <c r="U9" s="1524">
        <v>2.4049999999999998</v>
      </c>
      <c r="V9" s="1524">
        <v>2.351</v>
      </c>
      <c r="W9" s="1524">
        <v>2.34</v>
      </c>
      <c r="X9" s="1524">
        <v>2.347</v>
      </c>
      <c r="Y9" s="1524">
        <v>2.367</v>
      </c>
      <c r="Z9" s="1524">
        <v>2.3809999999999998</v>
      </c>
      <c r="AA9" s="1524">
        <v>2.379</v>
      </c>
      <c r="AB9" s="1524">
        <v>2.383</v>
      </c>
      <c r="AC9" s="1524">
        <v>2.3980000000000001</v>
      </c>
      <c r="AD9" s="1524">
        <v>2.4220000000000002</v>
      </c>
      <c r="AE9" s="1524">
        <v>2.4319999999999999</v>
      </c>
      <c r="AF9" s="1524">
        <v>2.4769999999999999</v>
      </c>
      <c r="AG9" s="1524">
        <v>2.4889999999999999</v>
      </c>
      <c r="AH9" s="1524">
        <v>2.4969999999999999</v>
      </c>
      <c r="AI9" s="1524">
        <v>2.5129999999999999</v>
      </c>
      <c r="AJ9" s="1524">
        <v>2.5190000000000001</v>
      </c>
      <c r="AK9" s="1524">
        <v>2.5299999999999998</v>
      </c>
      <c r="AL9" s="1524">
        <v>2.5499999999999998</v>
      </c>
      <c r="AM9" s="1524">
        <v>2.5569999999999999</v>
      </c>
      <c r="AN9" s="1524">
        <v>2.5550000000000002</v>
      </c>
      <c r="AO9" s="1524">
        <v>2.5739999999999998</v>
      </c>
      <c r="AP9" s="1524">
        <v>2.589</v>
      </c>
      <c r="AQ9" s="1524">
        <v>2.597</v>
      </c>
      <c r="AR9" s="1524">
        <v>2.6080000000000001</v>
      </c>
      <c r="AS9" s="1524">
        <v>2.6139999999999999</v>
      </c>
      <c r="AT9" s="1524">
        <v>2.617</v>
      </c>
      <c r="AU9" s="1515">
        <v>2.6120000000000001</v>
      </c>
      <c r="AV9" s="1515">
        <v>2.6230000000000002</v>
      </c>
      <c r="AW9" s="1515">
        <v>2.6190000000000002</v>
      </c>
      <c r="AX9" s="1515">
        <v>2.6269999999999998</v>
      </c>
      <c r="AY9" s="1515">
        <v>2.621</v>
      </c>
      <c r="AZ9" s="1515">
        <v>2.6419999999999999</v>
      </c>
      <c r="BA9" s="1515">
        <v>2.6629999999999998</v>
      </c>
      <c r="BB9" s="1515">
        <v>2.6779999999999999</v>
      </c>
      <c r="BC9" s="1515">
        <v>2.694</v>
      </c>
      <c r="BD9" s="1515">
        <v>2.6960000000000002</v>
      </c>
      <c r="BE9" s="1515">
        <v>2.7080000000000002</v>
      </c>
      <c r="BF9" s="1515">
        <v>2.72</v>
      </c>
      <c r="BG9" s="1515">
        <v>2.7589999999999999</v>
      </c>
      <c r="BH9" s="1515">
        <v>2.7719999999999998</v>
      </c>
      <c r="BI9" s="1515">
        <v>2.7810000000000001</v>
      </c>
      <c r="BJ9" s="1515">
        <v>2.7879999999999998</v>
      </c>
      <c r="BK9" s="1515">
        <v>2.794</v>
      </c>
      <c r="BL9" s="1515">
        <v>2.8180000000000001</v>
      </c>
      <c r="BM9" s="1515">
        <v>2.8359999999999999</v>
      </c>
      <c r="BN9" s="1515">
        <v>2.8490000000000002</v>
      </c>
      <c r="BO9" s="1515">
        <v>2.86</v>
      </c>
      <c r="BP9" s="1515">
        <v>2.8660000000000001</v>
      </c>
      <c r="BQ9" s="1515">
        <v>2.8780000000000001</v>
      </c>
      <c r="BR9" s="1515">
        <v>2.8860000000000001</v>
      </c>
      <c r="BS9" s="1515">
        <v>2.9049999999999998</v>
      </c>
      <c r="BT9" s="1515">
        <v>2.9220000000000002</v>
      </c>
      <c r="BU9" s="1515">
        <v>2.9369999999999998</v>
      </c>
      <c r="BV9" s="1515">
        <v>2.9510000000000001</v>
      </c>
      <c r="BW9" s="1515">
        <v>2.964</v>
      </c>
      <c r="BX9" s="1515">
        <v>2.976</v>
      </c>
      <c r="BY9" s="1515">
        <v>2.99</v>
      </c>
      <c r="BZ9" s="1515">
        <v>3.0030000000000001</v>
      </c>
      <c r="CA9" s="1515">
        <v>3.0179999999999998</v>
      </c>
      <c r="CB9" s="1515">
        <v>3.0289999999999999</v>
      </c>
      <c r="CC9" s="1515">
        <v>3.0449999999999999</v>
      </c>
      <c r="CD9" s="1515">
        <v>3.0609999999999999</v>
      </c>
    </row>
    <row r="10" spans="1:83">
      <c r="A10" s="1520" t="s">
        <v>180</v>
      </c>
      <c r="B10" s="1520" t="s">
        <v>181</v>
      </c>
      <c r="C10" s="1524">
        <v>2.0350000000000001</v>
      </c>
      <c r="D10" s="1524">
        <v>2.06</v>
      </c>
      <c r="E10" s="1524">
        <v>2.0649999999999999</v>
      </c>
      <c r="F10" s="1524">
        <v>2.0870000000000002</v>
      </c>
      <c r="G10" s="1524">
        <v>2.1040000000000001</v>
      </c>
      <c r="H10" s="1524">
        <v>2.1150000000000002</v>
      </c>
      <c r="I10" s="1524">
        <v>2.1509999999999998</v>
      </c>
      <c r="J10" s="1524">
        <v>2.17</v>
      </c>
      <c r="K10" s="1524">
        <v>2.1869999999999998</v>
      </c>
      <c r="L10" s="1524">
        <v>2.2120000000000002</v>
      </c>
      <c r="M10" s="1524">
        <v>2.2349999999999999</v>
      </c>
      <c r="N10" s="1524">
        <v>2.2210000000000001</v>
      </c>
      <c r="O10" s="1524">
        <v>2.2320000000000002</v>
      </c>
      <c r="P10" s="1524">
        <v>2.258</v>
      </c>
      <c r="Q10" s="1524">
        <v>2.2759999999999998</v>
      </c>
      <c r="R10" s="1524">
        <v>2.302</v>
      </c>
      <c r="S10" s="1524">
        <v>2.3199999999999998</v>
      </c>
      <c r="T10" s="1524">
        <v>2.3639999999999999</v>
      </c>
      <c r="U10" s="1524">
        <v>2.4049999999999998</v>
      </c>
      <c r="V10" s="1524">
        <v>2.351</v>
      </c>
      <c r="W10" s="1524">
        <v>2.34</v>
      </c>
      <c r="X10" s="1524">
        <v>2.347</v>
      </c>
      <c r="Y10" s="1524">
        <v>2.367</v>
      </c>
      <c r="Z10" s="1524">
        <v>2.3809999999999998</v>
      </c>
      <c r="AA10" s="1524">
        <v>2.379</v>
      </c>
      <c r="AB10" s="1524">
        <v>2.383</v>
      </c>
      <c r="AC10" s="1524">
        <v>2.3980000000000001</v>
      </c>
      <c r="AD10" s="1524">
        <v>2.4220000000000002</v>
      </c>
      <c r="AE10" s="1524">
        <v>2.4319999999999999</v>
      </c>
      <c r="AF10" s="1524">
        <v>2.4769999999999999</v>
      </c>
      <c r="AG10" s="1524">
        <v>2.4889999999999999</v>
      </c>
      <c r="AH10" s="1524">
        <v>2.4969999999999999</v>
      </c>
      <c r="AI10" s="1524">
        <v>2.5129999999999999</v>
      </c>
      <c r="AJ10" s="1524">
        <v>2.5190000000000001</v>
      </c>
      <c r="AK10" s="1524">
        <v>2.5299999999999998</v>
      </c>
      <c r="AL10" s="1524">
        <v>2.5499999999999998</v>
      </c>
      <c r="AM10" s="1524">
        <v>2.5569999999999999</v>
      </c>
      <c r="AN10" s="1524">
        <v>2.5550000000000002</v>
      </c>
      <c r="AO10" s="1524">
        <v>2.5739999999999998</v>
      </c>
      <c r="AP10" s="1524">
        <v>2.589</v>
      </c>
      <c r="AQ10" s="1524">
        <v>2.597</v>
      </c>
      <c r="AR10" s="1524">
        <v>2.6080000000000001</v>
      </c>
      <c r="AS10" s="1524">
        <v>2.6139999999999999</v>
      </c>
      <c r="AT10" s="1524">
        <v>2.617</v>
      </c>
      <c r="AU10" s="1515">
        <v>2.6120000000000001</v>
      </c>
      <c r="AV10" s="1515">
        <v>2.6230000000000002</v>
      </c>
      <c r="AW10" s="1515">
        <v>2.6190000000000002</v>
      </c>
      <c r="AX10" s="1515">
        <v>2.6269999999999998</v>
      </c>
      <c r="AY10" s="1515">
        <v>2.621</v>
      </c>
      <c r="AZ10" s="1515">
        <v>2.6419999999999999</v>
      </c>
      <c r="BA10" s="1515">
        <v>2.6629999999999998</v>
      </c>
      <c r="BB10" s="1515">
        <v>2.6779999999999999</v>
      </c>
      <c r="BC10" s="1515">
        <v>2.694</v>
      </c>
      <c r="BD10" s="1515">
        <v>2.6960000000000002</v>
      </c>
      <c r="BE10" s="1515">
        <v>2.7080000000000002</v>
      </c>
      <c r="BF10" s="1515">
        <v>2.72</v>
      </c>
      <c r="BG10" s="1515">
        <v>2.7589999999999999</v>
      </c>
      <c r="BH10" s="1515">
        <v>2.7719999999999998</v>
      </c>
      <c r="BI10" s="1515">
        <v>2.7810000000000001</v>
      </c>
      <c r="BJ10" s="1515">
        <v>2.7879999999999998</v>
      </c>
      <c r="BK10" s="1515">
        <v>2.794</v>
      </c>
      <c r="BL10" s="1515">
        <v>2.8239999999999998</v>
      </c>
      <c r="BM10" s="1515">
        <v>2.8479999999999999</v>
      </c>
      <c r="BN10" s="1515">
        <v>2.867</v>
      </c>
      <c r="BO10" s="1515">
        <v>2.8839999999999999</v>
      </c>
      <c r="BP10" s="1515">
        <v>2.8959999999999999</v>
      </c>
      <c r="BQ10" s="1515">
        <v>2.9169999999999998</v>
      </c>
      <c r="BR10" s="1515">
        <v>2.9319999999999999</v>
      </c>
      <c r="BS10" s="1515">
        <v>2.96</v>
      </c>
      <c r="BT10" s="1515">
        <v>2.9870000000000001</v>
      </c>
      <c r="BU10" s="1515">
        <v>3.0129999999999999</v>
      </c>
      <c r="BV10" s="1515">
        <v>3.0369999999999999</v>
      </c>
      <c r="BW10" s="1515">
        <v>3.0619999999999998</v>
      </c>
      <c r="BX10" s="1515">
        <v>3.0859999999999999</v>
      </c>
      <c r="BY10" s="1515">
        <v>3.1120000000000001</v>
      </c>
      <c r="BZ10" s="1515">
        <v>3.1389999999999998</v>
      </c>
      <c r="CA10" s="1515">
        <v>3.1669999999999998</v>
      </c>
      <c r="CB10" s="1515">
        <v>3.19</v>
      </c>
      <c r="CC10" s="1515">
        <v>3.218</v>
      </c>
      <c r="CD10" s="1515">
        <v>3.246</v>
      </c>
    </row>
    <row r="12" spans="1:83">
      <c r="C12" s="1525"/>
      <c r="D12" s="1525"/>
      <c r="E12" s="1525"/>
      <c r="F12" s="1525"/>
      <c r="G12" s="1525"/>
      <c r="H12" s="1525"/>
      <c r="I12" s="1525"/>
      <c r="J12" s="1525"/>
      <c r="K12" s="1525"/>
      <c r="L12" s="1525"/>
      <c r="M12" s="1525"/>
      <c r="N12" s="1525"/>
      <c r="O12" s="1525"/>
      <c r="P12" s="1525"/>
      <c r="Q12" s="1525"/>
      <c r="R12" s="1525"/>
      <c r="S12" s="1525"/>
      <c r="T12" s="1525"/>
      <c r="U12" s="1525"/>
      <c r="V12" s="1525"/>
      <c r="W12" s="1525"/>
      <c r="X12" s="1525"/>
      <c r="Y12" s="1525"/>
      <c r="Z12" s="1525"/>
      <c r="AA12" s="1525"/>
      <c r="AB12" s="1525"/>
      <c r="AC12" s="1525"/>
      <c r="AD12" s="1525"/>
      <c r="AE12" s="1525"/>
      <c r="AF12" s="1525"/>
      <c r="AG12" s="1525"/>
      <c r="AH12" s="1525"/>
      <c r="AI12" s="1525"/>
      <c r="AJ12" s="1525"/>
      <c r="AK12" s="1525"/>
      <c r="AL12" s="1525"/>
      <c r="AM12" s="1525"/>
      <c r="AN12" s="1525"/>
      <c r="AO12" s="1525"/>
      <c r="AP12" s="1525"/>
      <c r="AQ12" s="1525"/>
      <c r="AR12" s="1525"/>
      <c r="AS12" s="1525"/>
      <c r="AT12" s="1525"/>
    </row>
    <row r="13" spans="1:83">
      <c r="C13" s="1525"/>
      <c r="D13" s="1525"/>
      <c r="E13" s="1525"/>
      <c r="F13" s="1525"/>
      <c r="G13" s="1525"/>
      <c r="H13" s="1525"/>
      <c r="I13" s="1525"/>
      <c r="J13" s="1525"/>
      <c r="K13" s="1525"/>
      <c r="L13" s="1525"/>
      <c r="M13" s="1525"/>
      <c r="N13" s="1525"/>
      <c r="O13" s="1525"/>
      <c r="P13" s="1525"/>
      <c r="Q13" s="1525"/>
      <c r="R13" s="1525"/>
      <c r="S13" s="1525"/>
      <c r="T13" s="1525"/>
      <c r="U13" s="1525"/>
      <c r="V13" s="1525"/>
      <c r="W13" s="1525"/>
      <c r="X13" s="1525"/>
      <c r="Y13" s="1525"/>
      <c r="Z13" s="1525"/>
      <c r="AA13" s="1525"/>
      <c r="AB13" s="1525"/>
      <c r="AC13" s="1525"/>
      <c r="AD13" s="1525"/>
      <c r="AE13" s="1525"/>
      <c r="AF13" s="1525"/>
      <c r="AG13" s="1525"/>
      <c r="AH13" s="1525"/>
      <c r="AI13" s="1525"/>
      <c r="AJ13" s="1525"/>
      <c r="AK13" s="1525"/>
      <c r="AL13" s="1525"/>
      <c r="AM13" s="1525"/>
      <c r="AN13" s="1525"/>
      <c r="AO13" s="1525"/>
      <c r="AP13" s="1525"/>
      <c r="AQ13" s="1525"/>
      <c r="AR13" s="1525"/>
      <c r="AS13" s="1525"/>
      <c r="AT13" s="1525"/>
    </row>
    <row r="14" spans="1:83">
      <c r="C14" s="1524"/>
      <c r="D14" s="1524"/>
      <c r="E14" s="1524"/>
      <c r="F14" s="1524"/>
      <c r="G14" s="1524"/>
      <c r="H14" s="1524"/>
      <c r="I14" s="1524"/>
      <c r="J14" s="1524"/>
      <c r="K14" s="1524"/>
      <c r="L14" s="1524"/>
      <c r="M14" s="1524"/>
      <c r="N14" s="1524"/>
      <c r="O14" s="1524"/>
      <c r="P14" s="1524"/>
      <c r="Q14" s="1524"/>
      <c r="R14" s="1524"/>
      <c r="S14" s="1524"/>
      <c r="T14" s="1524"/>
      <c r="U14" s="1524"/>
      <c r="V14" s="1524"/>
      <c r="W14" s="1524"/>
      <c r="X14" s="1524"/>
      <c r="Y14" s="1524"/>
      <c r="Z14" s="1524"/>
      <c r="AA14" s="1524"/>
      <c r="AB14" s="1524"/>
      <c r="AC14" s="1524"/>
      <c r="AD14" s="1524"/>
      <c r="AE14" s="1524"/>
      <c r="AF14" s="1524"/>
      <c r="AG14" s="1524"/>
      <c r="AH14" s="1524"/>
      <c r="AI14" s="1524"/>
      <c r="AJ14" s="1524"/>
      <c r="AK14" s="1524"/>
      <c r="AL14" s="1524"/>
      <c r="AM14" s="1524"/>
      <c r="AN14" s="1524"/>
      <c r="AO14" s="1524"/>
      <c r="AP14" s="1524"/>
      <c r="AQ14" s="1524"/>
      <c r="AR14" s="1524"/>
      <c r="AS14" s="1524"/>
      <c r="AT14" s="1524"/>
    </row>
    <row r="15" spans="1:83">
      <c r="C15" s="1524"/>
      <c r="D15" s="1524"/>
      <c r="E15" s="1524"/>
      <c r="F15" s="1524"/>
      <c r="G15" s="1524"/>
      <c r="H15" s="1524"/>
      <c r="I15" s="1524"/>
      <c r="J15" s="1524"/>
      <c r="K15" s="1524"/>
      <c r="L15" s="1524"/>
      <c r="M15" s="1524"/>
      <c r="N15" s="1524"/>
      <c r="O15" s="1524"/>
      <c r="P15" s="1524"/>
      <c r="Q15" s="1524"/>
      <c r="R15" s="1524"/>
      <c r="S15" s="1524"/>
      <c r="T15" s="1524"/>
      <c r="U15" s="1524"/>
      <c r="V15" s="1524"/>
      <c r="W15" s="1524"/>
      <c r="X15" s="1524"/>
      <c r="Y15" s="1524"/>
      <c r="Z15" s="1524"/>
      <c r="AA15" s="1524"/>
      <c r="AB15" s="1524"/>
      <c r="AC15" s="1524"/>
      <c r="AD15" s="1524"/>
      <c r="AE15" s="1524"/>
      <c r="AF15" s="1524"/>
      <c r="AG15" s="1524"/>
      <c r="AH15" s="1524"/>
      <c r="AI15" s="1524"/>
      <c r="AJ15" s="1524"/>
      <c r="AK15" s="1524"/>
      <c r="AL15" s="1524"/>
      <c r="AM15" s="1524"/>
      <c r="AN15" s="1524"/>
      <c r="AO15" s="1524"/>
      <c r="AP15" s="1524"/>
      <c r="AQ15" s="1524"/>
      <c r="AR15" s="1524"/>
      <c r="AS15" s="1524"/>
      <c r="AT15" s="1524"/>
      <c r="BJ15" s="907" t="s">
        <v>503</v>
      </c>
      <c r="BK15" s="908"/>
      <c r="BL15" s="908"/>
      <c r="BM15" s="909" t="s">
        <v>703</v>
      </c>
      <c r="BN15" s="910"/>
      <c r="BO15" s="910"/>
      <c r="BP15" s="910"/>
      <c r="BQ15" s="910"/>
      <c r="BR15" s="910"/>
      <c r="BS15" s="908"/>
      <c r="BT15" s="908"/>
      <c r="BU15" s="908"/>
    </row>
    <row r="16" spans="1:83">
      <c r="C16" s="1524"/>
      <c r="D16" s="1524"/>
      <c r="E16" s="1524"/>
      <c r="F16" s="1524"/>
      <c r="G16" s="1524"/>
      <c r="H16" s="1524"/>
      <c r="I16" s="1524"/>
      <c r="J16" s="1524"/>
      <c r="K16" s="1524"/>
      <c r="L16" s="1524"/>
      <c r="M16" s="1524"/>
      <c r="N16" s="1524"/>
      <c r="O16" s="1524"/>
      <c r="P16" s="1524"/>
      <c r="Q16" s="1524"/>
      <c r="R16" s="1524"/>
      <c r="S16" s="1524"/>
      <c r="T16" s="1524"/>
      <c r="U16" s="1524"/>
      <c r="V16" s="1524"/>
      <c r="W16" s="1524"/>
      <c r="X16" s="1524"/>
      <c r="Y16" s="1524"/>
      <c r="Z16" s="1524"/>
      <c r="AA16" s="1524"/>
      <c r="AB16" s="1524"/>
      <c r="AC16" s="1524"/>
      <c r="AD16" s="1524"/>
      <c r="AE16" s="1524"/>
      <c r="AF16" s="1524"/>
      <c r="AG16" s="1524"/>
      <c r="AH16" s="1524"/>
      <c r="AI16" s="1524"/>
      <c r="AJ16" s="1524"/>
      <c r="AK16" s="1524"/>
      <c r="AL16" s="1524"/>
      <c r="AM16" s="1524"/>
      <c r="AN16" s="1524"/>
      <c r="AO16" s="1524"/>
      <c r="AP16" s="1524"/>
      <c r="AQ16" s="1524"/>
      <c r="AR16" s="1524"/>
      <c r="AS16" s="1524"/>
      <c r="AT16" s="1524"/>
      <c r="BJ16" s="911"/>
      <c r="BK16" s="912"/>
      <c r="BL16" s="912"/>
      <c r="BM16" s="912"/>
      <c r="BN16" s="912"/>
      <c r="BO16" s="912"/>
      <c r="BP16" s="912"/>
      <c r="BQ16" s="912"/>
      <c r="BR16" s="912"/>
      <c r="BS16" s="912"/>
      <c r="BT16" s="912"/>
      <c r="BU16" s="913"/>
    </row>
    <row r="17" spans="3:73"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  <c r="AM17" s="1526"/>
      <c r="AN17" s="1526"/>
      <c r="AO17" s="1526"/>
      <c r="AP17" s="1526"/>
      <c r="BJ17" s="914"/>
      <c r="BK17" s="915" t="s">
        <v>505</v>
      </c>
      <c r="BL17" s="916" t="s">
        <v>704</v>
      </c>
      <c r="BM17" s="916"/>
      <c r="BN17" s="916"/>
      <c r="BO17" s="916"/>
      <c r="BP17" s="916"/>
      <c r="BQ17" s="916"/>
      <c r="BR17" s="916"/>
      <c r="BS17" s="916"/>
      <c r="BT17" s="916"/>
      <c r="BU17" s="917"/>
    </row>
    <row r="18" spans="3:73">
      <c r="BJ18" s="914"/>
      <c r="BK18" s="916"/>
      <c r="BL18" s="1523" t="s">
        <v>166</v>
      </c>
      <c r="BM18" s="916"/>
      <c r="BN18" s="916"/>
      <c r="BO18" s="916"/>
      <c r="BP18" s="916"/>
      <c r="BQ18" s="916"/>
      <c r="BR18" s="916"/>
      <c r="BS18" s="916"/>
      <c r="BT18" s="916"/>
      <c r="BU18" s="918" t="s">
        <v>507</v>
      </c>
    </row>
    <row r="19" spans="3:73">
      <c r="BJ19" s="914"/>
      <c r="BK19" s="916"/>
      <c r="BL19" s="1524">
        <f>BN9</f>
        <v>2.8490000000000002</v>
      </c>
      <c r="BM19" s="916"/>
      <c r="BN19" s="916"/>
      <c r="BO19" s="916"/>
      <c r="BP19" s="916"/>
      <c r="BQ19" s="916"/>
      <c r="BR19" s="916"/>
      <c r="BS19" s="916"/>
      <c r="BT19" s="916"/>
      <c r="BU19" s="919">
        <f>BL19</f>
        <v>2.8490000000000002</v>
      </c>
    </row>
    <row r="20" spans="3:73">
      <c r="BJ20" s="914"/>
      <c r="BK20" s="916"/>
      <c r="BL20" s="916"/>
      <c r="BM20" s="916"/>
      <c r="BN20" s="916"/>
      <c r="BO20" s="916"/>
      <c r="BP20" s="916"/>
      <c r="BQ20" s="916"/>
      <c r="BR20" s="916"/>
      <c r="BS20" s="916"/>
      <c r="BT20" s="916"/>
      <c r="BU20" s="920"/>
    </row>
    <row r="21" spans="3:73">
      <c r="BJ21" s="3347" t="s">
        <v>705</v>
      </c>
      <c r="BK21" s="3348"/>
      <c r="BL21" s="3348"/>
      <c r="BM21" s="916"/>
      <c r="BN21" s="916"/>
      <c r="BO21" s="916"/>
      <c r="BP21" s="916"/>
      <c r="BQ21" s="916"/>
      <c r="BR21" s="916"/>
      <c r="BS21" s="916"/>
      <c r="BT21" s="916"/>
      <c r="BU21" s="920"/>
    </row>
    <row r="22" spans="3:73">
      <c r="BJ22" s="914"/>
      <c r="BK22" s="916"/>
      <c r="BL22" s="1520" t="s">
        <v>167</v>
      </c>
      <c r="BM22" s="1520" t="str">
        <f>BP7</f>
        <v>2020Q2</v>
      </c>
      <c r="BN22" s="1520" t="str">
        <f t="shared" ref="BN22:BS22" si="0">BQ7</f>
        <v>2020Q3</v>
      </c>
      <c r="BO22" s="1520" t="str">
        <f t="shared" si="0"/>
        <v>2020Q4</v>
      </c>
      <c r="BP22" s="1520" t="str">
        <f t="shared" si="0"/>
        <v>2021Q1</v>
      </c>
      <c r="BQ22" s="1520" t="str">
        <f t="shared" si="0"/>
        <v>2021Q2</v>
      </c>
      <c r="BR22" s="1520" t="str">
        <f t="shared" si="0"/>
        <v>2021Q3</v>
      </c>
      <c r="BS22" s="1520" t="str">
        <f t="shared" si="0"/>
        <v>2021Q4</v>
      </c>
      <c r="BT22" s="916"/>
      <c r="BU22" s="920"/>
    </row>
    <row r="23" spans="3:73">
      <c r="BJ23" s="914"/>
      <c r="BK23" s="916"/>
      <c r="BL23" s="1524">
        <f>BO9</f>
        <v>2.86</v>
      </c>
      <c r="BM23" s="1524">
        <f t="shared" ref="BM23:BS23" si="1">BP9</f>
        <v>2.8660000000000001</v>
      </c>
      <c r="BN23" s="1524">
        <f t="shared" si="1"/>
        <v>2.8780000000000001</v>
      </c>
      <c r="BO23" s="1524">
        <f t="shared" si="1"/>
        <v>2.8860000000000001</v>
      </c>
      <c r="BP23" s="1524">
        <f t="shared" si="1"/>
        <v>2.9049999999999998</v>
      </c>
      <c r="BQ23" s="1524">
        <f t="shared" si="1"/>
        <v>2.9220000000000002</v>
      </c>
      <c r="BR23" s="1524">
        <f t="shared" si="1"/>
        <v>2.9369999999999998</v>
      </c>
      <c r="BS23" s="1524">
        <f t="shared" si="1"/>
        <v>2.9510000000000001</v>
      </c>
      <c r="BT23" s="916"/>
      <c r="BU23" s="919">
        <f>AVERAGE(BL23:BS23)</f>
        <v>2.9006249999999998</v>
      </c>
    </row>
    <row r="24" spans="3:73">
      <c r="BJ24" s="914"/>
      <c r="BK24" s="916"/>
      <c r="BL24" s="916"/>
      <c r="BM24" s="916"/>
      <c r="BN24" s="916"/>
      <c r="BO24" s="916"/>
      <c r="BP24" s="916"/>
      <c r="BQ24" s="916"/>
      <c r="BR24" s="916"/>
      <c r="BS24" s="916"/>
      <c r="BT24" s="916"/>
      <c r="BU24" s="920"/>
    </row>
    <row r="25" spans="3:73">
      <c r="BJ25" s="914"/>
      <c r="BK25" s="916"/>
      <c r="BL25" s="916"/>
      <c r="BM25" s="916"/>
      <c r="BN25" s="916"/>
      <c r="BO25" s="916"/>
      <c r="BP25" s="916"/>
      <c r="BQ25" s="916"/>
      <c r="BR25" s="916"/>
      <c r="BS25" s="916"/>
      <c r="BT25" s="921" t="s">
        <v>182</v>
      </c>
      <c r="BU25" s="922">
        <f>(BU23-BU19)/BU19</f>
        <v>1.8120393120392975E-2</v>
      </c>
    </row>
    <row r="26" spans="3:73">
      <c r="BJ26" s="923"/>
      <c r="BK26" s="924"/>
      <c r="BL26" s="924"/>
      <c r="BM26" s="924"/>
      <c r="BN26" s="924"/>
      <c r="BO26" s="924"/>
      <c r="BP26" s="924"/>
      <c r="BQ26" s="924"/>
      <c r="BR26" s="924"/>
      <c r="BS26" s="924"/>
      <c r="BT26" s="924"/>
      <c r="BU26" s="925"/>
    </row>
  </sheetData>
  <mergeCells count="1">
    <mergeCell ref="BJ21:BL21"/>
  </mergeCells>
  <pageMargins left="0.25" right="0.25" top="1" bottom="1" header="0.5" footer="0.5"/>
  <pageSetup scale="82" fitToHeight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P29"/>
  <sheetViews>
    <sheetView zoomScale="89" zoomScaleNormal="89" workbookViewId="0">
      <selection activeCell="K27" sqref="A2:K27"/>
    </sheetView>
  </sheetViews>
  <sheetFormatPr defaultRowHeight="15"/>
  <cols>
    <col min="2" max="2" width="39.85546875" customWidth="1"/>
    <col min="3" max="3" width="15.140625" customWidth="1"/>
    <col min="4" max="4" width="15.5703125" customWidth="1"/>
    <col min="5" max="5" width="7.28515625" customWidth="1"/>
    <col min="6" max="6" width="23.85546875" customWidth="1"/>
    <col min="7" max="7" width="10.140625" customWidth="1"/>
    <col min="8" max="8" width="11.28515625" customWidth="1"/>
    <col min="9" max="9" width="12.28515625" style="43" customWidth="1"/>
    <col min="10" max="10" width="12.7109375" customWidth="1"/>
    <col min="11" max="11" width="11.28515625" customWidth="1"/>
    <col min="12" max="12" width="26.140625" customWidth="1"/>
  </cols>
  <sheetData>
    <row r="2" spans="2:16">
      <c r="C2" s="3357" t="s">
        <v>731</v>
      </c>
      <c r="D2" s="3357"/>
      <c r="E2" s="3357"/>
      <c r="F2" s="3357"/>
      <c r="G2" s="3357"/>
    </row>
    <row r="3" spans="2:16" s="11" customFormat="1">
      <c r="B3" s="30"/>
      <c r="C3" s="3357"/>
      <c r="D3" s="3357"/>
      <c r="E3" s="3357"/>
      <c r="F3" s="3357"/>
      <c r="G3" s="3357"/>
      <c r="H3" s="30"/>
      <c r="I3" s="1610"/>
      <c r="J3" s="30"/>
      <c r="K3" s="786"/>
      <c r="L3" s="786"/>
      <c r="M3"/>
      <c r="N3"/>
      <c r="O3"/>
      <c r="P3"/>
    </row>
    <row r="4" spans="2:16" ht="15.75" thickBot="1">
      <c r="B4" s="786"/>
      <c r="C4" s="786"/>
      <c r="D4" s="786"/>
      <c r="E4" s="786"/>
      <c r="F4" s="786"/>
      <c r="G4" s="786"/>
      <c r="H4" s="786"/>
      <c r="I4" s="1755"/>
      <c r="J4" s="786"/>
      <c r="K4" s="786"/>
      <c r="L4" s="786"/>
    </row>
    <row r="5" spans="2:16" ht="16.5" customHeight="1" thickBot="1">
      <c r="B5" s="3354" t="s">
        <v>223</v>
      </c>
      <c r="C5" s="3355"/>
      <c r="D5" s="3356"/>
      <c r="E5" s="786"/>
      <c r="F5" s="3349" t="s">
        <v>206</v>
      </c>
      <c r="G5" s="3350"/>
      <c r="H5" s="3350"/>
      <c r="I5" s="3350"/>
      <c r="J5" s="3351"/>
      <c r="K5" s="786"/>
      <c r="L5" s="786"/>
    </row>
    <row r="6" spans="2:16" ht="15.75" thickBot="1">
      <c r="B6" s="1756" t="s">
        <v>207</v>
      </c>
      <c r="C6" s="1757">
        <v>10</v>
      </c>
      <c r="D6" s="1758"/>
      <c r="E6" s="786"/>
      <c r="F6" s="1785" t="s">
        <v>207</v>
      </c>
      <c r="G6" s="1786">
        <f>C6</f>
        <v>10</v>
      </c>
      <c r="H6" s="1786"/>
      <c r="I6" s="1786" t="s">
        <v>208</v>
      </c>
      <c r="J6" s="1787">
        <f>G6*365</f>
        <v>3650</v>
      </c>
      <c r="K6" s="786"/>
      <c r="L6" s="786"/>
    </row>
    <row r="7" spans="2:16" ht="26.25" customHeight="1">
      <c r="B7" s="1788"/>
      <c r="C7" s="3352" t="s">
        <v>212</v>
      </c>
      <c r="D7" s="1789" t="s">
        <v>221</v>
      </c>
      <c r="E7" s="786"/>
      <c r="F7" s="1790"/>
      <c r="G7" s="1791" t="s">
        <v>189</v>
      </c>
      <c r="H7" s="1786" t="s">
        <v>209</v>
      </c>
      <c r="I7" s="1792" t="s">
        <v>190</v>
      </c>
      <c r="J7" s="1793" t="s">
        <v>210</v>
      </c>
      <c r="K7" s="786"/>
      <c r="L7" s="786"/>
    </row>
    <row r="8" spans="2:16" ht="24.75" customHeight="1" thickBot="1">
      <c r="B8" s="1794" t="s">
        <v>213</v>
      </c>
      <c r="C8" s="3353"/>
      <c r="D8" s="1795" t="s">
        <v>222</v>
      </c>
      <c r="E8" s="786"/>
      <c r="F8" s="15" t="s">
        <v>191</v>
      </c>
      <c r="G8" s="1796">
        <f>D10</f>
        <v>48</v>
      </c>
      <c r="H8" s="16">
        <f>C9</f>
        <v>60486.049849648858</v>
      </c>
      <c r="I8" s="1202">
        <f>D9</f>
        <v>0.21</v>
      </c>
      <c r="J8" s="17">
        <f>H8*I8</f>
        <v>12702.07046842626</v>
      </c>
      <c r="K8" s="786"/>
      <c r="L8" s="786"/>
    </row>
    <row r="9" spans="2:16">
      <c r="B9" s="1790" t="s">
        <v>191</v>
      </c>
      <c r="C9" s="1797">
        <f>58882.3351635599*(1+C17)</f>
        <v>60486.049849648858</v>
      </c>
      <c r="D9" s="1798">
        <v>0.21</v>
      </c>
      <c r="E9" s="786"/>
      <c r="F9" s="18" t="s">
        <v>192</v>
      </c>
      <c r="G9" s="1796">
        <f>D12</f>
        <v>7</v>
      </c>
      <c r="H9" s="16">
        <f>C11</f>
        <v>38630.896237982961</v>
      </c>
      <c r="I9" s="1202">
        <f>D11</f>
        <v>1.4</v>
      </c>
      <c r="J9" s="17">
        <f>H9*I9</f>
        <v>54083.254733176145</v>
      </c>
      <c r="K9" s="786"/>
      <c r="L9" s="786"/>
    </row>
    <row r="10" spans="2:16">
      <c r="B10" s="1799" t="s">
        <v>214</v>
      </c>
      <c r="C10" s="1797"/>
      <c r="D10" s="1800">
        <v>48</v>
      </c>
      <c r="E10" s="786"/>
      <c r="F10" s="1759" t="s">
        <v>193</v>
      </c>
      <c r="G10" s="1801">
        <f>D14</f>
        <v>74</v>
      </c>
      <c r="H10" s="49">
        <f>C13</f>
        <v>32915.654570576058</v>
      </c>
      <c r="I10" s="1802">
        <f>D13</f>
        <v>0.14000000000000001</v>
      </c>
      <c r="J10" s="48">
        <f>H10*I10</f>
        <v>4608.1916398806488</v>
      </c>
      <c r="K10" s="786"/>
      <c r="L10" s="786"/>
    </row>
    <row r="11" spans="2:16">
      <c r="B11" s="1790" t="s">
        <v>215</v>
      </c>
      <c r="C11" s="1797">
        <f>37606.6445999999*(1+C17)</f>
        <v>38630.896237982961</v>
      </c>
      <c r="D11" s="1798">
        <v>1.4</v>
      </c>
      <c r="E11" s="786"/>
      <c r="F11" s="1803" t="s">
        <v>334</v>
      </c>
      <c r="G11" s="1804"/>
      <c r="H11" s="1805"/>
      <c r="I11" s="1806">
        <f>SUM(I8:I10)</f>
        <v>1.75</v>
      </c>
      <c r="J11" s="872">
        <f>SUM(J8:J10)</f>
        <v>71393.516841483055</v>
      </c>
      <c r="K11" s="786"/>
      <c r="L11" s="786"/>
    </row>
    <row r="12" spans="2:16">
      <c r="B12" s="1799" t="s">
        <v>214</v>
      </c>
      <c r="C12" s="1797"/>
      <c r="D12" s="1800">
        <v>7</v>
      </c>
      <c r="E12" s="786"/>
      <c r="F12" s="844"/>
      <c r="G12" s="1786" t="s">
        <v>211</v>
      </c>
      <c r="H12" s="843"/>
      <c r="I12" s="1786"/>
      <c r="J12" s="818"/>
      <c r="K12" s="786"/>
      <c r="L12" s="786"/>
    </row>
    <row r="13" spans="2:16">
      <c r="B13" s="1790" t="s">
        <v>216</v>
      </c>
      <c r="C13" s="1797">
        <f>32042.93567476*(1+C17)</f>
        <v>32915.654570576058</v>
      </c>
      <c r="D13" s="1798">
        <v>0.14000000000000001</v>
      </c>
      <c r="E13" s="786"/>
      <c r="F13" s="1790" t="s">
        <v>195</v>
      </c>
      <c r="G13" s="1807"/>
      <c r="H13" s="1808"/>
      <c r="I13" s="1807"/>
      <c r="J13" s="1809"/>
      <c r="K13" s="786"/>
      <c r="L13" s="786"/>
    </row>
    <row r="14" spans="2:16" ht="15.75" thickBot="1">
      <c r="B14" s="1799" t="s">
        <v>214</v>
      </c>
      <c r="C14" s="1797"/>
      <c r="D14" s="1800">
        <v>74</v>
      </c>
      <c r="E14" s="786"/>
      <c r="F14" s="822" t="s">
        <v>196</v>
      </c>
      <c r="G14" s="1810">
        <f>C21</f>
        <v>0.24</v>
      </c>
      <c r="H14" s="1211" t="s">
        <v>333</v>
      </c>
      <c r="I14" s="1610"/>
      <c r="J14" s="818">
        <f>J11*G14</f>
        <v>17134.444041955932</v>
      </c>
      <c r="K14" s="786"/>
      <c r="L14" s="786"/>
    </row>
    <row r="15" spans="2:16" ht="15.75" thickBot="1">
      <c r="B15" s="1811" t="s">
        <v>217</v>
      </c>
      <c r="C15" s="1812"/>
      <c r="D15" s="1813">
        <f>D9+D11+D13</f>
        <v>1.75</v>
      </c>
      <c r="E15" s="786"/>
      <c r="F15" s="26" t="s">
        <v>198</v>
      </c>
      <c r="G15" s="42"/>
      <c r="H15" s="381"/>
      <c r="I15" s="1760"/>
      <c r="J15" s="1814">
        <f>J11+J14</f>
        <v>88527.960883438995</v>
      </c>
      <c r="K15" s="786"/>
      <c r="L15" s="786"/>
    </row>
    <row r="16" spans="2:16">
      <c r="B16" s="1815" t="s">
        <v>218</v>
      </c>
      <c r="C16" s="1816">
        <v>0.34087899999999999</v>
      </c>
      <c r="D16" s="1817">
        <v>0.25</v>
      </c>
      <c r="E16" s="786"/>
      <c r="F16" s="29"/>
      <c r="G16" s="1810"/>
      <c r="H16" s="1211"/>
      <c r="I16" s="1784"/>
      <c r="J16" s="1809"/>
      <c r="K16" s="786"/>
      <c r="L16" s="786"/>
    </row>
    <row r="17" spans="2:12">
      <c r="B17" s="1818" t="s">
        <v>721</v>
      </c>
      <c r="C17" s="1819">
        <f>'CAF Spring17'!BK27</f>
        <v>2.7235921972764018E-2</v>
      </c>
      <c r="D17" s="1820"/>
      <c r="E17" s="786"/>
      <c r="F17" s="29" t="s">
        <v>199</v>
      </c>
      <c r="G17" s="1810"/>
      <c r="H17" s="1211"/>
      <c r="I17" s="51"/>
      <c r="J17" s="1809">
        <v>30177</v>
      </c>
      <c r="K17" s="786"/>
      <c r="L17" s="1250"/>
    </row>
    <row r="18" spans="2:12">
      <c r="B18" s="1790" t="s">
        <v>716</v>
      </c>
      <c r="C18" s="1821">
        <f>'Spring 2019 CAF'!BU25</f>
        <v>1.8120393120392975E-2</v>
      </c>
      <c r="D18" s="1798"/>
      <c r="E18" s="786"/>
      <c r="F18" s="26" t="s">
        <v>200</v>
      </c>
      <c r="G18" s="44"/>
      <c r="H18" s="27"/>
      <c r="I18" s="1760"/>
      <c r="J18" s="1814">
        <f>J15+J17</f>
        <v>118704.96088343899</v>
      </c>
      <c r="K18" s="786"/>
      <c r="L18" s="786"/>
    </row>
    <row r="19" spans="2:12">
      <c r="B19" s="1822" t="s">
        <v>720</v>
      </c>
      <c r="C19" s="1823">
        <v>6.3E-3</v>
      </c>
      <c r="D19" s="1798"/>
      <c r="E19" s="786"/>
      <c r="F19" s="29" t="s">
        <v>201</v>
      </c>
      <c r="G19" s="1824">
        <f>C20</f>
        <v>0.12</v>
      </c>
      <c r="H19" s="1211" t="s">
        <v>202</v>
      </c>
      <c r="I19" s="51"/>
      <c r="J19" s="1809">
        <f>G19*J18</f>
        <v>14244.595306012679</v>
      </c>
      <c r="K19" s="786"/>
      <c r="L19" s="786"/>
    </row>
    <row r="20" spans="2:12">
      <c r="B20" s="1790" t="s">
        <v>219</v>
      </c>
      <c r="C20" s="1821">
        <v>0.12</v>
      </c>
      <c r="D20" s="1798"/>
      <c r="E20" s="786"/>
      <c r="F20" s="1825" t="str">
        <f>B19</f>
        <v>PFMLA - Effective 9/1/19</v>
      </c>
      <c r="G20" s="1826">
        <f>C19</f>
        <v>6.3E-3</v>
      </c>
      <c r="H20" s="1827"/>
      <c r="I20" s="1828"/>
      <c r="J20" s="1829">
        <f>G20*J18</f>
        <v>747.84125356566562</v>
      </c>
      <c r="K20" s="786"/>
      <c r="L20" s="786"/>
    </row>
    <row r="21" spans="2:12" ht="15.75" thickBot="1">
      <c r="B21" s="1830" t="s">
        <v>220</v>
      </c>
      <c r="C21" s="1831">
        <v>0.24</v>
      </c>
      <c r="D21" s="1832"/>
      <c r="E21" s="786"/>
      <c r="F21" s="1833" t="s">
        <v>203</v>
      </c>
      <c r="G21" s="1834"/>
      <c r="H21" s="1835"/>
      <c r="I21" s="1836"/>
      <c r="J21" s="1837">
        <f>SUM(J18:J20)</f>
        <v>133697.39744301734</v>
      </c>
      <c r="K21" s="786"/>
      <c r="L21" s="786"/>
    </row>
    <row r="22" spans="2:12" ht="15.75" thickBot="1">
      <c r="B22" s="1761"/>
      <c r="C22" s="1247"/>
      <c r="D22" s="1762"/>
      <c r="E22" s="786"/>
      <c r="F22" s="835"/>
      <c r="G22" s="1763"/>
      <c r="H22" s="1230"/>
      <c r="I22" s="1610"/>
      <c r="J22" s="1764"/>
      <c r="K22" s="786"/>
      <c r="L22" s="786"/>
    </row>
    <row r="23" spans="2:12" ht="15.75" thickBot="1">
      <c r="B23" s="786"/>
      <c r="C23" s="786"/>
      <c r="D23" s="786"/>
      <c r="E23" s="786"/>
      <c r="F23" s="1765" t="s">
        <v>204</v>
      </c>
      <c r="G23" s="1766"/>
      <c r="H23" s="1767"/>
      <c r="I23" s="1838"/>
      <c r="J23" s="1839">
        <f>J21/J6</f>
        <v>36.629423956991054</v>
      </c>
      <c r="K23" s="786"/>
      <c r="L23" s="786"/>
    </row>
    <row r="24" spans="2:12" ht="15.75" thickBot="1">
      <c r="B24" s="786"/>
      <c r="C24" s="786"/>
      <c r="D24" s="786"/>
      <c r="E24" s="786"/>
      <c r="F24" s="1768" t="s">
        <v>537</v>
      </c>
      <c r="G24" s="1769"/>
      <c r="H24" s="1769"/>
      <c r="I24" s="1840">
        <f>C18</f>
        <v>1.8120393120392975E-2</v>
      </c>
      <c r="J24" s="1841">
        <f>J23*(1+I24)</f>
        <v>37.293163518865278</v>
      </c>
      <c r="K24" s="786"/>
      <c r="L24" s="786"/>
    </row>
    <row r="25" spans="2:12">
      <c r="B25" s="786"/>
      <c r="C25" s="786"/>
      <c r="D25" s="786"/>
      <c r="E25" s="786"/>
      <c r="F25" s="786"/>
      <c r="G25" s="786"/>
      <c r="H25" s="786"/>
      <c r="I25" s="1755"/>
      <c r="J25" s="786">
        <v>36.42</v>
      </c>
      <c r="K25" s="1842">
        <f>(J24-J25)/J25</f>
        <v>2.3974835773346401E-2</v>
      </c>
      <c r="L25" s="786"/>
    </row>
    <row r="26" spans="2:12">
      <c r="B26" s="786"/>
      <c r="C26" s="786"/>
      <c r="D26" s="786"/>
      <c r="E26" s="786"/>
      <c r="F26" s="786"/>
      <c r="G26" s="786"/>
      <c r="H26" s="786"/>
      <c r="I26" s="1755"/>
      <c r="J26" s="786"/>
      <c r="K26" s="786"/>
      <c r="L26" s="786"/>
    </row>
    <row r="27" spans="2:12">
      <c r="B27" s="786"/>
      <c r="C27" s="786"/>
      <c r="D27" s="786"/>
      <c r="E27" s="786"/>
      <c r="F27" s="786"/>
      <c r="G27" s="786"/>
      <c r="H27" s="786"/>
      <c r="I27" s="1755"/>
      <c r="J27" s="786"/>
      <c r="K27" s="786"/>
      <c r="L27" s="786"/>
    </row>
    <row r="28" spans="2:12">
      <c r="B28" s="786"/>
      <c r="C28" s="786"/>
      <c r="D28" s="786"/>
      <c r="E28" s="786"/>
      <c r="F28" s="786"/>
      <c r="G28" s="786"/>
      <c r="H28" s="786"/>
      <c r="I28" s="1755"/>
      <c r="J28" s="786"/>
      <c r="K28" s="786"/>
      <c r="L28" s="786"/>
    </row>
    <row r="29" spans="2:12">
      <c r="B29" s="786"/>
      <c r="C29" s="786"/>
      <c r="D29" s="786"/>
      <c r="E29" s="786"/>
      <c r="F29" s="786"/>
      <c r="G29" s="786"/>
      <c r="H29" s="786"/>
      <c r="I29" s="1755"/>
      <c r="J29" s="786"/>
      <c r="K29" s="786"/>
      <c r="L29" s="786"/>
    </row>
  </sheetData>
  <customSheetViews>
    <customSheetView guid="{4C1AD9FE-DB97-4D30-8CF1-D476DD376A5A}" scale="89" topLeftCell="A2">
      <selection activeCell="G41" sqref="G41"/>
      <pageMargins left="0.7" right="0.7" top="0.75" bottom="0.75" header="0.3" footer="0.3"/>
    </customSheetView>
    <customSheetView guid="{6A16E15D-0E79-4250-8AEC-339F57F63027}" scale="89" topLeftCell="A2">
      <selection activeCell="B28" sqref="B28"/>
      <pageMargins left="0.7" right="0.7" top="0.75" bottom="0.75" header="0.3" footer="0.3"/>
    </customSheetView>
  </customSheetViews>
  <mergeCells count="4">
    <mergeCell ref="F5:J5"/>
    <mergeCell ref="C7:C8"/>
    <mergeCell ref="B5:D5"/>
    <mergeCell ref="C2:G3"/>
  </mergeCells>
  <pageMargins left="0.7" right="0.7" top="0.75" bottom="0.75" header="0.3" footer="0.3"/>
  <pageSetup scale="7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7"/>
  <sheetViews>
    <sheetView workbookViewId="0">
      <selection activeCell="K27" sqref="A2:K27"/>
    </sheetView>
  </sheetViews>
  <sheetFormatPr defaultRowHeight="12.75"/>
  <cols>
    <col min="1" max="1" width="9.140625" style="415"/>
    <col min="2" max="2" width="25.28515625" style="415" customWidth="1"/>
    <col min="3" max="3" width="11.5703125" style="415" bestFit="1" customWidth="1"/>
    <col min="4" max="6" width="9.140625" style="415"/>
    <col min="7" max="7" width="18" style="415" customWidth="1"/>
    <col min="8" max="9" width="9.140625" style="415"/>
    <col min="10" max="10" width="24.7109375" style="415" customWidth="1"/>
    <col min="11" max="11" width="11.85546875" style="415" customWidth="1"/>
    <col min="12" max="13" width="9.140625" style="415"/>
    <col min="14" max="14" width="8.42578125" style="415" customWidth="1"/>
    <col min="15" max="15" width="10.140625" style="415" bestFit="1" customWidth="1"/>
    <col min="16" max="262" width="9.140625" style="415"/>
    <col min="263" max="263" width="22.140625" style="415" bestFit="1" customWidth="1"/>
    <col min="264" max="518" width="9.140625" style="415"/>
    <col min="519" max="519" width="22.140625" style="415" bestFit="1" customWidth="1"/>
    <col min="520" max="774" width="9.140625" style="415"/>
    <col min="775" max="775" width="22.140625" style="415" bestFit="1" customWidth="1"/>
    <col min="776" max="1030" width="9.140625" style="415"/>
    <col min="1031" max="1031" width="22.140625" style="415" bestFit="1" customWidth="1"/>
    <col min="1032" max="1286" width="9.140625" style="415"/>
    <col min="1287" max="1287" width="22.140625" style="415" bestFit="1" customWidth="1"/>
    <col min="1288" max="1542" width="9.140625" style="415"/>
    <col min="1543" max="1543" width="22.140625" style="415" bestFit="1" customWidth="1"/>
    <col min="1544" max="1798" width="9.140625" style="415"/>
    <col min="1799" max="1799" width="22.140625" style="415" bestFit="1" customWidth="1"/>
    <col min="1800" max="2054" width="9.140625" style="415"/>
    <col min="2055" max="2055" width="22.140625" style="415" bestFit="1" customWidth="1"/>
    <col min="2056" max="2310" width="9.140625" style="415"/>
    <col min="2311" max="2311" width="22.140625" style="415" bestFit="1" customWidth="1"/>
    <col min="2312" max="2566" width="9.140625" style="415"/>
    <col min="2567" max="2567" width="22.140625" style="415" bestFit="1" customWidth="1"/>
    <col min="2568" max="2822" width="9.140625" style="415"/>
    <col min="2823" max="2823" width="22.140625" style="415" bestFit="1" customWidth="1"/>
    <col min="2824" max="3078" width="9.140625" style="415"/>
    <col min="3079" max="3079" width="22.140625" style="415" bestFit="1" customWidth="1"/>
    <col min="3080" max="3334" width="9.140625" style="415"/>
    <col min="3335" max="3335" width="22.140625" style="415" bestFit="1" customWidth="1"/>
    <col min="3336" max="3590" width="9.140625" style="415"/>
    <col min="3591" max="3591" width="22.140625" style="415" bestFit="1" customWidth="1"/>
    <col min="3592" max="3846" width="9.140625" style="415"/>
    <col min="3847" max="3847" width="22.140625" style="415" bestFit="1" customWidth="1"/>
    <col min="3848" max="4102" width="9.140625" style="415"/>
    <col min="4103" max="4103" width="22.140625" style="415" bestFit="1" customWidth="1"/>
    <col min="4104" max="4358" width="9.140625" style="415"/>
    <col min="4359" max="4359" width="22.140625" style="415" bestFit="1" customWidth="1"/>
    <col min="4360" max="4614" width="9.140625" style="415"/>
    <col min="4615" max="4615" width="22.140625" style="415" bestFit="1" customWidth="1"/>
    <col min="4616" max="4870" width="9.140625" style="415"/>
    <col min="4871" max="4871" width="22.140625" style="415" bestFit="1" customWidth="1"/>
    <col min="4872" max="5126" width="9.140625" style="415"/>
    <col min="5127" max="5127" width="22.140625" style="415" bestFit="1" customWidth="1"/>
    <col min="5128" max="5382" width="9.140625" style="415"/>
    <col min="5383" max="5383" width="22.140625" style="415" bestFit="1" customWidth="1"/>
    <col min="5384" max="5638" width="9.140625" style="415"/>
    <col min="5639" max="5639" width="22.140625" style="415" bestFit="1" customWidth="1"/>
    <col min="5640" max="5894" width="9.140625" style="415"/>
    <col min="5895" max="5895" width="22.140625" style="415" bestFit="1" customWidth="1"/>
    <col min="5896" max="6150" width="9.140625" style="415"/>
    <col min="6151" max="6151" width="22.140625" style="415" bestFit="1" customWidth="1"/>
    <col min="6152" max="6406" width="9.140625" style="415"/>
    <col min="6407" max="6407" width="22.140625" style="415" bestFit="1" customWidth="1"/>
    <col min="6408" max="6662" width="9.140625" style="415"/>
    <col min="6663" max="6663" width="22.140625" style="415" bestFit="1" customWidth="1"/>
    <col min="6664" max="6918" width="9.140625" style="415"/>
    <col min="6919" max="6919" width="22.140625" style="415" bestFit="1" customWidth="1"/>
    <col min="6920" max="7174" width="9.140625" style="415"/>
    <col min="7175" max="7175" width="22.140625" style="415" bestFit="1" customWidth="1"/>
    <col min="7176" max="7430" width="9.140625" style="415"/>
    <col min="7431" max="7431" width="22.140625" style="415" bestFit="1" customWidth="1"/>
    <col min="7432" max="7686" width="9.140625" style="415"/>
    <col min="7687" max="7687" width="22.140625" style="415" bestFit="1" customWidth="1"/>
    <col min="7688" max="7942" width="9.140625" style="415"/>
    <col min="7943" max="7943" width="22.140625" style="415" bestFit="1" customWidth="1"/>
    <col min="7944" max="8198" width="9.140625" style="415"/>
    <col min="8199" max="8199" width="22.140625" style="415" bestFit="1" customWidth="1"/>
    <col min="8200" max="8454" width="9.140625" style="415"/>
    <col min="8455" max="8455" width="22.140625" style="415" bestFit="1" customWidth="1"/>
    <col min="8456" max="8710" width="9.140625" style="415"/>
    <col min="8711" max="8711" width="22.140625" style="415" bestFit="1" customWidth="1"/>
    <col min="8712" max="8966" width="9.140625" style="415"/>
    <col min="8967" max="8967" width="22.140625" style="415" bestFit="1" customWidth="1"/>
    <col min="8968" max="9222" width="9.140625" style="415"/>
    <col min="9223" max="9223" width="22.140625" style="415" bestFit="1" customWidth="1"/>
    <col min="9224" max="9478" width="9.140625" style="415"/>
    <col min="9479" max="9479" width="22.140625" style="415" bestFit="1" customWidth="1"/>
    <col min="9480" max="9734" width="9.140625" style="415"/>
    <col min="9735" max="9735" width="22.140625" style="415" bestFit="1" customWidth="1"/>
    <col min="9736" max="9990" width="9.140625" style="415"/>
    <col min="9991" max="9991" width="22.140625" style="415" bestFit="1" customWidth="1"/>
    <col min="9992" max="10246" width="9.140625" style="415"/>
    <col min="10247" max="10247" width="22.140625" style="415" bestFit="1" customWidth="1"/>
    <col min="10248" max="10502" width="9.140625" style="415"/>
    <col min="10503" max="10503" width="22.140625" style="415" bestFit="1" customWidth="1"/>
    <col min="10504" max="10758" width="9.140625" style="415"/>
    <col min="10759" max="10759" width="22.140625" style="415" bestFit="1" customWidth="1"/>
    <col min="10760" max="11014" width="9.140625" style="415"/>
    <col min="11015" max="11015" width="22.140625" style="415" bestFit="1" customWidth="1"/>
    <col min="11016" max="11270" width="9.140625" style="415"/>
    <col min="11271" max="11271" width="22.140625" style="415" bestFit="1" customWidth="1"/>
    <col min="11272" max="11526" width="9.140625" style="415"/>
    <col min="11527" max="11527" width="22.140625" style="415" bestFit="1" customWidth="1"/>
    <col min="11528" max="11782" width="9.140625" style="415"/>
    <col min="11783" max="11783" width="22.140625" style="415" bestFit="1" customWidth="1"/>
    <col min="11784" max="12038" width="9.140625" style="415"/>
    <col min="12039" max="12039" width="22.140625" style="415" bestFit="1" customWidth="1"/>
    <col min="12040" max="12294" width="9.140625" style="415"/>
    <col min="12295" max="12295" width="22.140625" style="415" bestFit="1" customWidth="1"/>
    <col min="12296" max="12550" width="9.140625" style="415"/>
    <col min="12551" max="12551" width="22.140625" style="415" bestFit="1" customWidth="1"/>
    <col min="12552" max="12806" width="9.140625" style="415"/>
    <col min="12807" max="12807" width="22.140625" style="415" bestFit="1" customWidth="1"/>
    <col min="12808" max="13062" width="9.140625" style="415"/>
    <col min="13063" max="13063" width="22.140625" style="415" bestFit="1" customWidth="1"/>
    <col min="13064" max="13318" width="9.140625" style="415"/>
    <col min="13319" max="13319" width="22.140625" style="415" bestFit="1" customWidth="1"/>
    <col min="13320" max="13574" width="9.140625" style="415"/>
    <col min="13575" max="13575" width="22.140625" style="415" bestFit="1" customWidth="1"/>
    <col min="13576" max="13830" width="9.140625" style="415"/>
    <col min="13831" max="13831" width="22.140625" style="415" bestFit="1" customWidth="1"/>
    <col min="13832" max="14086" width="9.140625" style="415"/>
    <col min="14087" max="14087" width="22.140625" style="415" bestFit="1" customWidth="1"/>
    <col min="14088" max="14342" width="9.140625" style="415"/>
    <col min="14343" max="14343" width="22.140625" style="415" bestFit="1" customWidth="1"/>
    <col min="14344" max="14598" width="9.140625" style="415"/>
    <col min="14599" max="14599" width="22.140625" style="415" bestFit="1" customWidth="1"/>
    <col min="14600" max="14854" width="9.140625" style="415"/>
    <col min="14855" max="14855" width="22.140625" style="415" bestFit="1" customWidth="1"/>
    <col min="14856" max="15110" width="9.140625" style="415"/>
    <col min="15111" max="15111" width="22.140625" style="415" bestFit="1" customWidth="1"/>
    <col min="15112" max="15366" width="9.140625" style="415"/>
    <col min="15367" max="15367" width="22.140625" style="415" bestFit="1" customWidth="1"/>
    <col min="15368" max="15622" width="9.140625" style="415"/>
    <col min="15623" max="15623" width="22.140625" style="415" bestFit="1" customWidth="1"/>
    <col min="15624" max="15878" width="9.140625" style="415"/>
    <col min="15879" max="15879" width="22.140625" style="415" bestFit="1" customWidth="1"/>
    <col min="15880" max="16134" width="9.140625" style="415"/>
    <col min="16135" max="16135" width="22.140625" style="415" bestFit="1" customWidth="1"/>
    <col min="16136" max="16384" width="9.140625" style="415"/>
  </cols>
  <sheetData>
    <row r="1" spans="1:21" ht="15">
      <c r="B1" s="1661"/>
      <c r="C1" s="1661"/>
      <c r="D1" s="1661"/>
      <c r="E1" s="1661"/>
      <c r="F1" s="1661"/>
      <c r="G1" s="1661"/>
      <c r="H1" s="1661"/>
      <c r="I1" s="1661"/>
      <c r="J1" s="1912"/>
      <c r="K1" s="1661"/>
      <c r="L1" s="1661"/>
      <c r="M1" s="1661"/>
      <c r="N1" s="1661"/>
      <c r="O1" s="1661"/>
      <c r="P1" s="1661"/>
      <c r="Q1" s="1661"/>
      <c r="R1" s="1661"/>
      <c r="S1" s="1661"/>
      <c r="T1" s="1661"/>
      <c r="U1" s="1661"/>
    </row>
    <row r="2" spans="1:21" ht="15">
      <c r="B2" s="1661"/>
      <c r="C2" s="1661"/>
      <c r="D2" s="1661"/>
      <c r="E2" s="1661"/>
      <c r="F2" s="1661"/>
      <c r="G2" s="1661"/>
      <c r="H2" s="1661"/>
      <c r="I2" s="1661"/>
      <c r="J2" s="1912"/>
      <c r="K2" s="1661"/>
      <c r="L2" s="1661"/>
      <c r="M2" s="1661"/>
      <c r="N2" s="1661"/>
      <c r="O2" s="1661"/>
      <c r="P2" s="1661"/>
      <c r="Q2" s="1661"/>
      <c r="R2" s="1661"/>
      <c r="S2" s="1661"/>
      <c r="T2" s="1661"/>
      <c r="U2" s="1661"/>
    </row>
    <row r="3" spans="1:21" ht="15.75" thickBot="1">
      <c r="B3" s="1661"/>
      <c r="C3" s="1661"/>
      <c r="D3" s="1661"/>
      <c r="E3" s="1661"/>
      <c r="F3" s="1661"/>
      <c r="G3" s="1661"/>
      <c r="H3" s="1661"/>
      <c r="I3" s="1661"/>
      <c r="J3" s="1912"/>
      <c r="K3" s="1661"/>
      <c r="L3" s="1661"/>
      <c r="M3" s="1661"/>
      <c r="N3" s="1661"/>
      <c r="O3" s="1661"/>
      <c r="P3" s="1661"/>
      <c r="Q3" s="1661"/>
      <c r="R3" s="1661"/>
      <c r="S3" s="1661"/>
      <c r="T3" s="1661"/>
      <c r="U3" s="1661"/>
    </row>
    <row r="4" spans="1:21" ht="15" customHeight="1" thickBot="1">
      <c r="A4" s="1988"/>
      <c r="B4" s="3313" t="s">
        <v>632</v>
      </c>
      <c r="C4" s="3314"/>
      <c r="D4" s="1730"/>
      <c r="E4" s="1731"/>
      <c r="F4" s="1731"/>
      <c r="G4" s="1732"/>
      <c r="H4" s="1661"/>
      <c r="I4" s="1661"/>
      <c r="J4" s="3358" t="s">
        <v>463</v>
      </c>
      <c r="K4" s="3300"/>
      <c r="L4" s="3300"/>
      <c r="M4" s="3300"/>
      <c r="N4" s="3300"/>
      <c r="O4" s="3301"/>
      <c r="P4" s="1661"/>
      <c r="Q4" s="1661"/>
      <c r="R4" s="1661"/>
      <c r="S4" s="1661"/>
      <c r="T4" s="1661"/>
      <c r="U4" s="1661"/>
    </row>
    <row r="5" spans="1:21" ht="30">
      <c r="B5" s="1919" t="s">
        <v>191</v>
      </c>
      <c r="C5" s="1727">
        <f>56596*(1+C16)*(1+C17)</f>
        <v>59788.547656385716</v>
      </c>
      <c r="D5" s="1308" t="s">
        <v>717</v>
      </c>
      <c r="E5" s="1287"/>
      <c r="F5" s="1287"/>
      <c r="G5" s="1345"/>
      <c r="H5" s="1661"/>
      <c r="I5" s="1661"/>
      <c r="J5" s="1913"/>
      <c r="K5" s="1914" t="s">
        <v>341</v>
      </c>
      <c r="L5" s="1915" t="s">
        <v>189</v>
      </c>
      <c r="M5" s="1916" t="s">
        <v>342</v>
      </c>
      <c r="N5" s="1917" t="s">
        <v>190</v>
      </c>
      <c r="O5" s="1918" t="s">
        <v>343</v>
      </c>
      <c r="P5" s="1661"/>
      <c r="Q5" s="1661"/>
      <c r="R5" s="1661"/>
      <c r="S5" s="1661"/>
      <c r="T5" s="1661"/>
      <c r="U5" s="1661"/>
    </row>
    <row r="6" spans="1:21" ht="15">
      <c r="B6" s="1919" t="s">
        <v>68</v>
      </c>
      <c r="C6" s="1727">
        <f>44748*(1+C16)*(1+C17)</f>
        <v>47272.208822672059</v>
      </c>
      <c r="D6" s="1308" t="s">
        <v>717</v>
      </c>
      <c r="E6" s="1290"/>
      <c r="F6" s="1290"/>
      <c r="G6" s="1345"/>
      <c r="H6" s="1661"/>
      <c r="I6" s="1661"/>
      <c r="J6" s="1919" t="s">
        <v>191</v>
      </c>
      <c r="K6" s="1843"/>
      <c r="L6" s="1920">
        <v>21.6</v>
      </c>
      <c r="M6" s="1921">
        <f>C5</f>
        <v>59788.547656385716</v>
      </c>
      <c r="N6" s="1922">
        <f>O21/L6</f>
        <v>0.46296296296296291</v>
      </c>
      <c r="O6" s="1923">
        <f>M6*N6</f>
        <v>27679.883174252642</v>
      </c>
      <c r="P6" s="1661"/>
      <c r="Q6" s="1661"/>
      <c r="R6" s="1661"/>
      <c r="S6" s="1661"/>
      <c r="T6" s="1661"/>
      <c r="U6" s="1661"/>
    </row>
    <row r="7" spans="1:21" ht="15">
      <c r="B7" s="1924" t="s">
        <v>192</v>
      </c>
      <c r="C7" s="1727">
        <f>34503*(1+C16)*(1+C17)</f>
        <v>36449.294292675739</v>
      </c>
      <c r="D7" s="1308" t="s">
        <v>717</v>
      </c>
      <c r="E7" s="1290"/>
      <c r="F7" s="1290"/>
      <c r="G7" s="1733"/>
      <c r="H7" s="1661"/>
      <c r="I7" s="1661"/>
      <c r="J7" s="1919" t="s">
        <v>68</v>
      </c>
      <c r="K7" s="1843"/>
      <c r="L7" s="1920">
        <v>8.83</v>
      </c>
      <c r="M7" s="1921">
        <f>C6</f>
        <v>47272.208822672059</v>
      </c>
      <c r="N7" s="1922">
        <f>O21/L7</f>
        <v>1.1325028312570782</v>
      </c>
      <c r="O7" s="1923">
        <f>M7*N7</f>
        <v>53535.910331451938</v>
      </c>
      <c r="P7" s="1661"/>
      <c r="Q7" s="1661"/>
      <c r="R7" s="1661"/>
      <c r="S7" s="1661"/>
      <c r="T7" s="1661"/>
      <c r="U7" s="1661"/>
    </row>
    <row r="8" spans="1:21" ht="15">
      <c r="B8" s="1924" t="s">
        <v>193</v>
      </c>
      <c r="C8" s="1962">
        <f>30797*(1+C16)*(1+C17)</f>
        <v>32534.240974162676</v>
      </c>
      <c r="D8" s="1308" t="s">
        <v>717</v>
      </c>
      <c r="E8" s="1342"/>
      <c r="F8" s="1342"/>
      <c r="G8" s="1734"/>
      <c r="H8" s="1661"/>
      <c r="I8" s="1661"/>
      <c r="J8" s="1924" t="s">
        <v>192</v>
      </c>
      <c r="K8" s="1843"/>
      <c r="L8" s="1920">
        <v>8.83</v>
      </c>
      <c r="M8" s="1921">
        <f>C7</f>
        <v>36449.294292675739</v>
      </c>
      <c r="N8" s="1922">
        <f>O21/L8</f>
        <v>1.1325028312570782</v>
      </c>
      <c r="O8" s="1923">
        <f>M8*N8</f>
        <v>41278.928983777732</v>
      </c>
      <c r="P8" s="1661"/>
      <c r="Q8" s="1661"/>
      <c r="R8" s="1661"/>
      <c r="S8" s="1661"/>
      <c r="T8" s="1661"/>
      <c r="U8" s="1661"/>
    </row>
    <row r="9" spans="1:21" ht="15">
      <c r="B9" s="1311"/>
      <c r="C9" s="1727"/>
      <c r="D9" s="1308"/>
      <c r="E9" s="1329"/>
      <c r="F9" s="1329"/>
      <c r="G9" s="1734"/>
      <c r="H9" s="1661"/>
      <c r="I9" s="1661"/>
      <c r="J9" s="1924" t="s">
        <v>193</v>
      </c>
      <c r="K9" s="1844"/>
      <c r="L9" s="1920">
        <v>40</v>
      </c>
      <c r="M9" s="1921">
        <f>C8</f>
        <v>32534.240974162676</v>
      </c>
      <c r="N9" s="1922">
        <f>O21/L9</f>
        <v>0.25</v>
      </c>
      <c r="O9" s="1923">
        <f>M9*N9</f>
        <v>8133.560243540669</v>
      </c>
      <c r="P9" s="1661"/>
      <c r="Q9" s="1661"/>
      <c r="R9" s="1661"/>
      <c r="S9" s="1661"/>
      <c r="T9" s="1661"/>
      <c r="U9" s="1661"/>
    </row>
    <row r="10" spans="1:21" ht="15">
      <c r="B10" s="3315" t="s">
        <v>240</v>
      </c>
      <c r="C10" s="3316"/>
      <c r="D10" s="3311"/>
      <c r="E10" s="3312"/>
      <c r="F10" s="3312"/>
      <c r="G10" s="1734"/>
      <c r="H10" s="1661"/>
      <c r="I10" s="1661"/>
      <c r="J10" s="1671" t="s">
        <v>194</v>
      </c>
      <c r="K10" s="1925"/>
      <c r="L10" s="1926"/>
      <c r="M10" s="1927"/>
      <c r="N10" s="1928">
        <f>SUM(N6:N9)</f>
        <v>2.9779686254771196</v>
      </c>
      <c r="O10" s="1929">
        <f>SUM(O6:O9)</f>
        <v>130628.28273302299</v>
      </c>
      <c r="P10" s="1661"/>
      <c r="Q10" s="1661"/>
      <c r="R10" s="1661"/>
      <c r="S10" s="1661"/>
      <c r="T10" s="1661"/>
      <c r="U10" s="1661"/>
    </row>
    <row r="11" spans="1:21" ht="15">
      <c r="B11" s="1352" t="s">
        <v>196</v>
      </c>
      <c r="C11" s="1964">
        <v>0.24</v>
      </c>
      <c r="D11" s="1736" t="s">
        <v>718</v>
      </c>
      <c r="E11" s="1329"/>
      <c r="F11" s="1329"/>
      <c r="G11" s="1734"/>
      <c r="H11" s="1661"/>
      <c r="I11" s="1661"/>
      <c r="J11" s="1670"/>
      <c r="K11" s="1930"/>
      <c r="L11" s="1931"/>
      <c r="M11" s="1932"/>
      <c r="N11" s="1933"/>
      <c r="O11" s="1934"/>
      <c r="P11" s="1661"/>
      <c r="Q11" s="1661"/>
      <c r="R11" s="1661"/>
      <c r="S11" s="1661"/>
      <c r="T11" s="1661"/>
      <c r="U11" s="1661"/>
    </row>
    <row r="12" spans="1:21" ht="15">
      <c r="B12" s="1308" t="s">
        <v>199</v>
      </c>
      <c r="C12" s="1963">
        <f>32718*(1+C16)*(1+C17)</f>
        <v>34563.60347412587</v>
      </c>
      <c r="D12" s="1737" t="s">
        <v>719</v>
      </c>
      <c r="E12" s="1329"/>
      <c r="F12" s="1330"/>
      <c r="G12" s="1378"/>
      <c r="H12" s="1661"/>
      <c r="I12" s="1661"/>
      <c r="J12" s="1913" t="s">
        <v>195</v>
      </c>
      <c r="K12" s="1935"/>
      <c r="L12" s="1936"/>
      <c r="M12" s="1936"/>
      <c r="N12" s="1917"/>
      <c r="O12" s="1937"/>
      <c r="P12" s="1661"/>
      <c r="Q12" s="1661"/>
      <c r="R12" s="1661"/>
      <c r="S12" s="1661"/>
      <c r="T12" s="1661"/>
      <c r="U12" s="1661"/>
    </row>
    <row r="13" spans="1:21" ht="15">
      <c r="B13" s="1967" t="s">
        <v>547</v>
      </c>
      <c r="C13" s="1965">
        <v>0.12</v>
      </c>
      <c r="D13" s="1736" t="s">
        <v>718</v>
      </c>
      <c r="E13" s="1330"/>
      <c r="F13" s="1330"/>
      <c r="G13" s="1734"/>
      <c r="H13" s="1661"/>
      <c r="I13" s="1661"/>
      <c r="J13" s="1677" t="s">
        <v>196</v>
      </c>
      <c r="K13" s="1938">
        <v>0.23959019297518935</v>
      </c>
      <c r="L13" s="1939" t="s">
        <v>197</v>
      </c>
      <c r="M13" s="1940"/>
      <c r="N13" s="1941"/>
      <c r="O13" s="1923">
        <f>K13*O10</f>
        <v>31297.255468022573</v>
      </c>
      <c r="P13" s="1661"/>
      <c r="Q13" s="1661"/>
      <c r="R13" s="1661"/>
      <c r="S13" s="1661"/>
      <c r="T13" s="1661"/>
      <c r="U13" s="1661"/>
    </row>
    <row r="14" spans="1:21" ht="15">
      <c r="B14" s="1742" t="s">
        <v>653</v>
      </c>
      <c r="C14" s="1740">
        <v>6.3E-3</v>
      </c>
      <c r="D14" s="1741" t="s">
        <v>654</v>
      </c>
      <c r="E14" s="1287"/>
      <c r="F14" s="1329"/>
      <c r="G14" s="1734"/>
      <c r="H14" s="1661"/>
      <c r="I14" s="1661"/>
      <c r="J14" s="1678" t="s">
        <v>198</v>
      </c>
      <c r="K14" s="1942"/>
      <c r="L14" s="1943"/>
      <c r="M14" s="1943"/>
      <c r="N14" s="1944"/>
      <c r="O14" s="1945">
        <f>O10+O13</f>
        <v>161925.53820104557</v>
      </c>
      <c r="P14" s="1661"/>
      <c r="Q14" s="1661"/>
      <c r="R14" s="1661"/>
      <c r="S14" s="1661"/>
      <c r="T14" s="1661"/>
      <c r="U14" s="1661"/>
    </row>
    <row r="15" spans="1:21" ht="15">
      <c r="B15" s="1308" t="s">
        <v>716</v>
      </c>
      <c r="C15" s="1726">
        <f>'Spring 2019 CAF'!BU25</f>
        <v>1.8120393120392975E-2</v>
      </c>
      <c r="D15" s="1739" t="s">
        <v>652</v>
      </c>
      <c r="E15" s="1287"/>
      <c r="F15" s="1329"/>
      <c r="G15" s="1734"/>
      <c r="H15" s="1661"/>
      <c r="I15" s="1661"/>
      <c r="J15" s="1667"/>
      <c r="K15" s="1946"/>
      <c r="L15" s="1939"/>
      <c r="M15" s="1938"/>
      <c r="N15" s="1922"/>
      <c r="O15" s="1937"/>
      <c r="P15" s="1661"/>
      <c r="Q15" s="1661"/>
      <c r="R15" s="1661"/>
      <c r="S15" s="1661"/>
      <c r="T15" s="1661"/>
      <c r="U15" s="1661"/>
    </row>
    <row r="16" spans="1:21" ht="15">
      <c r="B16" s="1437" t="s">
        <v>715</v>
      </c>
      <c r="C16" s="1966">
        <v>2.7235921972764018E-2</v>
      </c>
      <c r="D16" s="1739" t="s">
        <v>523</v>
      </c>
      <c r="E16" s="1287"/>
      <c r="F16" s="1329"/>
      <c r="G16" s="1345"/>
      <c r="H16" s="1661"/>
      <c r="I16" s="1661"/>
      <c r="J16" s="1667" t="s">
        <v>199</v>
      </c>
      <c r="K16" s="1689"/>
      <c r="L16" s="1921"/>
      <c r="M16" s="1921"/>
      <c r="N16" s="1922"/>
      <c r="O16" s="1947">
        <f>C12</f>
        <v>34563.60347412587</v>
      </c>
      <c r="P16" s="1661"/>
      <c r="Q16" s="1661"/>
      <c r="R16" s="1661"/>
      <c r="S16" s="1661"/>
      <c r="T16" s="1661"/>
      <c r="U16" s="1661"/>
    </row>
    <row r="17" spans="2:21" ht="15.75" thickBot="1">
      <c r="B17" s="1968" t="s">
        <v>722</v>
      </c>
      <c r="C17" s="1969">
        <v>2.8400000000000002E-2</v>
      </c>
      <c r="D17" s="1663"/>
      <c r="E17" s="1664"/>
      <c r="F17" s="1664"/>
      <c r="G17" s="1665"/>
      <c r="H17" s="1661"/>
      <c r="I17" s="1661"/>
      <c r="J17" s="1678" t="s">
        <v>200</v>
      </c>
      <c r="K17" s="1942"/>
      <c r="L17" s="1943"/>
      <c r="M17" s="1943"/>
      <c r="N17" s="1944"/>
      <c r="O17" s="1945">
        <f>O14+O16</f>
        <v>196489.14167517144</v>
      </c>
      <c r="P17" s="1661"/>
      <c r="Q17" s="1661"/>
      <c r="R17" s="1661"/>
      <c r="S17" s="1661"/>
      <c r="T17" s="1661"/>
      <c r="U17" s="1661"/>
    </row>
    <row r="18" spans="2:21" ht="15">
      <c r="B18" s="1661"/>
      <c r="C18" s="1661"/>
      <c r="D18" s="1661"/>
      <c r="E18" s="1661"/>
      <c r="F18" s="1661"/>
      <c r="G18" s="1661"/>
      <c r="H18" s="1661"/>
      <c r="I18" s="1661"/>
      <c r="J18" s="1667" t="s">
        <v>201</v>
      </c>
      <c r="K18" s="1948">
        <v>0.12316736039385787</v>
      </c>
      <c r="L18" s="1921"/>
      <c r="M18" s="1921"/>
      <c r="N18" s="1922"/>
      <c r="O18" s="1947">
        <f>K18*O17</f>
        <v>24201.048926185638</v>
      </c>
      <c r="P18" s="1661"/>
      <c r="Q18" s="1661"/>
      <c r="R18" s="1661"/>
      <c r="S18" s="1661"/>
      <c r="T18" s="1661"/>
      <c r="U18" s="1661"/>
    </row>
    <row r="19" spans="2:21" ht="15">
      <c r="B19" s="1661"/>
      <c r="C19" s="1661"/>
      <c r="D19" s="1661"/>
      <c r="E19" s="1661"/>
      <c r="F19" s="1661"/>
      <c r="G19" s="1661"/>
      <c r="H19" s="1661"/>
      <c r="I19" s="1661"/>
      <c r="J19" s="1971" t="str">
        <f>B14</f>
        <v>PFMLA</v>
      </c>
      <c r="K19" s="1972">
        <f>C14</f>
        <v>6.3E-3</v>
      </c>
      <c r="L19" s="1973"/>
      <c r="M19" s="1973"/>
      <c r="N19" s="1974"/>
      <c r="O19" s="1970">
        <f>K19*O17</f>
        <v>1237.88159255358</v>
      </c>
      <c r="P19" s="1661"/>
      <c r="Q19" s="1661"/>
      <c r="R19" s="1661"/>
      <c r="S19" s="1661"/>
      <c r="T19" s="1661"/>
      <c r="U19" s="1661"/>
    </row>
    <row r="20" spans="2:21" ht="15.75" thickBot="1">
      <c r="B20" s="1661"/>
      <c r="C20" s="1661"/>
      <c r="D20" s="1661"/>
      <c r="E20" s="1661"/>
      <c r="F20" s="1661"/>
      <c r="G20" s="1661"/>
      <c r="H20" s="1661"/>
      <c r="I20" s="1661"/>
      <c r="J20" s="1949" t="s">
        <v>203</v>
      </c>
      <c r="K20" s="1950"/>
      <c r="L20" s="1951"/>
      <c r="M20" s="1951"/>
      <c r="N20" s="1952"/>
      <c r="O20" s="1953">
        <f>SUM(O17:O19)</f>
        <v>221928.07219391066</v>
      </c>
      <c r="P20" s="1661"/>
      <c r="Q20" s="1661"/>
      <c r="R20" s="1661"/>
      <c r="S20" s="1661"/>
      <c r="T20" s="1661"/>
      <c r="U20" s="1661"/>
    </row>
    <row r="21" spans="2:21" ht="15.75" thickTop="1">
      <c r="B21" s="1661"/>
      <c r="C21" s="1661"/>
      <c r="D21" s="1661"/>
      <c r="E21" s="1661"/>
      <c r="F21" s="1661"/>
      <c r="G21" s="1661"/>
      <c r="H21" s="1661"/>
      <c r="I21" s="1661"/>
      <c r="J21" s="1677" t="s">
        <v>332</v>
      </c>
      <c r="K21" s="1676"/>
      <c r="L21" s="1676"/>
      <c r="M21" s="1676"/>
      <c r="N21" s="1668"/>
      <c r="O21" s="1954">
        <v>10</v>
      </c>
      <c r="P21" s="1661"/>
      <c r="Q21" s="1661"/>
      <c r="R21" s="1661"/>
      <c r="S21" s="1661"/>
      <c r="T21" s="1661"/>
      <c r="U21" s="1661"/>
    </row>
    <row r="22" spans="2:21" ht="15">
      <c r="B22" s="1661"/>
      <c r="C22" s="1661"/>
      <c r="D22" s="1661"/>
      <c r="E22" s="1661"/>
      <c r="F22" s="1661"/>
      <c r="G22" s="1661"/>
      <c r="H22" s="1661"/>
      <c r="I22" s="1661"/>
      <c r="J22" s="1677" t="s">
        <v>204</v>
      </c>
      <c r="K22" s="1935"/>
      <c r="L22" s="1936"/>
      <c r="M22" s="1936"/>
      <c r="N22" s="1955"/>
      <c r="O22" s="1956"/>
      <c r="P22" s="1661"/>
      <c r="Q22" s="1661"/>
      <c r="R22" s="1661"/>
      <c r="S22" s="1661"/>
      <c r="T22" s="1661"/>
      <c r="U22" s="1661"/>
    </row>
    <row r="23" spans="2:21" ht="15.75" thickBot="1">
      <c r="B23" s="1661"/>
      <c r="C23" s="1661"/>
      <c r="D23" s="1661"/>
      <c r="E23" s="1661"/>
      <c r="F23" s="1661"/>
      <c r="G23" s="1661"/>
      <c r="H23" s="1661"/>
      <c r="I23" s="1661"/>
      <c r="J23" s="1957" t="s">
        <v>205</v>
      </c>
      <c r="K23" s="1958">
        <f>C15</f>
        <v>1.8120393120392975E-2</v>
      </c>
      <c r="L23" s="1959"/>
      <c r="M23" s="1959"/>
      <c r="N23" s="1960"/>
      <c r="O23" s="1961">
        <f>O20/10/360</f>
        <v>61.646686720530738</v>
      </c>
      <c r="P23" s="1661"/>
      <c r="Q23" s="1661"/>
      <c r="R23" s="1661"/>
      <c r="S23" s="1661"/>
      <c r="T23" s="1661"/>
      <c r="U23" s="1661"/>
    </row>
    <row r="24" spans="2:21" ht="15">
      <c r="B24" s="1661"/>
      <c r="C24" s="1661"/>
      <c r="D24" s="1661"/>
      <c r="E24" s="1661"/>
      <c r="F24" s="1661"/>
      <c r="G24" s="1661"/>
      <c r="H24" s="1661"/>
      <c r="I24" s="1661"/>
      <c r="J24" s="1661"/>
      <c r="K24" s="1661"/>
      <c r="L24" s="1661"/>
      <c r="M24" s="1661"/>
      <c r="N24" s="1661"/>
      <c r="O24" s="1661">
        <v>60.48</v>
      </c>
      <c r="P24" s="1694">
        <f>(O23-O24)/O24</f>
        <v>1.9290455035230511E-2</v>
      </c>
      <c r="Q24" s="1661"/>
      <c r="R24" s="1661"/>
      <c r="S24" s="1661"/>
      <c r="T24" s="1661"/>
      <c r="U24" s="1661"/>
    </row>
    <row r="25" spans="2:21" ht="15">
      <c r="B25" s="1661"/>
      <c r="C25" s="1661"/>
      <c r="D25" s="1661"/>
      <c r="E25" s="1661"/>
      <c r="F25" s="1661"/>
      <c r="G25" s="1661"/>
      <c r="H25" s="1661"/>
      <c r="I25" s="1661"/>
      <c r="J25" s="1661"/>
      <c r="K25" s="1661"/>
      <c r="L25" s="1661"/>
      <c r="M25" s="1661"/>
      <c r="N25" s="1661"/>
      <c r="O25" s="1661"/>
      <c r="P25" s="1661"/>
      <c r="Q25" s="1661"/>
      <c r="R25" s="1661"/>
      <c r="S25" s="1661"/>
      <c r="T25" s="1661"/>
      <c r="U25" s="1661"/>
    </row>
    <row r="26" spans="2:21" ht="15">
      <c r="B26" s="1661"/>
      <c r="C26" s="1661"/>
      <c r="D26" s="1661"/>
      <c r="E26" s="1661"/>
      <c r="F26" s="1661"/>
      <c r="G26" s="1661"/>
      <c r="H26" s="1661"/>
      <c r="I26" s="1661"/>
      <c r="J26" s="1661"/>
      <c r="K26" s="1661"/>
      <c r="L26" s="1661"/>
      <c r="M26" s="1661"/>
      <c r="N26" s="1661"/>
      <c r="O26" s="1661"/>
      <c r="P26" s="1661"/>
      <c r="Q26" s="1661"/>
      <c r="R26" s="1661"/>
      <c r="S26" s="1661"/>
      <c r="T26" s="1661"/>
      <c r="U26" s="1661"/>
    </row>
    <row r="27" spans="2:21" ht="15">
      <c r="B27" s="1661"/>
      <c r="C27" s="1661"/>
      <c r="D27" s="1661"/>
      <c r="E27" s="1661"/>
      <c r="F27" s="1661"/>
      <c r="G27" s="1661"/>
      <c r="H27" s="1661"/>
      <c r="I27" s="1661"/>
      <c r="J27" s="1661"/>
      <c r="K27" s="1661"/>
      <c r="L27" s="1661"/>
      <c r="M27" s="1661"/>
      <c r="N27" s="1661"/>
      <c r="O27" s="1661"/>
      <c r="P27" s="1661"/>
      <c r="Q27" s="1661"/>
      <c r="R27" s="1661"/>
      <c r="S27" s="1661"/>
      <c r="T27" s="1661"/>
      <c r="U27" s="1661"/>
    </row>
    <row r="28" spans="2:21" ht="15">
      <c r="B28" s="1661"/>
      <c r="C28" s="1661"/>
      <c r="D28" s="1661"/>
      <c r="E28" s="1661"/>
      <c r="F28" s="1661"/>
      <c r="G28" s="1661"/>
      <c r="H28" s="1661"/>
      <c r="I28" s="1661"/>
      <c r="J28" s="1661"/>
      <c r="K28" s="1661"/>
      <c r="L28" s="1661"/>
      <c r="M28" s="1661"/>
      <c r="N28" s="1661"/>
      <c r="O28" s="1661"/>
      <c r="P28" s="1661"/>
      <c r="Q28" s="1661"/>
      <c r="R28" s="1661"/>
      <c r="S28" s="1661"/>
      <c r="T28" s="1661"/>
      <c r="U28" s="1661"/>
    </row>
    <row r="29" spans="2:21" ht="15">
      <c r="B29" s="1661"/>
      <c r="C29" s="1661"/>
      <c r="D29" s="1661"/>
      <c r="E29" s="1661"/>
      <c r="F29" s="1661"/>
      <c r="G29" s="1661"/>
      <c r="H29" s="1661"/>
      <c r="I29" s="1661"/>
      <c r="J29" s="1661"/>
      <c r="K29" s="1661"/>
      <c r="L29" s="1661"/>
      <c r="M29" s="1661"/>
      <c r="N29" s="1661"/>
      <c r="O29" s="1661"/>
      <c r="P29" s="1661"/>
      <c r="Q29" s="1661"/>
      <c r="R29" s="1661"/>
      <c r="S29" s="1661"/>
      <c r="T29" s="1661"/>
      <c r="U29" s="1661"/>
    </row>
    <row r="30" spans="2:21" ht="15">
      <c r="B30" s="1661"/>
      <c r="C30" s="1661"/>
      <c r="D30" s="1661"/>
      <c r="E30" s="1661"/>
      <c r="F30" s="1661"/>
      <c r="G30" s="1661"/>
      <c r="H30" s="1661"/>
      <c r="I30" s="1661"/>
      <c r="J30" s="1661"/>
      <c r="K30" s="1661"/>
      <c r="L30" s="1661"/>
      <c r="M30" s="1661"/>
      <c r="N30" s="1661"/>
      <c r="O30" s="1661"/>
      <c r="P30" s="1661"/>
      <c r="Q30" s="1661"/>
      <c r="R30" s="1661"/>
      <c r="S30" s="1661"/>
      <c r="T30" s="1661"/>
      <c r="U30" s="1661"/>
    </row>
    <row r="31" spans="2:21" ht="15">
      <c r="B31" s="1661"/>
      <c r="C31" s="1661"/>
      <c r="D31" s="1661"/>
      <c r="E31" s="1661"/>
      <c r="F31" s="1661"/>
      <c r="G31" s="1661"/>
      <c r="H31" s="1661"/>
      <c r="I31" s="1661"/>
      <c r="J31" s="1661"/>
      <c r="K31" s="1661"/>
      <c r="L31" s="1661"/>
      <c r="M31" s="1661"/>
      <c r="N31" s="1661"/>
      <c r="O31" s="1661"/>
      <c r="P31" s="1661"/>
      <c r="Q31" s="1661"/>
      <c r="R31" s="1661"/>
      <c r="S31" s="1661"/>
      <c r="T31" s="1661"/>
      <c r="U31" s="1661"/>
    </row>
    <row r="32" spans="2:21" ht="15">
      <c r="B32" s="1661"/>
      <c r="C32" s="1661"/>
      <c r="D32" s="1661"/>
      <c r="E32" s="1661"/>
      <c r="F32" s="1661"/>
      <c r="G32" s="1661"/>
      <c r="H32" s="1661"/>
      <c r="I32" s="1661"/>
      <c r="J32" s="1661"/>
      <c r="K32" s="1661"/>
      <c r="L32" s="1661"/>
      <c r="M32" s="1661"/>
      <c r="N32" s="1661"/>
      <c r="O32" s="1661"/>
      <c r="P32" s="1661"/>
      <c r="Q32" s="1661"/>
      <c r="R32" s="1661"/>
      <c r="S32" s="1661"/>
      <c r="T32" s="1661"/>
      <c r="U32" s="1661"/>
    </row>
    <row r="33" spans="2:21" ht="15">
      <c r="B33" s="1661"/>
      <c r="C33" s="1661"/>
      <c r="D33" s="1661"/>
      <c r="E33" s="1661"/>
      <c r="F33" s="1661"/>
      <c r="G33" s="1661"/>
      <c r="H33" s="1661"/>
      <c r="I33" s="1661"/>
      <c r="J33" s="1661"/>
      <c r="K33" s="1661"/>
      <c r="L33" s="1661"/>
      <c r="M33" s="1661"/>
      <c r="N33" s="1661"/>
      <c r="O33" s="1661"/>
      <c r="P33" s="1661"/>
      <c r="Q33" s="1661"/>
      <c r="R33" s="1661"/>
      <c r="S33" s="1661"/>
      <c r="T33" s="1661"/>
      <c r="U33" s="1661"/>
    </row>
    <row r="34" spans="2:21" ht="15">
      <c r="B34" s="1661"/>
      <c r="C34" s="1661"/>
      <c r="D34" s="1661"/>
      <c r="E34" s="1661"/>
      <c r="F34" s="1661"/>
      <c r="G34" s="1661"/>
      <c r="H34" s="1661"/>
      <c r="I34" s="1661"/>
      <c r="J34" s="1661"/>
      <c r="K34" s="1661"/>
      <c r="L34" s="1661"/>
      <c r="M34" s="1661"/>
      <c r="N34" s="1661"/>
      <c r="O34" s="1661"/>
      <c r="P34" s="1661"/>
      <c r="Q34" s="1661"/>
      <c r="R34" s="1661"/>
      <c r="S34" s="1661"/>
      <c r="T34" s="1661"/>
      <c r="U34" s="1661"/>
    </row>
    <row r="35" spans="2:21" ht="15">
      <c r="H35" s="1661"/>
      <c r="I35" s="1661"/>
      <c r="J35" s="1661"/>
      <c r="K35" s="1661"/>
      <c r="L35" s="1661"/>
      <c r="M35" s="1661"/>
      <c r="N35" s="1661"/>
      <c r="O35" s="1661"/>
      <c r="P35" s="1661"/>
      <c r="Q35" s="1661"/>
      <c r="R35" s="1661"/>
      <c r="S35" s="1661"/>
      <c r="T35" s="1661"/>
      <c r="U35" s="1661"/>
    </row>
    <row r="36" spans="2:21" ht="15">
      <c r="H36" s="1661"/>
      <c r="I36" s="1661"/>
      <c r="J36" s="1661"/>
      <c r="K36" s="1661"/>
      <c r="L36" s="1661"/>
      <c r="M36" s="1661"/>
      <c r="N36" s="1661"/>
      <c r="O36" s="1661"/>
      <c r="P36" s="1661"/>
      <c r="Q36" s="1661"/>
      <c r="R36" s="1661"/>
      <c r="S36" s="1661"/>
      <c r="T36" s="1661"/>
      <c r="U36" s="1661"/>
    </row>
    <row r="37" spans="2:21" ht="15">
      <c r="H37" s="1661"/>
      <c r="I37" s="1661"/>
      <c r="J37" s="1661"/>
      <c r="K37" s="1661"/>
      <c r="L37" s="1661"/>
      <c r="M37" s="1661"/>
      <c r="N37" s="1661"/>
      <c r="O37" s="1661"/>
      <c r="P37" s="1661"/>
      <c r="Q37" s="1661"/>
      <c r="R37" s="1661"/>
      <c r="S37" s="1661"/>
      <c r="T37" s="1661"/>
      <c r="U37" s="1661"/>
    </row>
  </sheetData>
  <customSheetViews>
    <customSheetView guid="{4C1AD9FE-DB97-4D30-8CF1-D476DD376A5A}">
      <selection activeCell="F28" sqref="F28"/>
      <pageMargins left="0.75" right="0.75" top="1" bottom="1" header="0.5" footer="0.5"/>
      <pageSetup orientation="portrait" r:id="rId1"/>
      <headerFooter alignWithMargins="0"/>
    </customSheetView>
    <customSheetView guid="{6A16E15D-0E79-4250-8AEC-339F57F63027}">
      <selection activeCell="F28" sqref="F28"/>
      <pageMargins left="0.75" right="0.75" top="1" bottom="1" header="0.5" footer="0.5"/>
      <pageSetup orientation="portrait" r:id="rId2"/>
      <headerFooter alignWithMargins="0"/>
    </customSheetView>
  </customSheetViews>
  <mergeCells count="4">
    <mergeCell ref="J4:O4"/>
    <mergeCell ref="B4:C4"/>
    <mergeCell ref="B10:C10"/>
    <mergeCell ref="D10:F10"/>
  </mergeCells>
  <pageMargins left="0.75" right="0.75" top="1" bottom="1" header="0.5" footer="0.5"/>
  <pageSetup scale="66" orientation="landscape" r:id="rId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0"/>
  <sheetViews>
    <sheetView topLeftCell="G1" workbookViewId="0">
      <selection activeCell="K27" sqref="A2:K27"/>
    </sheetView>
  </sheetViews>
  <sheetFormatPr defaultRowHeight="12.75"/>
  <cols>
    <col min="1" max="1" width="26.140625" style="449" customWidth="1"/>
    <col min="2" max="2" width="24.85546875" style="696" customWidth="1"/>
    <col min="3" max="3" width="11.5703125" style="449" bestFit="1" customWidth="1"/>
    <col min="4" max="4" width="9.7109375" style="691" customWidth="1"/>
    <col min="5" max="5" width="12" style="692" customWidth="1"/>
    <col min="6" max="7" width="10.85546875" style="692" customWidth="1"/>
    <col min="8" max="8" width="38" style="449" customWidth="1"/>
    <col min="9" max="9" width="12" style="449" customWidth="1"/>
    <col min="10" max="10" width="28.7109375" style="449" customWidth="1"/>
    <col min="11" max="14" width="9.140625" style="449"/>
    <col min="15" max="15" width="16.85546875" style="449" customWidth="1"/>
    <col min="16" max="16" width="9.140625" style="449"/>
    <col min="17" max="17" width="23.5703125" style="449" bestFit="1" customWidth="1"/>
    <col min="18" max="21" width="9.140625" style="449"/>
    <col min="22" max="22" width="11" style="449" bestFit="1" customWidth="1"/>
    <col min="23" max="255" width="9.140625" style="449"/>
    <col min="256" max="256" width="26.140625" style="449" customWidth="1"/>
    <col min="257" max="257" width="27" style="449" customWidth="1"/>
    <col min="258" max="258" width="11.5703125" style="449" bestFit="1" customWidth="1"/>
    <col min="259" max="259" width="9.7109375" style="449" customWidth="1"/>
    <col min="260" max="260" width="12" style="449" customWidth="1"/>
    <col min="261" max="261" width="38" style="449" customWidth="1"/>
    <col min="262" max="262" width="12" style="449" customWidth="1"/>
    <col min="263" max="511" width="9.140625" style="449"/>
    <col min="512" max="512" width="26.140625" style="449" customWidth="1"/>
    <col min="513" max="513" width="27" style="449" customWidth="1"/>
    <col min="514" max="514" width="11.5703125" style="449" bestFit="1" customWidth="1"/>
    <col min="515" max="515" width="9.7109375" style="449" customWidth="1"/>
    <col min="516" max="516" width="12" style="449" customWidth="1"/>
    <col min="517" max="517" width="38" style="449" customWidth="1"/>
    <col min="518" max="518" width="12" style="449" customWidth="1"/>
    <col min="519" max="767" width="9.140625" style="449"/>
    <col min="768" max="768" width="26.140625" style="449" customWidth="1"/>
    <col min="769" max="769" width="27" style="449" customWidth="1"/>
    <col min="770" max="770" width="11.5703125" style="449" bestFit="1" customWidth="1"/>
    <col min="771" max="771" width="9.7109375" style="449" customWidth="1"/>
    <col min="772" max="772" width="12" style="449" customWidth="1"/>
    <col min="773" max="773" width="38" style="449" customWidth="1"/>
    <col min="774" max="774" width="12" style="449" customWidth="1"/>
    <col min="775" max="1023" width="9.140625" style="449"/>
    <col min="1024" max="1024" width="26.140625" style="449" customWidth="1"/>
    <col min="1025" max="1025" width="27" style="449" customWidth="1"/>
    <col min="1026" max="1026" width="11.5703125" style="449" bestFit="1" customWidth="1"/>
    <col min="1027" max="1027" width="9.7109375" style="449" customWidth="1"/>
    <col min="1028" max="1028" width="12" style="449" customWidth="1"/>
    <col min="1029" max="1029" width="38" style="449" customWidth="1"/>
    <col min="1030" max="1030" width="12" style="449" customWidth="1"/>
    <col min="1031" max="1279" width="9.140625" style="449"/>
    <col min="1280" max="1280" width="26.140625" style="449" customWidth="1"/>
    <col min="1281" max="1281" width="27" style="449" customWidth="1"/>
    <col min="1282" max="1282" width="11.5703125" style="449" bestFit="1" customWidth="1"/>
    <col min="1283" max="1283" width="9.7109375" style="449" customWidth="1"/>
    <col min="1284" max="1284" width="12" style="449" customWidth="1"/>
    <col min="1285" max="1285" width="38" style="449" customWidth="1"/>
    <col min="1286" max="1286" width="12" style="449" customWidth="1"/>
    <col min="1287" max="1535" width="9.140625" style="449"/>
    <col min="1536" max="1536" width="26.140625" style="449" customWidth="1"/>
    <col min="1537" max="1537" width="27" style="449" customWidth="1"/>
    <col min="1538" max="1538" width="11.5703125" style="449" bestFit="1" customWidth="1"/>
    <col min="1539" max="1539" width="9.7109375" style="449" customWidth="1"/>
    <col min="1540" max="1540" width="12" style="449" customWidth="1"/>
    <col min="1541" max="1541" width="38" style="449" customWidth="1"/>
    <col min="1542" max="1542" width="12" style="449" customWidth="1"/>
    <col min="1543" max="1791" width="9.140625" style="449"/>
    <col min="1792" max="1792" width="26.140625" style="449" customWidth="1"/>
    <col min="1793" max="1793" width="27" style="449" customWidth="1"/>
    <col min="1794" max="1794" width="11.5703125" style="449" bestFit="1" customWidth="1"/>
    <col min="1795" max="1795" width="9.7109375" style="449" customWidth="1"/>
    <col min="1796" max="1796" width="12" style="449" customWidth="1"/>
    <col min="1797" max="1797" width="38" style="449" customWidth="1"/>
    <col min="1798" max="1798" width="12" style="449" customWidth="1"/>
    <col min="1799" max="2047" width="9.140625" style="449"/>
    <col min="2048" max="2048" width="26.140625" style="449" customWidth="1"/>
    <col min="2049" max="2049" width="27" style="449" customWidth="1"/>
    <col min="2050" max="2050" width="11.5703125" style="449" bestFit="1" customWidth="1"/>
    <col min="2051" max="2051" width="9.7109375" style="449" customWidth="1"/>
    <col min="2052" max="2052" width="12" style="449" customWidth="1"/>
    <col min="2053" max="2053" width="38" style="449" customWidth="1"/>
    <col min="2054" max="2054" width="12" style="449" customWidth="1"/>
    <col min="2055" max="2303" width="9.140625" style="449"/>
    <col min="2304" max="2304" width="26.140625" style="449" customWidth="1"/>
    <col min="2305" max="2305" width="27" style="449" customWidth="1"/>
    <col min="2306" max="2306" width="11.5703125" style="449" bestFit="1" customWidth="1"/>
    <col min="2307" max="2307" width="9.7109375" style="449" customWidth="1"/>
    <col min="2308" max="2308" width="12" style="449" customWidth="1"/>
    <col min="2309" max="2309" width="38" style="449" customWidth="1"/>
    <col min="2310" max="2310" width="12" style="449" customWidth="1"/>
    <col min="2311" max="2559" width="9.140625" style="449"/>
    <col min="2560" max="2560" width="26.140625" style="449" customWidth="1"/>
    <col min="2561" max="2561" width="27" style="449" customWidth="1"/>
    <col min="2562" max="2562" width="11.5703125" style="449" bestFit="1" customWidth="1"/>
    <col min="2563" max="2563" width="9.7109375" style="449" customWidth="1"/>
    <col min="2564" max="2564" width="12" style="449" customWidth="1"/>
    <col min="2565" max="2565" width="38" style="449" customWidth="1"/>
    <col min="2566" max="2566" width="12" style="449" customWidth="1"/>
    <col min="2567" max="2815" width="9.140625" style="449"/>
    <col min="2816" max="2816" width="26.140625" style="449" customWidth="1"/>
    <col min="2817" max="2817" width="27" style="449" customWidth="1"/>
    <col min="2818" max="2818" width="11.5703125" style="449" bestFit="1" customWidth="1"/>
    <col min="2819" max="2819" width="9.7109375" style="449" customWidth="1"/>
    <col min="2820" max="2820" width="12" style="449" customWidth="1"/>
    <col min="2821" max="2821" width="38" style="449" customWidth="1"/>
    <col min="2822" max="2822" width="12" style="449" customWidth="1"/>
    <col min="2823" max="3071" width="9.140625" style="449"/>
    <col min="3072" max="3072" width="26.140625" style="449" customWidth="1"/>
    <col min="3073" max="3073" width="27" style="449" customWidth="1"/>
    <col min="3074" max="3074" width="11.5703125" style="449" bestFit="1" customWidth="1"/>
    <col min="3075" max="3075" width="9.7109375" style="449" customWidth="1"/>
    <col min="3076" max="3076" width="12" style="449" customWidth="1"/>
    <col min="3077" max="3077" width="38" style="449" customWidth="1"/>
    <col min="3078" max="3078" width="12" style="449" customWidth="1"/>
    <col min="3079" max="3327" width="9.140625" style="449"/>
    <col min="3328" max="3328" width="26.140625" style="449" customWidth="1"/>
    <col min="3329" max="3329" width="27" style="449" customWidth="1"/>
    <col min="3330" max="3330" width="11.5703125" style="449" bestFit="1" customWidth="1"/>
    <col min="3331" max="3331" width="9.7109375" style="449" customWidth="1"/>
    <col min="3332" max="3332" width="12" style="449" customWidth="1"/>
    <col min="3333" max="3333" width="38" style="449" customWidth="1"/>
    <col min="3334" max="3334" width="12" style="449" customWidth="1"/>
    <col min="3335" max="3583" width="9.140625" style="449"/>
    <col min="3584" max="3584" width="26.140625" style="449" customWidth="1"/>
    <col min="3585" max="3585" width="27" style="449" customWidth="1"/>
    <col min="3586" max="3586" width="11.5703125" style="449" bestFit="1" customWidth="1"/>
    <col min="3587" max="3587" width="9.7109375" style="449" customWidth="1"/>
    <col min="3588" max="3588" width="12" style="449" customWidth="1"/>
    <col min="3589" max="3589" width="38" style="449" customWidth="1"/>
    <col min="3590" max="3590" width="12" style="449" customWidth="1"/>
    <col min="3591" max="3839" width="9.140625" style="449"/>
    <col min="3840" max="3840" width="26.140625" style="449" customWidth="1"/>
    <col min="3841" max="3841" width="27" style="449" customWidth="1"/>
    <col min="3842" max="3842" width="11.5703125" style="449" bestFit="1" customWidth="1"/>
    <col min="3843" max="3843" width="9.7109375" style="449" customWidth="1"/>
    <col min="3844" max="3844" width="12" style="449" customWidth="1"/>
    <col min="3845" max="3845" width="38" style="449" customWidth="1"/>
    <col min="3846" max="3846" width="12" style="449" customWidth="1"/>
    <col min="3847" max="4095" width="9.140625" style="449"/>
    <col min="4096" max="4096" width="26.140625" style="449" customWidth="1"/>
    <col min="4097" max="4097" width="27" style="449" customWidth="1"/>
    <col min="4098" max="4098" width="11.5703125" style="449" bestFit="1" customWidth="1"/>
    <col min="4099" max="4099" width="9.7109375" style="449" customWidth="1"/>
    <col min="4100" max="4100" width="12" style="449" customWidth="1"/>
    <col min="4101" max="4101" width="38" style="449" customWidth="1"/>
    <col min="4102" max="4102" width="12" style="449" customWidth="1"/>
    <col min="4103" max="4351" width="9.140625" style="449"/>
    <col min="4352" max="4352" width="26.140625" style="449" customWidth="1"/>
    <col min="4353" max="4353" width="27" style="449" customWidth="1"/>
    <col min="4354" max="4354" width="11.5703125" style="449" bestFit="1" customWidth="1"/>
    <col min="4355" max="4355" width="9.7109375" style="449" customWidth="1"/>
    <col min="4356" max="4356" width="12" style="449" customWidth="1"/>
    <col min="4357" max="4357" width="38" style="449" customWidth="1"/>
    <col min="4358" max="4358" width="12" style="449" customWidth="1"/>
    <col min="4359" max="4607" width="9.140625" style="449"/>
    <col min="4608" max="4608" width="26.140625" style="449" customWidth="1"/>
    <col min="4609" max="4609" width="27" style="449" customWidth="1"/>
    <col min="4610" max="4610" width="11.5703125" style="449" bestFit="1" customWidth="1"/>
    <col min="4611" max="4611" width="9.7109375" style="449" customWidth="1"/>
    <col min="4612" max="4612" width="12" style="449" customWidth="1"/>
    <col min="4613" max="4613" width="38" style="449" customWidth="1"/>
    <col min="4614" max="4614" width="12" style="449" customWidth="1"/>
    <col min="4615" max="4863" width="9.140625" style="449"/>
    <col min="4864" max="4864" width="26.140625" style="449" customWidth="1"/>
    <col min="4865" max="4865" width="27" style="449" customWidth="1"/>
    <col min="4866" max="4866" width="11.5703125" style="449" bestFit="1" customWidth="1"/>
    <col min="4867" max="4867" width="9.7109375" style="449" customWidth="1"/>
    <col min="4868" max="4868" width="12" style="449" customWidth="1"/>
    <col min="4869" max="4869" width="38" style="449" customWidth="1"/>
    <col min="4870" max="4870" width="12" style="449" customWidth="1"/>
    <col min="4871" max="5119" width="9.140625" style="449"/>
    <col min="5120" max="5120" width="26.140625" style="449" customWidth="1"/>
    <col min="5121" max="5121" width="27" style="449" customWidth="1"/>
    <col min="5122" max="5122" width="11.5703125" style="449" bestFit="1" customWidth="1"/>
    <col min="5123" max="5123" width="9.7109375" style="449" customWidth="1"/>
    <col min="5124" max="5124" width="12" style="449" customWidth="1"/>
    <col min="5125" max="5125" width="38" style="449" customWidth="1"/>
    <col min="5126" max="5126" width="12" style="449" customWidth="1"/>
    <col min="5127" max="5375" width="9.140625" style="449"/>
    <col min="5376" max="5376" width="26.140625" style="449" customWidth="1"/>
    <col min="5377" max="5377" width="27" style="449" customWidth="1"/>
    <col min="5378" max="5378" width="11.5703125" style="449" bestFit="1" customWidth="1"/>
    <col min="5379" max="5379" width="9.7109375" style="449" customWidth="1"/>
    <col min="5380" max="5380" width="12" style="449" customWidth="1"/>
    <col min="5381" max="5381" width="38" style="449" customWidth="1"/>
    <col min="5382" max="5382" width="12" style="449" customWidth="1"/>
    <col min="5383" max="5631" width="9.140625" style="449"/>
    <col min="5632" max="5632" width="26.140625" style="449" customWidth="1"/>
    <col min="5633" max="5633" width="27" style="449" customWidth="1"/>
    <col min="5634" max="5634" width="11.5703125" style="449" bestFit="1" customWidth="1"/>
    <col min="5635" max="5635" width="9.7109375" style="449" customWidth="1"/>
    <col min="5636" max="5636" width="12" style="449" customWidth="1"/>
    <col min="5637" max="5637" width="38" style="449" customWidth="1"/>
    <col min="5638" max="5638" width="12" style="449" customWidth="1"/>
    <col min="5639" max="5887" width="9.140625" style="449"/>
    <col min="5888" max="5888" width="26.140625" style="449" customWidth="1"/>
    <col min="5889" max="5889" width="27" style="449" customWidth="1"/>
    <col min="5890" max="5890" width="11.5703125" style="449" bestFit="1" customWidth="1"/>
    <col min="5891" max="5891" width="9.7109375" style="449" customWidth="1"/>
    <col min="5892" max="5892" width="12" style="449" customWidth="1"/>
    <col min="5893" max="5893" width="38" style="449" customWidth="1"/>
    <col min="5894" max="5894" width="12" style="449" customWidth="1"/>
    <col min="5895" max="6143" width="9.140625" style="449"/>
    <col min="6144" max="6144" width="26.140625" style="449" customWidth="1"/>
    <col min="6145" max="6145" width="27" style="449" customWidth="1"/>
    <col min="6146" max="6146" width="11.5703125" style="449" bestFit="1" customWidth="1"/>
    <col min="6147" max="6147" width="9.7109375" style="449" customWidth="1"/>
    <col min="6148" max="6148" width="12" style="449" customWidth="1"/>
    <col min="6149" max="6149" width="38" style="449" customWidth="1"/>
    <col min="6150" max="6150" width="12" style="449" customWidth="1"/>
    <col min="6151" max="6399" width="9.140625" style="449"/>
    <col min="6400" max="6400" width="26.140625" style="449" customWidth="1"/>
    <col min="6401" max="6401" width="27" style="449" customWidth="1"/>
    <col min="6402" max="6402" width="11.5703125" style="449" bestFit="1" customWidth="1"/>
    <col min="6403" max="6403" width="9.7109375" style="449" customWidth="1"/>
    <col min="6404" max="6404" width="12" style="449" customWidth="1"/>
    <col min="6405" max="6405" width="38" style="449" customWidth="1"/>
    <col min="6406" max="6406" width="12" style="449" customWidth="1"/>
    <col min="6407" max="6655" width="9.140625" style="449"/>
    <col min="6656" max="6656" width="26.140625" style="449" customWidth="1"/>
    <col min="6657" max="6657" width="27" style="449" customWidth="1"/>
    <col min="6658" max="6658" width="11.5703125" style="449" bestFit="1" customWidth="1"/>
    <col min="6659" max="6659" width="9.7109375" style="449" customWidth="1"/>
    <col min="6660" max="6660" width="12" style="449" customWidth="1"/>
    <col min="6661" max="6661" width="38" style="449" customWidth="1"/>
    <col min="6662" max="6662" width="12" style="449" customWidth="1"/>
    <col min="6663" max="6911" width="9.140625" style="449"/>
    <col min="6912" max="6912" width="26.140625" style="449" customWidth="1"/>
    <col min="6913" max="6913" width="27" style="449" customWidth="1"/>
    <col min="6914" max="6914" width="11.5703125" style="449" bestFit="1" customWidth="1"/>
    <col min="6915" max="6915" width="9.7109375" style="449" customWidth="1"/>
    <col min="6916" max="6916" width="12" style="449" customWidth="1"/>
    <col min="6917" max="6917" width="38" style="449" customWidth="1"/>
    <col min="6918" max="6918" width="12" style="449" customWidth="1"/>
    <col min="6919" max="7167" width="9.140625" style="449"/>
    <col min="7168" max="7168" width="26.140625" style="449" customWidth="1"/>
    <col min="7169" max="7169" width="27" style="449" customWidth="1"/>
    <col min="7170" max="7170" width="11.5703125" style="449" bestFit="1" customWidth="1"/>
    <col min="7171" max="7171" width="9.7109375" style="449" customWidth="1"/>
    <col min="7172" max="7172" width="12" style="449" customWidth="1"/>
    <col min="7173" max="7173" width="38" style="449" customWidth="1"/>
    <col min="7174" max="7174" width="12" style="449" customWidth="1"/>
    <col min="7175" max="7423" width="9.140625" style="449"/>
    <col min="7424" max="7424" width="26.140625" style="449" customWidth="1"/>
    <col min="7425" max="7425" width="27" style="449" customWidth="1"/>
    <col min="7426" max="7426" width="11.5703125" style="449" bestFit="1" customWidth="1"/>
    <col min="7427" max="7427" width="9.7109375" style="449" customWidth="1"/>
    <col min="7428" max="7428" width="12" style="449" customWidth="1"/>
    <col min="7429" max="7429" width="38" style="449" customWidth="1"/>
    <col min="7430" max="7430" width="12" style="449" customWidth="1"/>
    <col min="7431" max="7679" width="9.140625" style="449"/>
    <col min="7680" max="7680" width="26.140625" style="449" customWidth="1"/>
    <col min="7681" max="7681" width="27" style="449" customWidth="1"/>
    <col min="7682" max="7682" width="11.5703125" style="449" bestFit="1" customWidth="1"/>
    <col min="7683" max="7683" width="9.7109375" style="449" customWidth="1"/>
    <col min="7684" max="7684" width="12" style="449" customWidth="1"/>
    <col min="7685" max="7685" width="38" style="449" customWidth="1"/>
    <col min="7686" max="7686" width="12" style="449" customWidth="1"/>
    <col min="7687" max="7935" width="9.140625" style="449"/>
    <col min="7936" max="7936" width="26.140625" style="449" customWidth="1"/>
    <col min="7937" max="7937" width="27" style="449" customWidth="1"/>
    <col min="7938" max="7938" width="11.5703125" style="449" bestFit="1" customWidth="1"/>
    <col min="7939" max="7939" width="9.7109375" style="449" customWidth="1"/>
    <col min="7940" max="7940" width="12" style="449" customWidth="1"/>
    <col min="7941" max="7941" width="38" style="449" customWidth="1"/>
    <col min="7942" max="7942" width="12" style="449" customWidth="1"/>
    <col min="7943" max="8191" width="9.140625" style="449"/>
    <col min="8192" max="8192" width="26.140625" style="449" customWidth="1"/>
    <col min="8193" max="8193" width="27" style="449" customWidth="1"/>
    <col min="8194" max="8194" width="11.5703125" style="449" bestFit="1" customWidth="1"/>
    <col min="8195" max="8195" width="9.7109375" style="449" customWidth="1"/>
    <col min="8196" max="8196" width="12" style="449" customWidth="1"/>
    <col min="8197" max="8197" width="38" style="449" customWidth="1"/>
    <col min="8198" max="8198" width="12" style="449" customWidth="1"/>
    <col min="8199" max="8447" width="9.140625" style="449"/>
    <col min="8448" max="8448" width="26.140625" style="449" customWidth="1"/>
    <col min="8449" max="8449" width="27" style="449" customWidth="1"/>
    <col min="8450" max="8450" width="11.5703125" style="449" bestFit="1" customWidth="1"/>
    <col min="8451" max="8451" width="9.7109375" style="449" customWidth="1"/>
    <col min="8452" max="8452" width="12" style="449" customWidth="1"/>
    <col min="8453" max="8453" width="38" style="449" customWidth="1"/>
    <col min="8454" max="8454" width="12" style="449" customWidth="1"/>
    <col min="8455" max="8703" width="9.140625" style="449"/>
    <col min="8704" max="8704" width="26.140625" style="449" customWidth="1"/>
    <col min="8705" max="8705" width="27" style="449" customWidth="1"/>
    <col min="8706" max="8706" width="11.5703125" style="449" bestFit="1" customWidth="1"/>
    <col min="8707" max="8707" width="9.7109375" style="449" customWidth="1"/>
    <col min="8708" max="8708" width="12" style="449" customWidth="1"/>
    <col min="8709" max="8709" width="38" style="449" customWidth="1"/>
    <col min="8710" max="8710" width="12" style="449" customWidth="1"/>
    <col min="8711" max="8959" width="9.140625" style="449"/>
    <col min="8960" max="8960" width="26.140625" style="449" customWidth="1"/>
    <col min="8961" max="8961" width="27" style="449" customWidth="1"/>
    <col min="8962" max="8962" width="11.5703125" style="449" bestFit="1" customWidth="1"/>
    <col min="8963" max="8963" width="9.7109375" style="449" customWidth="1"/>
    <col min="8964" max="8964" width="12" style="449" customWidth="1"/>
    <col min="8965" max="8965" width="38" style="449" customWidth="1"/>
    <col min="8966" max="8966" width="12" style="449" customWidth="1"/>
    <col min="8967" max="9215" width="9.140625" style="449"/>
    <col min="9216" max="9216" width="26.140625" style="449" customWidth="1"/>
    <col min="9217" max="9217" width="27" style="449" customWidth="1"/>
    <col min="9218" max="9218" width="11.5703125" style="449" bestFit="1" customWidth="1"/>
    <col min="9219" max="9219" width="9.7109375" style="449" customWidth="1"/>
    <col min="9220" max="9220" width="12" style="449" customWidth="1"/>
    <col min="9221" max="9221" width="38" style="449" customWidth="1"/>
    <col min="9222" max="9222" width="12" style="449" customWidth="1"/>
    <col min="9223" max="9471" width="9.140625" style="449"/>
    <col min="9472" max="9472" width="26.140625" style="449" customWidth="1"/>
    <col min="9473" max="9473" width="27" style="449" customWidth="1"/>
    <col min="9474" max="9474" width="11.5703125" style="449" bestFit="1" customWidth="1"/>
    <col min="9475" max="9475" width="9.7109375" style="449" customWidth="1"/>
    <col min="9476" max="9476" width="12" style="449" customWidth="1"/>
    <col min="9477" max="9477" width="38" style="449" customWidth="1"/>
    <col min="9478" max="9478" width="12" style="449" customWidth="1"/>
    <col min="9479" max="9727" width="9.140625" style="449"/>
    <col min="9728" max="9728" width="26.140625" style="449" customWidth="1"/>
    <col min="9729" max="9729" width="27" style="449" customWidth="1"/>
    <col min="9730" max="9730" width="11.5703125" style="449" bestFit="1" customWidth="1"/>
    <col min="9731" max="9731" width="9.7109375" style="449" customWidth="1"/>
    <col min="9732" max="9732" width="12" style="449" customWidth="1"/>
    <col min="9733" max="9733" width="38" style="449" customWidth="1"/>
    <col min="9734" max="9734" width="12" style="449" customWidth="1"/>
    <col min="9735" max="9983" width="9.140625" style="449"/>
    <col min="9984" max="9984" width="26.140625" style="449" customWidth="1"/>
    <col min="9985" max="9985" width="27" style="449" customWidth="1"/>
    <col min="9986" max="9986" width="11.5703125" style="449" bestFit="1" customWidth="1"/>
    <col min="9987" max="9987" width="9.7109375" style="449" customWidth="1"/>
    <col min="9988" max="9988" width="12" style="449" customWidth="1"/>
    <col min="9989" max="9989" width="38" style="449" customWidth="1"/>
    <col min="9990" max="9990" width="12" style="449" customWidth="1"/>
    <col min="9991" max="10239" width="9.140625" style="449"/>
    <col min="10240" max="10240" width="26.140625" style="449" customWidth="1"/>
    <col min="10241" max="10241" width="27" style="449" customWidth="1"/>
    <col min="10242" max="10242" width="11.5703125" style="449" bestFit="1" customWidth="1"/>
    <col min="10243" max="10243" width="9.7109375" style="449" customWidth="1"/>
    <col min="10244" max="10244" width="12" style="449" customWidth="1"/>
    <col min="10245" max="10245" width="38" style="449" customWidth="1"/>
    <col min="10246" max="10246" width="12" style="449" customWidth="1"/>
    <col min="10247" max="10495" width="9.140625" style="449"/>
    <col min="10496" max="10496" width="26.140625" style="449" customWidth="1"/>
    <col min="10497" max="10497" width="27" style="449" customWidth="1"/>
    <col min="10498" max="10498" width="11.5703125" style="449" bestFit="1" customWidth="1"/>
    <col min="10499" max="10499" width="9.7109375" style="449" customWidth="1"/>
    <col min="10500" max="10500" width="12" style="449" customWidth="1"/>
    <col min="10501" max="10501" width="38" style="449" customWidth="1"/>
    <col min="10502" max="10502" width="12" style="449" customWidth="1"/>
    <col min="10503" max="10751" width="9.140625" style="449"/>
    <col min="10752" max="10752" width="26.140625" style="449" customWidth="1"/>
    <col min="10753" max="10753" width="27" style="449" customWidth="1"/>
    <col min="10754" max="10754" width="11.5703125" style="449" bestFit="1" customWidth="1"/>
    <col min="10755" max="10755" width="9.7109375" style="449" customWidth="1"/>
    <col min="10756" max="10756" width="12" style="449" customWidth="1"/>
    <col min="10757" max="10757" width="38" style="449" customWidth="1"/>
    <col min="10758" max="10758" width="12" style="449" customWidth="1"/>
    <col min="10759" max="11007" width="9.140625" style="449"/>
    <col min="11008" max="11008" width="26.140625" style="449" customWidth="1"/>
    <col min="11009" max="11009" width="27" style="449" customWidth="1"/>
    <col min="11010" max="11010" width="11.5703125" style="449" bestFit="1" customWidth="1"/>
    <col min="11011" max="11011" width="9.7109375" style="449" customWidth="1"/>
    <col min="11012" max="11012" width="12" style="449" customWidth="1"/>
    <col min="11013" max="11013" width="38" style="449" customWidth="1"/>
    <col min="11014" max="11014" width="12" style="449" customWidth="1"/>
    <col min="11015" max="11263" width="9.140625" style="449"/>
    <col min="11264" max="11264" width="26.140625" style="449" customWidth="1"/>
    <col min="11265" max="11265" width="27" style="449" customWidth="1"/>
    <col min="11266" max="11266" width="11.5703125" style="449" bestFit="1" customWidth="1"/>
    <col min="11267" max="11267" width="9.7109375" style="449" customWidth="1"/>
    <col min="11268" max="11268" width="12" style="449" customWidth="1"/>
    <col min="11269" max="11269" width="38" style="449" customWidth="1"/>
    <col min="11270" max="11270" width="12" style="449" customWidth="1"/>
    <col min="11271" max="11519" width="9.140625" style="449"/>
    <col min="11520" max="11520" width="26.140625" style="449" customWidth="1"/>
    <col min="11521" max="11521" width="27" style="449" customWidth="1"/>
    <col min="11522" max="11522" width="11.5703125" style="449" bestFit="1" customWidth="1"/>
    <col min="11523" max="11523" width="9.7109375" style="449" customWidth="1"/>
    <col min="11524" max="11524" width="12" style="449" customWidth="1"/>
    <col min="11525" max="11525" width="38" style="449" customWidth="1"/>
    <col min="11526" max="11526" width="12" style="449" customWidth="1"/>
    <col min="11527" max="11775" width="9.140625" style="449"/>
    <col min="11776" max="11776" width="26.140625" style="449" customWidth="1"/>
    <col min="11777" max="11777" width="27" style="449" customWidth="1"/>
    <col min="11778" max="11778" width="11.5703125" style="449" bestFit="1" customWidth="1"/>
    <col min="11779" max="11779" width="9.7109375" style="449" customWidth="1"/>
    <col min="11780" max="11780" width="12" style="449" customWidth="1"/>
    <col min="11781" max="11781" width="38" style="449" customWidth="1"/>
    <col min="11782" max="11782" width="12" style="449" customWidth="1"/>
    <col min="11783" max="12031" width="9.140625" style="449"/>
    <col min="12032" max="12032" width="26.140625" style="449" customWidth="1"/>
    <col min="12033" max="12033" width="27" style="449" customWidth="1"/>
    <col min="12034" max="12034" width="11.5703125" style="449" bestFit="1" customWidth="1"/>
    <col min="12035" max="12035" width="9.7109375" style="449" customWidth="1"/>
    <col min="12036" max="12036" width="12" style="449" customWidth="1"/>
    <col min="12037" max="12037" width="38" style="449" customWidth="1"/>
    <col min="12038" max="12038" width="12" style="449" customWidth="1"/>
    <col min="12039" max="12287" width="9.140625" style="449"/>
    <col min="12288" max="12288" width="26.140625" style="449" customWidth="1"/>
    <col min="12289" max="12289" width="27" style="449" customWidth="1"/>
    <col min="12290" max="12290" width="11.5703125" style="449" bestFit="1" customWidth="1"/>
    <col min="12291" max="12291" width="9.7109375" style="449" customWidth="1"/>
    <col min="12292" max="12292" width="12" style="449" customWidth="1"/>
    <col min="12293" max="12293" width="38" style="449" customWidth="1"/>
    <col min="12294" max="12294" width="12" style="449" customWidth="1"/>
    <col min="12295" max="12543" width="9.140625" style="449"/>
    <col min="12544" max="12544" width="26.140625" style="449" customWidth="1"/>
    <col min="12545" max="12545" width="27" style="449" customWidth="1"/>
    <col min="12546" max="12546" width="11.5703125" style="449" bestFit="1" customWidth="1"/>
    <col min="12547" max="12547" width="9.7109375" style="449" customWidth="1"/>
    <col min="12548" max="12548" width="12" style="449" customWidth="1"/>
    <col min="12549" max="12549" width="38" style="449" customWidth="1"/>
    <col min="12550" max="12550" width="12" style="449" customWidth="1"/>
    <col min="12551" max="12799" width="9.140625" style="449"/>
    <col min="12800" max="12800" width="26.140625" style="449" customWidth="1"/>
    <col min="12801" max="12801" width="27" style="449" customWidth="1"/>
    <col min="12802" max="12802" width="11.5703125" style="449" bestFit="1" customWidth="1"/>
    <col min="12803" max="12803" width="9.7109375" style="449" customWidth="1"/>
    <col min="12804" max="12804" width="12" style="449" customWidth="1"/>
    <col min="12805" max="12805" width="38" style="449" customWidth="1"/>
    <col min="12806" max="12806" width="12" style="449" customWidth="1"/>
    <col min="12807" max="13055" width="9.140625" style="449"/>
    <col min="13056" max="13056" width="26.140625" style="449" customWidth="1"/>
    <col min="13057" max="13057" width="27" style="449" customWidth="1"/>
    <col min="13058" max="13058" width="11.5703125" style="449" bestFit="1" customWidth="1"/>
    <col min="13059" max="13059" width="9.7109375" style="449" customWidth="1"/>
    <col min="13060" max="13060" width="12" style="449" customWidth="1"/>
    <col min="13061" max="13061" width="38" style="449" customWidth="1"/>
    <col min="13062" max="13062" width="12" style="449" customWidth="1"/>
    <col min="13063" max="13311" width="9.140625" style="449"/>
    <col min="13312" max="13312" width="26.140625" style="449" customWidth="1"/>
    <col min="13313" max="13313" width="27" style="449" customWidth="1"/>
    <col min="13314" max="13314" width="11.5703125" style="449" bestFit="1" customWidth="1"/>
    <col min="13315" max="13315" width="9.7109375" style="449" customWidth="1"/>
    <col min="13316" max="13316" width="12" style="449" customWidth="1"/>
    <col min="13317" max="13317" width="38" style="449" customWidth="1"/>
    <col min="13318" max="13318" width="12" style="449" customWidth="1"/>
    <col min="13319" max="13567" width="9.140625" style="449"/>
    <col min="13568" max="13568" width="26.140625" style="449" customWidth="1"/>
    <col min="13569" max="13569" width="27" style="449" customWidth="1"/>
    <col min="13570" max="13570" width="11.5703125" style="449" bestFit="1" customWidth="1"/>
    <col min="13571" max="13571" width="9.7109375" style="449" customWidth="1"/>
    <col min="13572" max="13572" width="12" style="449" customWidth="1"/>
    <col min="13573" max="13573" width="38" style="449" customWidth="1"/>
    <col min="13574" max="13574" width="12" style="449" customWidth="1"/>
    <col min="13575" max="13823" width="9.140625" style="449"/>
    <col min="13824" max="13824" width="26.140625" style="449" customWidth="1"/>
    <col min="13825" max="13825" width="27" style="449" customWidth="1"/>
    <col min="13826" max="13826" width="11.5703125" style="449" bestFit="1" customWidth="1"/>
    <col min="13827" max="13827" width="9.7109375" style="449" customWidth="1"/>
    <col min="13828" max="13828" width="12" style="449" customWidth="1"/>
    <col min="13829" max="13829" width="38" style="449" customWidth="1"/>
    <col min="13830" max="13830" width="12" style="449" customWidth="1"/>
    <col min="13831" max="14079" width="9.140625" style="449"/>
    <col min="14080" max="14080" width="26.140625" style="449" customWidth="1"/>
    <col min="14081" max="14081" width="27" style="449" customWidth="1"/>
    <col min="14082" max="14082" width="11.5703125" style="449" bestFit="1" customWidth="1"/>
    <col min="14083" max="14083" width="9.7109375" style="449" customWidth="1"/>
    <col min="14084" max="14084" width="12" style="449" customWidth="1"/>
    <col min="14085" max="14085" width="38" style="449" customWidth="1"/>
    <col min="14086" max="14086" width="12" style="449" customWidth="1"/>
    <col min="14087" max="14335" width="9.140625" style="449"/>
    <col min="14336" max="14336" width="26.140625" style="449" customWidth="1"/>
    <col min="14337" max="14337" width="27" style="449" customWidth="1"/>
    <col min="14338" max="14338" width="11.5703125" style="449" bestFit="1" customWidth="1"/>
    <col min="14339" max="14339" width="9.7109375" style="449" customWidth="1"/>
    <col min="14340" max="14340" width="12" style="449" customWidth="1"/>
    <col min="14341" max="14341" width="38" style="449" customWidth="1"/>
    <col min="14342" max="14342" width="12" style="449" customWidth="1"/>
    <col min="14343" max="14591" width="9.140625" style="449"/>
    <col min="14592" max="14592" width="26.140625" style="449" customWidth="1"/>
    <col min="14593" max="14593" width="27" style="449" customWidth="1"/>
    <col min="14594" max="14594" width="11.5703125" style="449" bestFit="1" customWidth="1"/>
    <col min="14595" max="14595" width="9.7109375" style="449" customWidth="1"/>
    <col min="14596" max="14596" width="12" style="449" customWidth="1"/>
    <col min="14597" max="14597" width="38" style="449" customWidth="1"/>
    <col min="14598" max="14598" width="12" style="449" customWidth="1"/>
    <col min="14599" max="14847" width="9.140625" style="449"/>
    <col min="14848" max="14848" width="26.140625" style="449" customWidth="1"/>
    <col min="14849" max="14849" width="27" style="449" customWidth="1"/>
    <col min="14850" max="14850" width="11.5703125" style="449" bestFit="1" customWidth="1"/>
    <col min="14851" max="14851" width="9.7109375" style="449" customWidth="1"/>
    <col min="14852" max="14852" width="12" style="449" customWidth="1"/>
    <col min="14853" max="14853" width="38" style="449" customWidth="1"/>
    <col min="14854" max="14854" width="12" style="449" customWidth="1"/>
    <col min="14855" max="15103" width="9.140625" style="449"/>
    <col min="15104" max="15104" width="26.140625" style="449" customWidth="1"/>
    <col min="15105" max="15105" width="27" style="449" customWidth="1"/>
    <col min="15106" max="15106" width="11.5703125" style="449" bestFit="1" customWidth="1"/>
    <col min="15107" max="15107" width="9.7109375" style="449" customWidth="1"/>
    <col min="15108" max="15108" width="12" style="449" customWidth="1"/>
    <col min="15109" max="15109" width="38" style="449" customWidth="1"/>
    <col min="15110" max="15110" width="12" style="449" customWidth="1"/>
    <col min="15111" max="15359" width="9.140625" style="449"/>
    <col min="15360" max="15360" width="26.140625" style="449" customWidth="1"/>
    <col min="15361" max="15361" width="27" style="449" customWidth="1"/>
    <col min="15362" max="15362" width="11.5703125" style="449" bestFit="1" customWidth="1"/>
    <col min="15363" max="15363" width="9.7109375" style="449" customWidth="1"/>
    <col min="15364" max="15364" width="12" style="449" customWidth="1"/>
    <col min="15365" max="15365" width="38" style="449" customWidth="1"/>
    <col min="15366" max="15366" width="12" style="449" customWidth="1"/>
    <col min="15367" max="15615" width="9.140625" style="449"/>
    <col min="15616" max="15616" width="26.140625" style="449" customWidth="1"/>
    <col min="15617" max="15617" width="27" style="449" customWidth="1"/>
    <col min="15618" max="15618" width="11.5703125" style="449" bestFit="1" customWidth="1"/>
    <col min="15619" max="15619" width="9.7109375" style="449" customWidth="1"/>
    <col min="15620" max="15620" width="12" style="449" customWidth="1"/>
    <col min="15621" max="15621" width="38" style="449" customWidth="1"/>
    <col min="15622" max="15622" width="12" style="449" customWidth="1"/>
    <col min="15623" max="15871" width="9.140625" style="449"/>
    <col min="15872" max="15872" width="26.140625" style="449" customWidth="1"/>
    <col min="15873" max="15873" width="27" style="449" customWidth="1"/>
    <col min="15874" max="15874" width="11.5703125" style="449" bestFit="1" customWidth="1"/>
    <col min="15875" max="15875" width="9.7109375" style="449" customWidth="1"/>
    <col min="15876" max="15876" width="12" style="449" customWidth="1"/>
    <col min="15877" max="15877" width="38" style="449" customWidth="1"/>
    <col min="15878" max="15878" width="12" style="449" customWidth="1"/>
    <col min="15879" max="16127" width="9.140625" style="449"/>
    <col min="16128" max="16128" width="26.140625" style="449" customWidth="1"/>
    <col min="16129" max="16129" width="27" style="449" customWidth="1"/>
    <col min="16130" max="16130" width="11.5703125" style="449" bestFit="1" customWidth="1"/>
    <col min="16131" max="16131" width="9.7109375" style="449" customWidth="1"/>
    <col min="16132" max="16132" width="12" style="449" customWidth="1"/>
    <col min="16133" max="16133" width="38" style="449" customWidth="1"/>
    <col min="16134" max="16134" width="12" style="449" customWidth="1"/>
    <col min="16135" max="16384" width="9.140625" style="449"/>
  </cols>
  <sheetData>
    <row r="1" spans="1:25" s="642" customFormat="1" ht="20.25">
      <c r="A1" s="639" t="s">
        <v>449</v>
      </c>
      <c r="B1" s="638"/>
      <c r="C1" s="639"/>
      <c r="D1" s="640"/>
      <c r="E1" s="641"/>
      <c r="F1" s="641"/>
      <c r="G1" s="641"/>
      <c r="J1" s="2029"/>
      <c r="K1" s="2029"/>
      <c r="L1" s="2029"/>
      <c r="M1" s="2029"/>
      <c r="N1" s="2029"/>
      <c r="O1" s="2029"/>
      <c r="P1" s="2029"/>
      <c r="Q1" s="2029"/>
      <c r="R1" s="2029"/>
      <c r="S1" s="2029"/>
      <c r="T1" s="2029"/>
      <c r="U1" s="2029"/>
      <c r="V1" s="2029"/>
      <c r="W1" s="2029"/>
      <c r="X1" s="2029"/>
      <c r="Y1" s="2029"/>
    </row>
    <row r="2" spans="1:25" s="642" customFormat="1" ht="20.25">
      <c r="A2" s="639"/>
      <c r="B2" s="638"/>
      <c r="C2" s="639"/>
      <c r="D2" s="640"/>
      <c r="E2" s="641"/>
      <c r="F2" s="641"/>
      <c r="G2" s="641"/>
      <c r="J2" s="2029"/>
      <c r="K2" s="2029"/>
      <c r="L2" s="3359" t="s">
        <v>732</v>
      </c>
      <c r="M2" s="3359"/>
      <c r="N2" s="3359"/>
      <c r="O2" s="3359"/>
      <c r="P2" s="3359"/>
      <c r="Q2" s="3359"/>
      <c r="R2" s="2029"/>
      <c r="S2" s="2029"/>
      <c r="T2" s="2029"/>
      <c r="U2" s="2029"/>
      <c r="V2" s="2029"/>
      <c r="W2" s="2029"/>
      <c r="X2" s="2029"/>
      <c r="Y2" s="2029"/>
    </row>
    <row r="3" spans="1:25" s="415" customFormat="1" ht="15.75">
      <c r="A3" s="414" t="s">
        <v>336</v>
      </c>
      <c r="J3" s="1612"/>
      <c r="K3" s="1612"/>
      <c r="L3" s="3359"/>
      <c r="M3" s="3359"/>
      <c r="N3" s="3359"/>
      <c r="O3" s="3359"/>
      <c r="P3" s="3359"/>
      <c r="Q3" s="3359"/>
      <c r="R3" s="1612"/>
      <c r="S3" s="1612"/>
      <c r="T3" s="1612"/>
      <c r="U3" s="1612"/>
      <c r="V3" s="1612"/>
      <c r="W3" s="1612"/>
      <c r="X3" s="1612"/>
      <c r="Y3" s="1612"/>
    </row>
    <row r="4" spans="1:25" ht="13.5" thickBot="1">
      <c r="A4" s="643" t="s">
        <v>419</v>
      </c>
      <c r="B4" s="636"/>
      <c r="C4" s="442"/>
      <c r="D4" s="644"/>
      <c r="E4" s="645"/>
      <c r="F4" s="645"/>
      <c r="G4" s="645"/>
      <c r="J4" s="1612"/>
      <c r="K4" s="1612"/>
      <c r="L4" s="1612"/>
      <c r="M4" s="1612"/>
      <c r="N4" s="1612"/>
      <c r="O4" s="1612"/>
      <c r="P4" s="1612"/>
      <c r="Q4" s="2038">
        <v>43617</v>
      </c>
      <c r="R4" s="1612"/>
      <c r="S4" s="1612"/>
      <c r="T4" s="1612"/>
      <c r="U4" s="1612"/>
      <c r="V4" s="1612"/>
      <c r="W4" s="1612"/>
      <c r="X4" s="1612"/>
      <c r="Y4" s="1543"/>
    </row>
    <row r="5" spans="1:25" ht="15.75" customHeight="1" thickBot="1">
      <c r="A5" s="646" t="s">
        <v>279</v>
      </c>
      <c r="B5" s="647"/>
      <c r="C5" s="648" t="s">
        <v>420</v>
      </c>
      <c r="D5" s="649" t="s">
        <v>421</v>
      </c>
      <c r="E5" s="650" t="s">
        <v>422</v>
      </c>
      <c r="F5" s="3360" t="s">
        <v>556</v>
      </c>
      <c r="G5" s="3361"/>
      <c r="H5" s="648" t="s">
        <v>443</v>
      </c>
      <c r="J5" s="3364" t="s">
        <v>632</v>
      </c>
      <c r="K5" s="3365"/>
      <c r="L5" s="1891"/>
      <c r="M5" s="1892"/>
      <c r="N5" s="1892"/>
      <c r="O5" s="1893"/>
      <c r="P5" s="1612"/>
      <c r="Q5" s="3297" t="s">
        <v>463</v>
      </c>
      <c r="R5" s="3298"/>
      <c r="S5" s="3298"/>
      <c r="T5" s="3298"/>
      <c r="U5" s="3298"/>
      <c r="V5" s="2037">
        <f>S28</f>
        <v>9087.0400000000009</v>
      </c>
      <c r="W5" s="1612"/>
      <c r="X5" s="1612"/>
      <c r="Y5" s="1543"/>
    </row>
    <row r="6" spans="1:25" ht="28.5" customHeight="1" thickBot="1">
      <c r="A6" s="651" t="s">
        <v>282</v>
      </c>
      <c r="B6" s="652"/>
      <c r="C6" s="1071"/>
      <c r="D6" s="654"/>
      <c r="E6" s="1073"/>
      <c r="F6" s="3362"/>
      <c r="G6" s="3363"/>
      <c r="H6" s="714"/>
      <c r="J6" s="1975" t="s">
        <v>450</v>
      </c>
      <c r="K6" s="1894">
        <f>77137*(K17+1)</f>
        <v>79237.897313213092</v>
      </c>
      <c r="L6" s="1895" t="s">
        <v>717</v>
      </c>
      <c r="M6" s="1272"/>
      <c r="N6" s="1272"/>
      <c r="O6" s="1896"/>
      <c r="P6" s="1612"/>
      <c r="Q6" s="1845"/>
      <c r="R6" s="1846" t="s">
        <v>341</v>
      </c>
      <c r="S6" s="1847" t="s">
        <v>189</v>
      </c>
      <c r="T6" s="1848" t="s">
        <v>342</v>
      </c>
      <c r="U6" s="1849" t="s">
        <v>190</v>
      </c>
      <c r="V6" s="1850" t="s">
        <v>343</v>
      </c>
      <c r="W6" s="1612"/>
      <c r="X6" s="1612"/>
      <c r="Y6" s="1543"/>
    </row>
    <row r="7" spans="1:25">
      <c r="A7" s="651"/>
      <c r="B7" s="662" t="s">
        <v>450</v>
      </c>
      <c r="C7" s="1071">
        <v>75004</v>
      </c>
      <c r="D7" s="654">
        <v>0.25</v>
      </c>
      <c r="E7" s="1073">
        <f>C7*D7</f>
        <v>18751</v>
      </c>
      <c r="F7" s="1089">
        <f>C7*(1+$B$50)</f>
        <v>77137.194038189249</v>
      </c>
      <c r="G7" s="1097">
        <f>D7*F7</f>
        <v>19284.298509547312</v>
      </c>
      <c r="H7" s="714" t="s">
        <v>451</v>
      </c>
      <c r="J7" s="1975" t="s">
        <v>452</v>
      </c>
      <c r="K7" s="1894">
        <f>32910*(K17+1)</f>
        <v>33806.334192123664</v>
      </c>
      <c r="L7" s="1895" t="s">
        <v>717</v>
      </c>
      <c r="M7" s="1276"/>
      <c r="N7" s="1276"/>
      <c r="O7" s="1896"/>
      <c r="P7" s="1612"/>
      <c r="Q7" s="1851" t="s">
        <v>191</v>
      </c>
      <c r="R7" s="1897"/>
      <c r="S7" s="1852"/>
      <c r="T7" s="1853">
        <f>K6</f>
        <v>79237.897313213092</v>
      </c>
      <c r="U7" s="1854">
        <v>0.25</v>
      </c>
      <c r="V7" s="1855">
        <f>U7*T7</f>
        <v>19809.474328303273</v>
      </c>
      <c r="W7" s="1612"/>
      <c r="X7" s="1612"/>
      <c r="Y7" s="1543"/>
    </row>
    <row r="8" spans="1:25" ht="17.25" customHeight="1">
      <c r="A8" s="659"/>
      <c r="B8" s="662" t="s">
        <v>452</v>
      </c>
      <c r="C8" s="1071">
        <v>32000</v>
      </c>
      <c r="D8" s="654">
        <v>8</v>
      </c>
      <c r="E8" s="1073">
        <f>C8*D8</f>
        <v>256000</v>
      </c>
      <c r="F8" s="1090">
        <f>C8*(1+$B$50)</f>
        <v>32910.114250200735</v>
      </c>
      <c r="G8" s="1098">
        <f t="shared" ref="G8:G9" si="0">D8*F8</f>
        <v>263280.91400160588</v>
      </c>
      <c r="H8" s="727" t="s">
        <v>453</v>
      </c>
      <c r="J8" s="1975" t="s">
        <v>454</v>
      </c>
      <c r="K8" s="1894">
        <f>46280*(K17+1)</f>
        <v>47540.478468899521</v>
      </c>
      <c r="L8" s="1895" t="s">
        <v>717</v>
      </c>
      <c r="M8" s="1276"/>
      <c r="N8" s="1276"/>
      <c r="O8" s="1898"/>
      <c r="P8" s="1612"/>
      <c r="Q8" s="1851" t="s">
        <v>68</v>
      </c>
      <c r="R8" s="1897"/>
      <c r="S8" s="1852"/>
      <c r="T8" s="1853">
        <f>K7</f>
        <v>33806.334192123664</v>
      </c>
      <c r="U8" s="1854">
        <v>8</v>
      </c>
      <c r="V8" s="1855">
        <f>U8*T8</f>
        <v>270450.67353698931</v>
      </c>
      <c r="W8" s="1612"/>
      <c r="X8" s="1612"/>
      <c r="Y8" s="1543"/>
    </row>
    <row r="9" spans="1:25" ht="15.75" customHeight="1">
      <c r="A9" s="660"/>
      <c r="B9" s="664" t="s">
        <v>454</v>
      </c>
      <c r="C9" s="1072">
        <v>45000</v>
      </c>
      <c r="D9" s="658">
        <v>1</v>
      </c>
      <c r="E9" s="1076">
        <f>C9*D9</f>
        <v>45000</v>
      </c>
      <c r="F9" s="1091">
        <f>C9*(1+$B$50)</f>
        <v>46279.848164344781</v>
      </c>
      <c r="G9" s="1099">
        <f t="shared" si="0"/>
        <v>46279.848164344781</v>
      </c>
      <c r="H9" s="718" t="s">
        <v>455</v>
      </c>
      <c r="J9" s="1856"/>
      <c r="K9" s="1976"/>
      <c r="L9" s="1895"/>
      <c r="M9" s="1899"/>
      <c r="N9" s="1899"/>
      <c r="O9" s="1900"/>
      <c r="P9" s="1612"/>
      <c r="Q9" s="1856" t="s">
        <v>192</v>
      </c>
      <c r="R9" s="1897"/>
      <c r="S9" s="1852"/>
      <c r="T9" s="1853">
        <f>K8</f>
        <v>47540.478468899521</v>
      </c>
      <c r="U9" s="1854">
        <v>1</v>
      </c>
      <c r="V9" s="1855">
        <f>U9*T9</f>
        <v>47540.478468899521</v>
      </c>
      <c r="W9" s="1612"/>
      <c r="X9" s="1612"/>
      <c r="Y9" s="1543"/>
    </row>
    <row r="10" spans="1:25" ht="13.5" thickBot="1">
      <c r="A10" s="660" t="s">
        <v>286</v>
      </c>
      <c r="B10" s="661"/>
      <c r="C10" s="1072"/>
      <c r="D10" s="715">
        <f>SUM(D7:D9)</f>
        <v>9.25</v>
      </c>
      <c r="E10" s="1093">
        <f>SUM(E7:E9)</f>
        <v>319751</v>
      </c>
      <c r="F10" s="1096"/>
      <c r="G10" s="1093">
        <f>SUM(G7:G9)</f>
        <v>328845.06067549798</v>
      </c>
      <c r="H10" s="680"/>
      <c r="J10" s="1977"/>
      <c r="K10" s="1894"/>
      <c r="L10" s="1895"/>
      <c r="M10" s="1280"/>
      <c r="N10" s="1280"/>
      <c r="O10" s="1900"/>
      <c r="P10" s="1612"/>
      <c r="Q10" s="1856"/>
      <c r="R10" s="1901"/>
      <c r="S10" s="1852"/>
      <c r="T10" s="1853"/>
      <c r="U10" s="1854"/>
      <c r="V10" s="1855"/>
      <c r="W10" s="1612"/>
      <c r="X10" s="1612"/>
      <c r="Y10" s="1543"/>
    </row>
    <row r="11" spans="1:25" ht="13.5" thickTop="1">
      <c r="A11" s="659"/>
      <c r="B11" s="662"/>
      <c r="C11" s="653"/>
      <c r="D11" s="654"/>
      <c r="E11" s="1073"/>
      <c r="F11" s="1080"/>
      <c r="G11" s="1081"/>
      <c r="H11" s="714"/>
      <c r="J11" s="3366" t="s">
        <v>240</v>
      </c>
      <c r="K11" s="3367"/>
      <c r="L11" s="3368"/>
      <c r="M11" s="3369"/>
      <c r="N11" s="3369"/>
      <c r="O11" s="1900"/>
      <c r="P11" s="1612"/>
      <c r="Q11" s="1633" t="s">
        <v>194</v>
      </c>
      <c r="R11" s="1857"/>
      <c r="S11" s="1858"/>
      <c r="T11" s="1859"/>
      <c r="U11" s="1860"/>
      <c r="V11" s="1861">
        <f>SUM(V7:V10)</f>
        <v>337800.62633419211</v>
      </c>
      <c r="W11" s="1612"/>
      <c r="X11" s="1612"/>
      <c r="Y11" s="1543"/>
    </row>
    <row r="12" spans="1:25">
      <c r="A12" s="663" t="s">
        <v>288</v>
      </c>
      <c r="B12" s="664" t="s">
        <v>289</v>
      </c>
      <c r="C12" s="665">
        <v>0.19</v>
      </c>
      <c r="D12" s="658"/>
      <c r="E12" s="1076">
        <f>C12*E10</f>
        <v>60752.69</v>
      </c>
      <c r="F12" s="1082"/>
      <c r="G12" s="1092">
        <f>C12*G10</f>
        <v>62480.561528344617</v>
      </c>
      <c r="H12" s="719" t="s">
        <v>456</v>
      </c>
      <c r="J12" s="1978" t="s">
        <v>196</v>
      </c>
      <c r="K12" s="1979">
        <v>0.24</v>
      </c>
      <c r="L12" s="1902" t="s">
        <v>718</v>
      </c>
      <c r="M12" s="1280"/>
      <c r="N12" s="1280"/>
      <c r="O12" s="1900"/>
      <c r="P12" s="1612"/>
      <c r="Q12" s="1631"/>
      <c r="R12" s="1862"/>
      <c r="S12" s="1863"/>
      <c r="T12" s="1864"/>
      <c r="U12" s="1865"/>
      <c r="V12" s="1866"/>
      <c r="W12" s="1612"/>
      <c r="X12" s="1612"/>
      <c r="Y12" s="1543"/>
    </row>
    <row r="13" spans="1:25">
      <c r="A13" s="651" t="s">
        <v>292</v>
      </c>
      <c r="B13" s="662" t="s">
        <v>293</v>
      </c>
      <c r="C13" s="666">
        <v>0.12</v>
      </c>
      <c r="D13" s="654"/>
      <c r="E13" s="1073">
        <f>C13*E10</f>
        <v>38370.119999999995</v>
      </c>
      <c r="F13" s="1080"/>
      <c r="G13" s="1087">
        <f>C13*G10</f>
        <v>39461.407281059757</v>
      </c>
      <c r="H13" s="728" t="s">
        <v>456</v>
      </c>
      <c r="J13" s="1895" t="s">
        <v>199</v>
      </c>
      <c r="K13" s="1980">
        <f>39461*(K17+1)</f>
        <v>40535.75671696724</v>
      </c>
      <c r="L13" s="1903" t="s">
        <v>719</v>
      </c>
      <c r="M13" s="1280"/>
      <c r="N13" s="1981"/>
      <c r="O13" s="1982"/>
      <c r="P13" s="1612"/>
      <c r="Q13" s="1845" t="s">
        <v>195</v>
      </c>
      <c r="R13" s="1867"/>
      <c r="S13" s="1868"/>
      <c r="T13" s="1868"/>
      <c r="U13" s="1849"/>
      <c r="V13" s="1869"/>
      <c r="W13" s="1612"/>
      <c r="X13" s="1612"/>
      <c r="Y13" s="1543"/>
    </row>
    <row r="14" spans="1:25">
      <c r="A14" s="667"/>
      <c r="B14" s="668" t="s">
        <v>424</v>
      </c>
      <c r="C14" s="669"/>
      <c r="D14" s="670"/>
      <c r="E14" s="1073"/>
      <c r="F14" s="1080"/>
      <c r="G14" s="1081"/>
      <c r="H14" s="714"/>
      <c r="J14" s="1983" t="s">
        <v>547</v>
      </c>
      <c r="K14" s="1984">
        <v>0.12</v>
      </c>
      <c r="L14" s="1902" t="s">
        <v>718</v>
      </c>
      <c r="M14" s="1981"/>
      <c r="N14" s="1981"/>
      <c r="O14" s="1900"/>
      <c r="P14" s="1612"/>
      <c r="Q14" s="1647" t="s">
        <v>196</v>
      </c>
      <c r="R14" s="1870">
        <f>K12</f>
        <v>0.24</v>
      </c>
      <c r="S14" s="1871" t="s">
        <v>197</v>
      </c>
      <c r="T14" s="1872"/>
      <c r="U14" s="1873"/>
      <c r="V14" s="1855">
        <f>R14*V11</f>
        <v>81072.150320206099</v>
      </c>
      <c r="W14" s="1612"/>
      <c r="X14" s="1612"/>
      <c r="Y14" s="1543"/>
    </row>
    <row r="15" spans="1:25">
      <c r="A15" s="667"/>
      <c r="B15" s="668" t="s">
        <v>425</v>
      </c>
      <c r="C15" s="671"/>
      <c r="D15" s="654"/>
      <c r="E15" s="1073"/>
      <c r="F15" s="1080"/>
      <c r="G15" s="1081"/>
      <c r="H15" s="714"/>
      <c r="J15" s="1985" t="s">
        <v>653</v>
      </c>
      <c r="K15" s="1904">
        <v>6.3E-3</v>
      </c>
      <c r="L15" s="1905" t="s">
        <v>654</v>
      </c>
      <c r="M15" s="1272"/>
      <c r="N15" s="1280"/>
      <c r="O15" s="1900"/>
      <c r="P15" s="1612"/>
      <c r="Q15" s="1650" t="s">
        <v>198</v>
      </c>
      <c r="R15" s="1874"/>
      <c r="S15" s="1875"/>
      <c r="T15" s="1875"/>
      <c r="U15" s="1876"/>
      <c r="V15" s="1877">
        <f>V11+V14</f>
        <v>418872.77665439819</v>
      </c>
      <c r="W15" s="1612"/>
      <c r="X15" s="1612"/>
      <c r="Y15" s="1543"/>
    </row>
    <row r="16" spans="1:25">
      <c r="A16" s="667"/>
      <c r="B16" s="662" t="s">
        <v>426</v>
      </c>
      <c r="C16" s="672"/>
      <c r="D16" s="670"/>
      <c r="E16" s="1073"/>
      <c r="F16" s="1080"/>
      <c r="G16" s="1081"/>
      <c r="H16" s="714"/>
      <c r="J16" s="1895" t="s">
        <v>716</v>
      </c>
      <c r="K16" s="1906">
        <f>'Spring 2019 CAF'!BU25</f>
        <v>1.8120393120392975E-2</v>
      </c>
      <c r="L16" s="1907" t="s">
        <v>723</v>
      </c>
      <c r="M16" s="1272"/>
      <c r="N16" s="1280"/>
      <c r="O16" s="1900"/>
      <c r="P16" s="1612"/>
      <c r="Q16" s="1627"/>
      <c r="R16" s="1878"/>
      <c r="S16" s="1871"/>
      <c r="T16" s="1870"/>
      <c r="U16" s="1854"/>
      <c r="V16" s="1869"/>
      <c r="W16" s="1612"/>
      <c r="X16" s="1612"/>
      <c r="Y16" s="1543"/>
    </row>
    <row r="17" spans="1:25" ht="13.5" thickBot="1">
      <c r="A17" s="667"/>
      <c r="B17" s="662" t="s">
        <v>427</v>
      </c>
      <c r="C17" s="672"/>
      <c r="D17" s="670"/>
      <c r="E17" s="1073"/>
      <c r="F17" s="1080"/>
      <c r="G17" s="1081"/>
      <c r="H17" s="714"/>
      <c r="J17" s="1986" t="s">
        <v>715</v>
      </c>
      <c r="K17" s="1987">
        <v>2.7235921972764018E-2</v>
      </c>
      <c r="L17" s="1908" t="s">
        <v>523</v>
      </c>
      <c r="M17" s="1909"/>
      <c r="N17" s="1910"/>
      <c r="O17" s="1911"/>
      <c r="P17" s="1612"/>
      <c r="Q17" s="1627" t="s">
        <v>199</v>
      </c>
      <c r="R17" s="1879"/>
      <c r="S17" s="1853"/>
      <c r="T17" s="1853"/>
      <c r="U17" s="1854"/>
      <c r="V17" s="1880">
        <f>K13</f>
        <v>40535.75671696724</v>
      </c>
      <c r="W17" s="1612"/>
      <c r="X17" s="1612"/>
      <c r="Y17" s="1543"/>
    </row>
    <row r="18" spans="1:25">
      <c r="A18" s="673"/>
      <c r="B18" s="664" t="s">
        <v>428</v>
      </c>
      <c r="C18" s="665"/>
      <c r="D18" s="674"/>
      <c r="E18" s="1076"/>
      <c r="F18" s="1082"/>
      <c r="G18" s="1083"/>
      <c r="H18" s="680"/>
      <c r="J18" s="1544"/>
      <c r="K18" s="1648"/>
      <c r="L18" s="1544"/>
      <c r="M18" s="1544"/>
      <c r="N18" s="1544"/>
      <c r="O18" s="1544"/>
      <c r="P18" s="1612"/>
      <c r="Q18" s="1650" t="s">
        <v>200</v>
      </c>
      <c r="R18" s="1874"/>
      <c r="S18" s="1875"/>
      <c r="T18" s="1875"/>
      <c r="U18" s="1876"/>
      <c r="V18" s="1877">
        <f>V15+V17</f>
        <v>459408.5333713654</v>
      </c>
      <c r="W18" s="1612"/>
      <c r="X18" s="1612"/>
      <c r="Y18" s="1543"/>
    </row>
    <row r="19" spans="1:25">
      <c r="A19" s="659"/>
      <c r="B19" s="662"/>
      <c r="C19" s="653"/>
      <c r="D19" s="654"/>
      <c r="E19" s="1073"/>
      <c r="F19" s="1080"/>
      <c r="G19" s="1081"/>
      <c r="H19" s="714"/>
      <c r="J19" s="1612"/>
      <c r="K19" s="1612"/>
      <c r="L19" s="1612"/>
      <c r="M19" s="1612"/>
      <c r="N19" s="1612"/>
      <c r="O19" s="1612"/>
      <c r="P19" s="1612"/>
      <c r="Q19" s="1627" t="s">
        <v>201</v>
      </c>
      <c r="R19" s="2030">
        <f>K14</f>
        <v>0.12</v>
      </c>
      <c r="S19" s="1853"/>
      <c r="T19" s="1853"/>
      <c r="U19" s="1854"/>
      <c r="V19" s="1880">
        <f>R19*V18</f>
        <v>55129.024004563842</v>
      </c>
      <c r="W19" s="1612"/>
      <c r="X19" s="1612"/>
      <c r="Y19" s="1543"/>
    </row>
    <row r="20" spans="1:25">
      <c r="A20" s="663" t="s">
        <v>295</v>
      </c>
      <c r="B20" s="664"/>
      <c r="C20" s="657"/>
      <c r="D20" s="658"/>
      <c r="E20" s="1076">
        <f>SUM(E10,E12,E13)</f>
        <v>418873.81</v>
      </c>
      <c r="F20" s="1082"/>
      <c r="G20" s="1092">
        <f>SUM(G10:G13)</f>
        <v>430787.02948490239</v>
      </c>
      <c r="H20" s="680"/>
      <c r="J20" s="1612"/>
      <c r="K20" s="1612"/>
      <c r="L20" s="1612"/>
      <c r="M20" s="1612"/>
      <c r="N20" s="1612"/>
      <c r="O20" s="1612"/>
      <c r="P20" s="1612"/>
      <c r="Q20" s="2008" t="str">
        <f>J15</f>
        <v>PFMLA</v>
      </c>
      <c r="R20" s="2031">
        <f>K15</f>
        <v>6.3E-3</v>
      </c>
      <c r="S20" s="2010"/>
      <c r="T20" s="2010"/>
      <c r="U20" s="2032"/>
      <c r="V20" s="2013">
        <f>R20*V18</f>
        <v>2894.2737602396019</v>
      </c>
      <c r="W20" s="1612"/>
      <c r="X20" s="1612"/>
      <c r="Y20" s="1543"/>
    </row>
    <row r="21" spans="1:25" ht="13.5" thickBot="1">
      <c r="A21" s="659"/>
      <c r="B21" s="662"/>
      <c r="C21" s="653"/>
      <c r="D21" s="654"/>
      <c r="E21" s="1073"/>
      <c r="F21" s="1080"/>
      <c r="G21" s="1087"/>
      <c r="H21" s="714"/>
      <c r="J21" s="1612"/>
      <c r="K21" s="1612"/>
      <c r="L21" s="1612"/>
      <c r="M21" s="1612"/>
      <c r="N21" s="1612"/>
      <c r="O21" s="1612"/>
      <c r="P21" s="1612"/>
      <c r="Q21" s="1881" t="s">
        <v>203</v>
      </c>
      <c r="R21" s="1882"/>
      <c r="S21" s="1883"/>
      <c r="T21" s="1883"/>
      <c r="U21" s="1884"/>
      <c r="V21" s="1885">
        <f>SUM(V18:V20)</f>
        <v>517431.83113616885</v>
      </c>
      <c r="W21" s="1612"/>
      <c r="X21" s="1612"/>
      <c r="Y21" s="1543"/>
    </row>
    <row r="22" spans="1:25" ht="14.25" thickTop="1" thickBot="1">
      <c r="A22" s="675" t="s">
        <v>297</v>
      </c>
      <c r="B22" s="668" t="s">
        <v>298</v>
      </c>
      <c r="C22" s="729">
        <v>0.126</v>
      </c>
      <c r="D22" s="670"/>
      <c r="E22" s="1077">
        <f>C22*E20</f>
        <v>52778.100059999997</v>
      </c>
      <c r="F22" s="1084"/>
      <c r="G22" s="1094">
        <f>C22*G20</f>
        <v>54279.165715097704</v>
      </c>
      <c r="H22" s="714" t="s">
        <v>456</v>
      </c>
      <c r="J22" s="1612"/>
      <c r="K22" s="1612"/>
      <c r="L22" s="1612"/>
      <c r="M22" s="1612"/>
      <c r="N22" s="1612"/>
      <c r="O22" s="1612"/>
      <c r="P22" s="1612"/>
      <c r="Q22" s="1647"/>
      <c r="R22" s="1645"/>
      <c r="S22" s="1645"/>
      <c r="T22" s="1645"/>
      <c r="U22" s="1628"/>
      <c r="V22" s="1886"/>
      <c r="W22" s="1612"/>
      <c r="X22" s="1612"/>
      <c r="Y22" s="1543"/>
    </row>
    <row r="23" spans="1:25" ht="15">
      <c r="A23" s="681"/>
      <c r="B23" s="682"/>
      <c r="C23" s="722"/>
      <c r="D23" s="683"/>
      <c r="E23" s="1078"/>
      <c r="F23" s="1085"/>
      <c r="G23" s="1095"/>
      <c r="H23" s="714"/>
      <c r="J23" s="1612"/>
      <c r="K23" s="1612"/>
      <c r="L23" s="1612"/>
      <c r="M23" s="1612"/>
      <c r="N23" s="1612"/>
      <c r="O23" s="1612"/>
      <c r="P23" s="1612"/>
      <c r="Q23" s="2033" t="s">
        <v>205</v>
      </c>
      <c r="R23" s="2034">
        <f>K16</f>
        <v>1.8120393120392975E-2</v>
      </c>
      <c r="S23" s="2035"/>
      <c r="T23" s="2035"/>
      <c r="U23" s="2036"/>
      <c r="V23" s="2025">
        <f>V21/V5</f>
        <v>56.941735827746861</v>
      </c>
      <c r="W23" s="1611">
        <v>54.84</v>
      </c>
      <c r="X23" s="1887">
        <f>(V23-G26)/G26</f>
        <v>3.8251912992775548E-2</v>
      </c>
      <c r="Y23" s="1543"/>
    </row>
    <row r="24" spans="1:25" ht="13.5" thickBot="1">
      <c r="A24" s="685" t="s">
        <v>300</v>
      </c>
      <c r="B24" s="686"/>
      <c r="C24" s="687"/>
      <c r="D24" s="688"/>
      <c r="E24" s="1079">
        <f>E20+E22</f>
        <v>471651.91006000002</v>
      </c>
      <c r="F24" s="1086"/>
      <c r="G24" s="1095">
        <f>G22+G20</f>
        <v>485066.19520000007</v>
      </c>
      <c r="H24" s="680"/>
      <c r="J24" s="1612"/>
      <c r="K24" s="1612"/>
      <c r="L24" s="1612"/>
      <c r="M24" s="1612"/>
      <c r="N24" s="1612"/>
      <c r="O24" s="1612"/>
      <c r="P24" s="1612"/>
      <c r="Q24" s="2026"/>
      <c r="R24" s="2027"/>
      <c r="S24" s="2027"/>
      <c r="T24" s="2027" t="s">
        <v>724</v>
      </c>
      <c r="U24" s="2027"/>
      <c r="V24" s="2028">
        <f>V23/4</f>
        <v>14.235433956936715</v>
      </c>
      <c r="W24" s="1611">
        <v>13.71</v>
      </c>
      <c r="X24" s="1887">
        <f>(V24-G27)/G27</f>
        <v>3.8251912992775548E-2</v>
      </c>
      <c r="Y24" s="1543"/>
    </row>
    <row r="25" spans="1:25" ht="13.5" thickBot="1">
      <c r="A25" s="689"/>
      <c r="B25" s="690"/>
      <c r="G25" s="1105">
        <f>G24/(B45*B46)</f>
        <v>53.38</v>
      </c>
      <c r="J25" s="1612"/>
      <c r="K25" s="1612"/>
      <c r="L25" s="1612"/>
      <c r="M25" s="1612"/>
      <c r="N25" s="1612"/>
      <c r="O25" s="1612"/>
      <c r="P25" s="1612"/>
      <c r="Q25" s="1612"/>
      <c r="R25" s="1612"/>
      <c r="S25" s="1612"/>
      <c r="T25" s="1612"/>
      <c r="U25" s="1612"/>
      <c r="V25" s="1612"/>
      <c r="W25" s="1887"/>
      <c r="X25" s="1612"/>
      <c r="Y25" s="1543"/>
    </row>
    <row r="26" spans="1:25" ht="16.5" thickBot="1">
      <c r="A26" s="693"/>
      <c r="B26" s="694"/>
      <c r="F26" s="1088">
        <f>'CAF Spring17'!BK27</f>
        <v>2.7235921972764018E-2</v>
      </c>
      <c r="G26" s="1104">
        <f>G25*(1+F26)+0.01</f>
        <v>54.843853514906144</v>
      </c>
      <c r="H26" s="1075" t="s">
        <v>557</v>
      </c>
      <c r="J26" s="1543"/>
      <c r="K26" s="1543"/>
      <c r="L26" s="1543"/>
      <c r="M26" s="1543"/>
      <c r="N26" s="1543"/>
      <c r="O26" s="1543"/>
      <c r="P26" s="1543"/>
      <c r="Q26" s="1543"/>
      <c r="R26" s="1543"/>
      <c r="S26" s="1543"/>
      <c r="T26" s="1543"/>
      <c r="U26" s="1543"/>
      <c r="V26" s="1543"/>
      <c r="W26" s="1543"/>
      <c r="X26" s="1543"/>
      <c r="Y26" s="1543"/>
    </row>
    <row r="27" spans="1:25" ht="13.5" thickBot="1">
      <c r="A27" s="695" t="s">
        <v>429</v>
      </c>
      <c r="E27" s="730"/>
      <c r="G27" s="1104">
        <f>G26*0.25</f>
        <v>13.710963378726536</v>
      </c>
      <c r="H27" s="1075" t="s">
        <v>257</v>
      </c>
      <c r="J27" s="1543"/>
      <c r="K27" s="1543"/>
      <c r="L27" s="1543"/>
      <c r="M27" s="1543"/>
      <c r="N27" s="1543"/>
      <c r="O27" s="1543"/>
      <c r="P27" s="1543"/>
      <c r="Q27" s="1543" t="s">
        <v>461</v>
      </c>
      <c r="R27" s="1543">
        <v>1135.8800000000001</v>
      </c>
      <c r="S27" s="1543"/>
      <c r="T27" s="1543"/>
      <c r="U27" s="1543"/>
      <c r="V27" s="1543"/>
      <c r="W27" s="1543"/>
      <c r="X27" s="1543"/>
      <c r="Y27" s="1543"/>
    </row>
    <row r="28" spans="1:25">
      <c r="A28" s="731" t="s">
        <v>431</v>
      </c>
      <c r="B28" s="732"/>
      <c r="C28" s="733">
        <v>2080</v>
      </c>
      <c r="J28" s="1543"/>
      <c r="K28" s="1543"/>
      <c r="L28" s="1543"/>
      <c r="M28" s="1543"/>
      <c r="N28" s="1543"/>
      <c r="O28" s="1543"/>
      <c r="P28" s="1543"/>
      <c r="Q28" s="1543" t="s">
        <v>462</v>
      </c>
      <c r="R28" s="1543">
        <v>8</v>
      </c>
      <c r="S28" s="1543">
        <v>9087.0400000000009</v>
      </c>
      <c r="T28" s="1543"/>
      <c r="U28" s="1543"/>
      <c r="V28" s="1543"/>
      <c r="W28" s="1543"/>
      <c r="X28" s="1543"/>
      <c r="Y28" s="1543"/>
    </row>
    <row r="29" spans="1:25">
      <c r="A29" s="734"/>
      <c r="B29" s="728"/>
      <c r="C29" s="706"/>
      <c r="J29" s="1543"/>
      <c r="K29" s="1543"/>
      <c r="L29" s="1543"/>
      <c r="M29" s="1543"/>
      <c r="N29" s="1543"/>
      <c r="O29" s="1543"/>
      <c r="P29" s="1543"/>
      <c r="Q29" s="1543"/>
      <c r="R29" s="1543"/>
      <c r="S29" s="1543"/>
      <c r="T29" s="1543"/>
      <c r="U29" s="1543"/>
      <c r="V29" s="1543"/>
      <c r="W29" s="1543"/>
      <c r="X29" s="1543"/>
      <c r="Y29" s="1543"/>
    </row>
    <row r="30" spans="1:25">
      <c r="A30" s="734" t="s">
        <v>280</v>
      </c>
      <c r="B30" s="728"/>
      <c r="C30" s="706"/>
      <c r="J30" s="1543"/>
      <c r="K30" s="1543"/>
      <c r="L30" s="1543"/>
      <c r="M30" s="1543"/>
      <c r="N30" s="1543"/>
      <c r="O30" s="1543"/>
      <c r="P30" s="1543"/>
      <c r="Q30" s="1543"/>
      <c r="R30" s="1543"/>
      <c r="S30" s="1543"/>
      <c r="T30" s="1543"/>
      <c r="U30" s="1543"/>
      <c r="V30" s="1543"/>
      <c r="W30" s="1543"/>
      <c r="X30" s="1543"/>
      <c r="Y30" s="1543"/>
    </row>
    <row r="31" spans="1:25">
      <c r="A31" s="734"/>
      <c r="B31" s="728" t="s">
        <v>434</v>
      </c>
      <c r="C31" s="706">
        <f>3*40</f>
        <v>120</v>
      </c>
    </row>
    <row r="32" spans="1:25">
      <c r="A32" s="734"/>
      <c r="B32" s="728" t="s">
        <v>457</v>
      </c>
      <c r="C32" s="706">
        <f>2*40</f>
        <v>80</v>
      </c>
      <c r="H32" s="442"/>
    </row>
    <row r="33" spans="1:9">
      <c r="A33" s="734"/>
      <c r="B33" s="728" t="s">
        <v>284</v>
      </c>
      <c r="C33" s="706">
        <f>2*40</f>
        <v>80</v>
      </c>
      <c r="G33" s="692">
        <f>G24/G25</f>
        <v>9087.0400000000009</v>
      </c>
      <c r="H33" s="736"/>
      <c r="I33" s="735"/>
    </row>
    <row r="34" spans="1:9">
      <c r="A34" s="734"/>
      <c r="B34" s="728" t="s">
        <v>285</v>
      </c>
      <c r="C34" s="706">
        <f>(3/5)*40</f>
        <v>24</v>
      </c>
      <c r="H34" s="736"/>
      <c r="I34" s="737"/>
    </row>
    <row r="35" spans="1:9">
      <c r="A35" s="734"/>
      <c r="B35" s="668" t="s">
        <v>458</v>
      </c>
      <c r="C35" s="706">
        <f>8*52</f>
        <v>416</v>
      </c>
      <c r="H35" s="427"/>
      <c r="I35" s="738"/>
    </row>
    <row r="36" spans="1:9">
      <c r="A36" s="734"/>
      <c r="B36" s="668" t="s">
        <v>459</v>
      </c>
      <c r="C36" s="706">
        <f>1.31*52</f>
        <v>68.12</v>
      </c>
      <c r="I36" s="739"/>
    </row>
    <row r="37" spans="1:9" ht="25.5">
      <c r="A37" s="734"/>
      <c r="B37" s="740" t="s">
        <v>435</v>
      </c>
      <c r="C37" s="706">
        <f>3*52</f>
        <v>156</v>
      </c>
    </row>
    <row r="38" spans="1:9">
      <c r="A38" s="734" t="s">
        <v>436</v>
      </c>
      <c r="B38" s="728"/>
      <c r="C38" s="706">
        <f>SUM(C31:C37)</f>
        <v>944.12</v>
      </c>
    </row>
    <row r="39" spans="1:9">
      <c r="A39" s="734"/>
      <c r="B39" s="728"/>
      <c r="C39" s="706"/>
    </row>
    <row r="40" spans="1:9">
      <c r="A40" s="679" t="s">
        <v>437</v>
      </c>
      <c r="B40" s="719"/>
      <c r="C40" s="678">
        <f>C28-C38</f>
        <v>1135.8800000000001</v>
      </c>
    </row>
    <row r="41" spans="1:9">
      <c r="F41" s="684"/>
      <c r="G41" s="684"/>
    </row>
    <row r="42" spans="1:9">
      <c r="B42" s="449"/>
      <c r="C42" s="469"/>
      <c r="D42" s="425"/>
      <c r="E42" s="684"/>
    </row>
    <row r="43" spans="1:9">
      <c r="A43" s="636" t="s">
        <v>460</v>
      </c>
      <c r="B43" s="698"/>
    </row>
    <row r="44" spans="1:9">
      <c r="A44" s="741" t="s">
        <v>432</v>
      </c>
      <c r="B44" s="704">
        <f>E24</f>
        <v>471651.91006000002</v>
      </c>
      <c r="C44" s="692"/>
    </row>
    <row r="45" spans="1:9">
      <c r="A45" s="741" t="s">
        <v>461</v>
      </c>
      <c r="B45" s="704">
        <f>C40</f>
        <v>1135.8800000000001</v>
      </c>
      <c r="C45" s="742"/>
    </row>
    <row r="46" spans="1:9">
      <c r="A46" s="741" t="s">
        <v>462</v>
      </c>
      <c r="B46" s="704">
        <f>D8</f>
        <v>8</v>
      </c>
      <c r="C46" s="449">
        <f>B46*B45</f>
        <v>9087.0400000000009</v>
      </c>
    </row>
    <row r="47" spans="1:9">
      <c r="A47" s="741" t="s">
        <v>303</v>
      </c>
      <c r="B47" s="724">
        <f>B48/4</f>
        <v>12.975950091008732</v>
      </c>
      <c r="C47" s="743"/>
    </row>
    <row r="48" spans="1:9" ht="13.5" thickBot="1">
      <c r="A48" s="1100" t="s">
        <v>447</v>
      </c>
      <c r="B48" s="1101">
        <f>B44/(B45*B46)</f>
        <v>51.903800364034929</v>
      </c>
      <c r="C48" s="742"/>
    </row>
    <row r="49" spans="1:2" ht="13.5" thickBot="1">
      <c r="A49" s="1102" t="s">
        <v>555</v>
      </c>
      <c r="B49" s="1103">
        <v>53.38</v>
      </c>
    </row>
    <row r="50" spans="1:2">
      <c r="A50" s="1075" t="s">
        <v>500</v>
      </c>
      <c r="B50" s="1074">
        <f>(B49-B48)/B48</f>
        <v>2.8441070318773014E-2</v>
      </c>
    </row>
  </sheetData>
  <customSheetViews>
    <customSheetView guid="{4C1AD9FE-DB97-4D30-8CF1-D476DD376A5A}">
      <selection activeCell="F39" sqref="F39"/>
      <pageMargins left="0.75" right="0.75" top="1" bottom="1" header="0.5" footer="0.5"/>
      <pageSetup orientation="portrait" verticalDpi="0" r:id="rId1"/>
      <headerFooter alignWithMargins="0"/>
    </customSheetView>
    <customSheetView guid="{6A16E15D-0E79-4250-8AEC-339F57F63027}">
      <selection activeCell="F39" sqref="F39"/>
      <pageMargins left="0.75" right="0.75" top="1" bottom="1" header="0.5" footer="0.5"/>
      <pageSetup orientation="portrait" verticalDpi="0" r:id="rId2"/>
      <headerFooter alignWithMargins="0"/>
    </customSheetView>
  </customSheetViews>
  <mergeCells count="6">
    <mergeCell ref="L2:Q3"/>
    <mergeCell ref="F5:G6"/>
    <mergeCell ref="J5:K5"/>
    <mergeCell ref="J11:K11"/>
    <mergeCell ref="L11:N11"/>
    <mergeCell ref="Q5:U5"/>
  </mergeCells>
  <pageMargins left="0.75" right="0.75" top="1" bottom="1" header="0.5" footer="0.5"/>
  <pageSetup scale="66" orientation="landscape" r:id="rId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"/>
  <sheetViews>
    <sheetView zoomScale="75" zoomScaleNormal="75" workbookViewId="0">
      <selection activeCell="Y38" sqref="Y38"/>
    </sheetView>
  </sheetViews>
  <sheetFormatPr defaultColWidth="9.42578125" defaultRowHeight="12.75"/>
  <cols>
    <col min="1" max="1" width="2.42578125" style="477" customWidth="1"/>
    <col min="2" max="2" width="29.7109375" style="477" customWidth="1"/>
    <col min="3" max="3" width="9.28515625" style="477" bestFit="1" customWidth="1"/>
    <col min="4" max="4" width="10.28515625" style="477" customWidth="1"/>
    <col min="5" max="5" width="8.140625" style="477" bestFit="1" customWidth="1"/>
    <col min="6" max="6" width="9.85546875" style="477" bestFit="1" customWidth="1"/>
    <col min="7" max="7" width="9" style="477" customWidth="1"/>
    <col min="8" max="8" width="11.7109375" style="477" customWidth="1"/>
    <col min="9" max="9" width="12.42578125" style="477" customWidth="1"/>
    <col min="10" max="10" width="2.85546875" style="479" customWidth="1"/>
    <col min="11" max="11" width="29.85546875" style="480" customWidth="1"/>
    <col min="12" max="12" width="9" style="480" customWidth="1"/>
    <col min="13" max="13" width="10.85546875" style="480" customWidth="1"/>
    <col min="14" max="14" width="8" style="480" bestFit="1" customWidth="1"/>
    <col min="15" max="15" width="9" style="480" bestFit="1" customWidth="1"/>
    <col min="16" max="16" width="11" style="480" bestFit="1" customWidth="1"/>
    <col min="17" max="17" width="12.5703125" style="480" bestFit="1" customWidth="1"/>
    <col min="18" max="18" width="12.140625" style="480" customWidth="1"/>
    <col min="19" max="32" width="2.85546875" style="480" customWidth="1"/>
    <col min="33" max="33" width="22.28515625" style="480" customWidth="1"/>
    <col min="34" max="34" width="9.42578125" style="481" customWidth="1"/>
    <col min="35" max="35" width="8.42578125" style="482" customWidth="1"/>
    <col min="36" max="36" width="9.42578125" style="481" customWidth="1"/>
    <col min="37" max="37" width="7.5703125" style="477" customWidth="1"/>
    <col min="38" max="38" width="7.85546875" style="477" bestFit="1" customWidth="1"/>
    <col min="39" max="39" width="10.28515625" style="477" bestFit="1" customWidth="1"/>
    <col min="40" max="40" width="4.85546875" style="477" customWidth="1"/>
    <col min="41" max="41" width="21.85546875" style="477" bestFit="1" customWidth="1"/>
    <col min="42" max="42" width="8.85546875" style="477" customWidth="1"/>
    <col min="43" max="43" width="7.5703125" style="477" bestFit="1" customWidth="1"/>
    <col min="44" max="44" width="4.5703125" style="477" customWidth="1"/>
    <col min="45" max="256" width="9.42578125" style="477"/>
    <col min="257" max="257" width="2.42578125" style="477" customWidth="1"/>
    <col min="258" max="258" width="29.7109375" style="477" customWidth="1"/>
    <col min="259" max="259" width="9.28515625" style="477" bestFit="1" customWidth="1"/>
    <col min="260" max="260" width="10.28515625" style="477" customWidth="1"/>
    <col min="261" max="261" width="8.140625" style="477" bestFit="1" customWidth="1"/>
    <col min="262" max="262" width="9.85546875" style="477" bestFit="1" customWidth="1"/>
    <col min="263" max="263" width="9" style="477" customWidth="1"/>
    <col min="264" max="264" width="11.7109375" style="477" customWidth="1"/>
    <col min="265" max="265" width="12.42578125" style="477" customWidth="1"/>
    <col min="266" max="266" width="2.85546875" style="477" customWidth="1"/>
    <col min="267" max="267" width="29.85546875" style="477" customWidth="1"/>
    <col min="268" max="268" width="9" style="477" customWidth="1"/>
    <col min="269" max="269" width="10.85546875" style="477" customWidth="1"/>
    <col min="270" max="270" width="8" style="477" bestFit="1" customWidth="1"/>
    <col min="271" max="271" width="9" style="477" bestFit="1" customWidth="1"/>
    <col min="272" max="272" width="11" style="477" bestFit="1" customWidth="1"/>
    <col min="273" max="273" width="12.5703125" style="477" bestFit="1" customWidth="1"/>
    <col min="274" max="274" width="12.140625" style="477" customWidth="1"/>
    <col min="275" max="288" width="2.85546875" style="477" customWidth="1"/>
    <col min="289" max="289" width="22.28515625" style="477" customWidth="1"/>
    <col min="290" max="290" width="9.42578125" style="477" customWidth="1"/>
    <col min="291" max="291" width="8.42578125" style="477" customWidth="1"/>
    <col min="292" max="292" width="9.42578125" style="477" customWidth="1"/>
    <col min="293" max="293" width="7.5703125" style="477" customWidth="1"/>
    <col min="294" max="294" width="7.85546875" style="477" bestFit="1" customWidth="1"/>
    <col min="295" max="295" width="10.28515625" style="477" bestFit="1" customWidth="1"/>
    <col min="296" max="296" width="4.85546875" style="477" customWidth="1"/>
    <col min="297" max="297" width="21.85546875" style="477" bestFit="1" customWidth="1"/>
    <col min="298" max="298" width="8.85546875" style="477" customWidth="1"/>
    <col min="299" max="299" width="7.5703125" style="477" bestFit="1" customWidth="1"/>
    <col min="300" max="300" width="4.5703125" style="477" customWidth="1"/>
    <col min="301" max="512" width="9.42578125" style="477"/>
    <col min="513" max="513" width="2.42578125" style="477" customWidth="1"/>
    <col min="514" max="514" width="29.7109375" style="477" customWidth="1"/>
    <col min="515" max="515" width="9.28515625" style="477" bestFit="1" customWidth="1"/>
    <col min="516" max="516" width="10.28515625" style="477" customWidth="1"/>
    <col min="517" max="517" width="8.140625" style="477" bestFit="1" customWidth="1"/>
    <col min="518" max="518" width="9.85546875" style="477" bestFit="1" customWidth="1"/>
    <col min="519" max="519" width="9" style="477" customWidth="1"/>
    <col min="520" max="520" width="11.7109375" style="477" customWidth="1"/>
    <col min="521" max="521" width="12.42578125" style="477" customWidth="1"/>
    <col min="522" max="522" width="2.85546875" style="477" customWidth="1"/>
    <col min="523" max="523" width="29.85546875" style="477" customWidth="1"/>
    <col min="524" max="524" width="9" style="477" customWidth="1"/>
    <col min="525" max="525" width="10.85546875" style="477" customWidth="1"/>
    <col min="526" max="526" width="8" style="477" bestFit="1" customWidth="1"/>
    <col min="527" max="527" width="9" style="477" bestFit="1" customWidth="1"/>
    <col min="528" max="528" width="11" style="477" bestFit="1" customWidth="1"/>
    <col min="529" max="529" width="12.5703125" style="477" bestFit="1" customWidth="1"/>
    <col min="530" max="530" width="12.140625" style="477" customWidth="1"/>
    <col min="531" max="544" width="2.85546875" style="477" customWidth="1"/>
    <col min="545" max="545" width="22.28515625" style="477" customWidth="1"/>
    <col min="546" max="546" width="9.42578125" style="477" customWidth="1"/>
    <col min="547" max="547" width="8.42578125" style="477" customWidth="1"/>
    <col min="548" max="548" width="9.42578125" style="477" customWidth="1"/>
    <col min="549" max="549" width="7.5703125" style="477" customWidth="1"/>
    <col min="550" max="550" width="7.85546875" style="477" bestFit="1" customWidth="1"/>
    <col min="551" max="551" width="10.28515625" style="477" bestFit="1" customWidth="1"/>
    <col min="552" max="552" width="4.85546875" style="477" customWidth="1"/>
    <col min="553" max="553" width="21.85546875" style="477" bestFit="1" customWidth="1"/>
    <col min="554" max="554" width="8.85546875" style="477" customWidth="1"/>
    <col min="555" max="555" width="7.5703125" style="477" bestFit="1" customWidth="1"/>
    <col min="556" max="556" width="4.5703125" style="477" customWidth="1"/>
    <col min="557" max="768" width="9.42578125" style="477"/>
    <col min="769" max="769" width="2.42578125" style="477" customWidth="1"/>
    <col min="770" max="770" width="29.7109375" style="477" customWidth="1"/>
    <col min="771" max="771" width="9.28515625" style="477" bestFit="1" customWidth="1"/>
    <col min="772" max="772" width="10.28515625" style="477" customWidth="1"/>
    <col min="773" max="773" width="8.140625" style="477" bestFit="1" customWidth="1"/>
    <col min="774" max="774" width="9.85546875" style="477" bestFit="1" customWidth="1"/>
    <col min="775" max="775" width="9" style="477" customWidth="1"/>
    <col min="776" max="776" width="11.7109375" style="477" customWidth="1"/>
    <col min="777" max="777" width="12.42578125" style="477" customWidth="1"/>
    <col min="778" max="778" width="2.85546875" style="477" customWidth="1"/>
    <col min="779" max="779" width="29.85546875" style="477" customWidth="1"/>
    <col min="780" max="780" width="9" style="477" customWidth="1"/>
    <col min="781" max="781" width="10.85546875" style="477" customWidth="1"/>
    <col min="782" max="782" width="8" style="477" bestFit="1" customWidth="1"/>
    <col min="783" max="783" width="9" style="477" bestFit="1" customWidth="1"/>
    <col min="784" max="784" width="11" style="477" bestFit="1" customWidth="1"/>
    <col min="785" max="785" width="12.5703125" style="477" bestFit="1" customWidth="1"/>
    <col min="786" max="786" width="12.140625" style="477" customWidth="1"/>
    <col min="787" max="800" width="2.85546875" style="477" customWidth="1"/>
    <col min="801" max="801" width="22.28515625" style="477" customWidth="1"/>
    <col min="802" max="802" width="9.42578125" style="477" customWidth="1"/>
    <col min="803" max="803" width="8.42578125" style="477" customWidth="1"/>
    <col min="804" max="804" width="9.42578125" style="477" customWidth="1"/>
    <col min="805" max="805" width="7.5703125" style="477" customWidth="1"/>
    <col min="806" max="806" width="7.85546875" style="477" bestFit="1" customWidth="1"/>
    <col min="807" max="807" width="10.28515625" style="477" bestFit="1" customWidth="1"/>
    <col min="808" max="808" width="4.85546875" style="477" customWidth="1"/>
    <col min="809" max="809" width="21.85546875" style="477" bestFit="1" customWidth="1"/>
    <col min="810" max="810" width="8.85546875" style="477" customWidth="1"/>
    <col min="811" max="811" width="7.5703125" style="477" bestFit="1" customWidth="1"/>
    <col min="812" max="812" width="4.5703125" style="477" customWidth="1"/>
    <col min="813" max="1024" width="9.42578125" style="477"/>
    <col min="1025" max="1025" width="2.42578125" style="477" customWidth="1"/>
    <col min="1026" max="1026" width="29.7109375" style="477" customWidth="1"/>
    <col min="1027" max="1027" width="9.28515625" style="477" bestFit="1" customWidth="1"/>
    <col min="1028" max="1028" width="10.28515625" style="477" customWidth="1"/>
    <col min="1029" max="1029" width="8.140625" style="477" bestFit="1" customWidth="1"/>
    <col min="1030" max="1030" width="9.85546875" style="477" bestFit="1" customWidth="1"/>
    <col min="1031" max="1031" width="9" style="477" customWidth="1"/>
    <col min="1032" max="1032" width="11.7109375" style="477" customWidth="1"/>
    <col min="1033" max="1033" width="12.42578125" style="477" customWidth="1"/>
    <col min="1034" max="1034" width="2.85546875" style="477" customWidth="1"/>
    <col min="1035" max="1035" width="29.85546875" style="477" customWidth="1"/>
    <col min="1036" max="1036" width="9" style="477" customWidth="1"/>
    <col min="1037" max="1037" width="10.85546875" style="477" customWidth="1"/>
    <col min="1038" max="1038" width="8" style="477" bestFit="1" customWidth="1"/>
    <col min="1039" max="1039" width="9" style="477" bestFit="1" customWidth="1"/>
    <col min="1040" max="1040" width="11" style="477" bestFit="1" customWidth="1"/>
    <col min="1041" max="1041" width="12.5703125" style="477" bestFit="1" customWidth="1"/>
    <col min="1042" max="1042" width="12.140625" style="477" customWidth="1"/>
    <col min="1043" max="1056" width="2.85546875" style="477" customWidth="1"/>
    <col min="1057" max="1057" width="22.28515625" style="477" customWidth="1"/>
    <col min="1058" max="1058" width="9.42578125" style="477" customWidth="1"/>
    <col min="1059" max="1059" width="8.42578125" style="477" customWidth="1"/>
    <col min="1060" max="1060" width="9.42578125" style="477" customWidth="1"/>
    <col min="1061" max="1061" width="7.5703125" style="477" customWidth="1"/>
    <col min="1062" max="1062" width="7.85546875" style="477" bestFit="1" customWidth="1"/>
    <col min="1063" max="1063" width="10.28515625" style="477" bestFit="1" customWidth="1"/>
    <col min="1064" max="1064" width="4.85546875" style="477" customWidth="1"/>
    <col min="1065" max="1065" width="21.85546875" style="477" bestFit="1" customWidth="1"/>
    <col min="1066" max="1066" width="8.85546875" style="477" customWidth="1"/>
    <col min="1067" max="1067" width="7.5703125" style="477" bestFit="1" customWidth="1"/>
    <col min="1068" max="1068" width="4.5703125" style="477" customWidth="1"/>
    <col min="1069" max="1280" width="9.42578125" style="477"/>
    <col min="1281" max="1281" width="2.42578125" style="477" customWidth="1"/>
    <col min="1282" max="1282" width="29.7109375" style="477" customWidth="1"/>
    <col min="1283" max="1283" width="9.28515625" style="477" bestFit="1" customWidth="1"/>
    <col min="1284" max="1284" width="10.28515625" style="477" customWidth="1"/>
    <col min="1285" max="1285" width="8.140625" style="477" bestFit="1" customWidth="1"/>
    <col min="1286" max="1286" width="9.85546875" style="477" bestFit="1" customWidth="1"/>
    <col min="1287" max="1287" width="9" style="477" customWidth="1"/>
    <col min="1288" max="1288" width="11.7109375" style="477" customWidth="1"/>
    <col min="1289" max="1289" width="12.42578125" style="477" customWidth="1"/>
    <col min="1290" max="1290" width="2.85546875" style="477" customWidth="1"/>
    <col min="1291" max="1291" width="29.85546875" style="477" customWidth="1"/>
    <col min="1292" max="1292" width="9" style="477" customWidth="1"/>
    <col min="1293" max="1293" width="10.85546875" style="477" customWidth="1"/>
    <col min="1294" max="1294" width="8" style="477" bestFit="1" customWidth="1"/>
    <col min="1295" max="1295" width="9" style="477" bestFit="1" customWidth="1"/>
    <col min="1296" max="1296" width="11" style="477" bestFit="1" customWidth="1"/>
    <col min="1297" max="1297" width="12.5703125" style="477" bestFit="1" customWidth="1"/>
    <col min="1298" max="1298" width="12.140625" style="477" customWidth="1"/>
    <col min="1299" max="1312" width="2.85546875" style="477" customWidth="1"/>
    <col min="1313" max="1313" width="22.28515625" style="477" customWidth="1"/>
    <col min="1314" max="1314" width="9.42578125" style="477" customWidth="1"/>
    <col min="1315" max="1315" width="8.42578125" style="477" customWidth="1"/>
    <col min="1316" max="1316" width="9.42578125" style="477" customWidth="1"/>
    <col min="1317" max="1317" width="7.5703125" style="477" customWidth="1"/>
    <col min="1318" max="1318" width="7.85546875" style="477" bestFit="1" customWidth="1"/>
    <col min="1319" max="1319" width="10.28515625" style="477" bestFit="1" customWidth="1"/>
    <col min="1320" max="1320" width="4.85546875" style="477" customWidth="1"/>
    <col min="1321" max="1321" width="21.85546875" style="477" bestFit="1" customWidth="1"/>
    <col min="1322" max="1322" width="8.85546875" style="477" customWidth="1"/>
    <col min="1323" max="1323" width="7.5703125" style="477" bestFit="1" customWidth="1"/>
    <col min="1324" max="1324" width="4.5703125" style="477" customWidth="1"/>
    <col min="1325" max="1536" width="9.42578125" style="477"/>
    <col min="1537" max="1537" width="2.42578125" style="477" customWidth="1"/>
    <col min="1538" max="1538" width="29.7109375" style="477" customWidth="1"/>
    <col min="1539" max="1539" width="9.28515625" style="477" bestFit="1" customWidth="1"/>
    <col min="1540" max="1540" width="10.28515625" style="477" customWidth="1"/>
    <col min="1541" max="1541" width="8.140625" style="477" bestFit="1" customWidth="1"/>
    <col min="1542" max="1542" width="9.85546875" style="477" bestFit="1" customWidth="1"/>
    <col min="1543" max="1543" width="9" style="477" customWidth="1"/>
    <col min="1544" max="1544" width="11.7109375" style="477" customWidth="1"/>
    <col min="1545" max="1545" width="12.42578125" style="477" customWidth="1"/>
    <col min="1546" max="1546" width="2.85546875" style="477" customWidth="1"/>
    <col min="1547" max="1547" width="29.85546875" style="477" customWidth="1"/>
    <col min="1548" max="1548" width="9" style="477" customWidth="1"/>
    <col min="1549" max="1549" width="10.85546875" style="477" customWidth="1"/>
    <col min="1550" max="1550" width="8" style="477" bestFit="1" customWidth="1"/>
    <col min="1551" max="1551" width="9" style="477" bestFit="1" customWidth="1"/>
    <col min="1552" max="1552" width="11" style="477" bestFit="1" customWidth="1"/>
    <col min="1553" max="1553" width="12.5703125" style="477" bestFit="1" customWidth="1"/>
    <col min="1554" max="1554" width="12.140625" style="477" customWidth="1"/>
    <col min="1555" max="1568" width="2.85546875" style="477" customWidth="1"/>
    <col min="1569" max="1569" width="22.28515625" style="477" customWidth="1"/>
    <col min="1570" max="1570" width="9.42578125" style="477" customWidth="1"/>
    <col min="1571" max="1571" width="8.42578125" style="477" customWidth="1"/>
    <col min="1572" max="1572" width="9.42578125" style="477" customWidth="1"/>
    <col min="1573" max="1573" width="7.5703125" style="477" customWidth="1"/>
    <col min="1574" max="1574" width="7.85546875" style="477" bestFit="1" customWidth="1"/>
    <col min="1575" max="1575" width="10.28515625" style="477" bestFit="1" customWidth="1"/>
    <col min="1576" max="1576" width="4.85546875" style="477" customWidth="1"/>
    <col min="1577" max="1577" width="21.85546875" style="477" bestFit="1" customWidth="1"/>
    <col min="1578" max="1578" width="8.85546875" style="477" customWidth="1"/>
    <col min="1579" max="1579" width="7.5703125" style="477" bestFit="1" customWidth="1"/>
    <col min="1580" max="1580" width="4.5703125" style="477" customWidth="1"/>
    <col min="1581" max="1792" width="9.42578125" style="477"/>
    <col min="1793" max="1793" width="2.42578125" style="477" customWidth="1"/>
    <col min="1794" max="1794" width="29.7109375" style="477" customWidth="1"/>
    <col min="1795" max="1795" width="9.28515625" style="477" bestFit="1" customWidth="1"/>
    <col min="1796" max="1796" width="10.28515625" style="477" customWidth="1"/>
    <col min="1797" max="1797" width="8.140625" style="477" bestFit="1" customWidth="1"/>
    <col min="1798" max="1798" width="9.85546875" style="477" bestFit="1" customWidth="1"/>
    <col min="1799" max="1799" width="9" style="477" customWidth="1"/>
    <col min="1800" max="1800" width="11.7109375" style="477" customWidth="1"/>
    <col min="1801" max="1801" width="12.42578125" style="477" customWidth="1"/>
    <col min="1802" max="1802" width="2.85546875" style="477" customWidth="1"/>
    <col min="1803" max="1803" width="29.85546875" style="477" customWidth="1"/>
    <col min="1804" max="1804" width="9" style="477" customWidth="1"/>
    <col min="1805" max="1805" width="10.85546875" style="477" customWidth="1"/>
    <col min="1806" max="1806" width="8" style="477" bestFit="1" customWidth="1"/>
    <col min="1807" max="1807" width="9" style="477" bestFit="1" customWidth="1"/>
    <col min="1808" max="1808" width="11" style="477" bestFit="1" customWidth="1"/>
    <col min="1809" max="1809" width="12.5703125" style="477" bestFit="1" customWidth="1"/>
    <col min="1810" max="1810" width="12.140625" style="477" customWidth="1"/>
    <col min="1811" max="1824" width="2.85546875" style="477" customWidth="1"/>
    <col min="1825" max="1825" width="22.28515625" style="477" customWidth="1"/>
    <col min="1826" max="1826" width="9.42578125" style="477" customWidth="1"/>
    <col min="1827" max="1827" width="8.42578125" style="477" customWidth="1"/>
    <col min="1828" max="1828" width="9.42578125" style="477" customWidth="1"/>
    <col min="1829" max="1829" width="7.5703125" style="477" customWidth="1"/>
    <col min="1830" max="1830" width="7.85546875" style="477" bestFit="1" customWidth="1"/>
    <col min="1831" max="1831" width="10.28515625" style="477" bestFit="1" customWidth="1"/>
    <col min="1832" max="1832" width="4.85546875" style="477" customWidth="1"/>
    <col min="1833" max="1833" width="21.85546875" style="477" bestFit="1" customWidth="1"/>
    <col min="1834" max="1834" width="8.85546875" style="477" customWidth="1"/>
    <col min="1835" max="1835" width="7.5703125" style="477" bestFit="1" customWidth="1"/>
    <col min="1836" max="1836" width="4.5703125" style="477" customWidth="1"/>
    <col min="1837" max="2048" width="9.42578125" style="477"/>
    <col min="2049" max="2049" width="2.42578125" style="477" customWidth="1"/>
    <col min="2050" max="2050" width="29.7109375" style="477" customWidth="1"/>
    <col min="2051" max="2051" width="9.28515625" style="477" bestFit="1" customWidth="1"/>
    <col min="2052" max="2052" width="10.28515625" style="477" customWidth="1"/>
    <col min="2053" max="2053" width="8.140625" style="477" bestFit="1" customWidth="1"/>
    <col min="2054" max="2054" width="9.85546875" style="477" bestFit="1" customWidth="1"/>
    <col min="2055" max="2055" width="9" style="477" customWidth="1"/>
    <col min="2056" max="2056" width="11.7109375" style="477" customWidth="1"/>
    <col min="2057" max="2057" width="12.42578125" style="477" customWidth="1"/>
    <col min="2058" max="2058" width="2.85546875" style="477" customWidth="1"/>
    <col min="2059" max="2059" width="29.85546875" style="477" customWidth="1"/>
    <col min="2060" max="2060" width="9" style="477" customWidth="1"/>
    <col min="2061" max="2061" width="10.85546875" style="477" customWidth="1"/>
    <col min="2062" max="2062" width="8" style="477" bestFit="1" customWidth="1"/>
    <col min="2063" max="2063" width="9" style="477" bestFit="1" customWidth="1"/>
    <col min="2064" max="2064" width="11" style="477" bestFit="1" customWidth="1"/>
    <col min="2065" max="2065" width="12.5703125" style="477" bestFit="1" customWidth="1"/>
    <col min="2066" max="2066" width="12.140625" style="477" customWidth="1"/>
    <col min="2067" max="2080" width="2.85546875" style="477" customWidth="1"/>
    <col min="2081" max="2081" width="22.28515625" style="477" customWidth="1"/>
    <col min="2082" max="2082" width="9.42578125" style="477" customWidth="1"/>
    <col min="2083" max="2083" width="8.42578125" style="477" customWidth="1"/>
    <col min="2084" max="2084" width="9.42578125" style="477" customWidth="1"/>
    <col min="2085" max="2085" width="7.5703125" style="477" customWidth="1"/>
    <col min="2086" max="2086" width="7.85546875" style="477" bestFit="1" customWidth="1"/>
    <col min="2087" max="2087" width="10.28515625" style="477" bestFit="1" customWidth="1"/>
    <col min="2088" max="2088" width="4.85546875" style="477" customWidth="1"/>
    <col min="2089" max="2089" width="21.85546875" style="477" bestFit="1" customWidth="1"/>
    <col min="2090" max="2090" width="8.85546875" style="477" customWidth="1"/>
    <col min="2091" max="2091" width="7.5703125" style="477" bestFit="1" customWidth="1"/>
    <col min="2092" max="2092" width="4.5703125" style="477" customWidth="1"/>
    <col min="2093" max="2304" width="9.42578125" style="477"/>
    <col min="2305" max="2305" width="2.42578125" style="477" customWidth="1"/>
    <col min="2306" max="2306" width="29.7109375" style="477" customWidth="1"/>
    <col min="2307" max="2307" width="9.28515625" style="477" bestFit="1" customWidth="1"/>
    <col min="2308" max="2308" width="10.28515625" style="477" customWidth="1"/>
    <col min="2309" max="2309" width="8.140625" style="477" bestFit="1" customWidth="1"/>
    <col min="2310" max="2310" width="9.85546875" style="477" bestFit="1" customWidth="1"/>
    <col min="2311" max="2311" width="9" style="477" customWidth="1"/>
    <col min="2312" max="2312" width="11.7109375" style="477" customWidth="1"/>
    <col min="2313" max="2313" width="12.42578125" style="477" customWidth="1"/>
    <col min="2314" max="2314" width="2.85546875" style="477" customWidth="1"/>
    <col min="2315" max="2315" width="29.85546875" style="477" customWidth="1"/>
    <col min="2316" max="2316" width="9" style="477" customWidth="1"/>
    <col min="2317" max="2317" width="10.85546875" style="477" customWidth="1"/>
    <col min="2318" max="2318" width="8" style="477" bestFit="1" customWidth="1"/>
    <col min="2319" max="2319" width="9" style="477" bestFit="1" customWidth="1"/>
    <col min="2320" max="2320" width="11" style="477" bestFit="1" customWidth="1"/>
    <col min="2321" max="2321" width="12.5703125" style="477" bestFit="1" customWidth="1"/>
    <col min="2322" max="2322" width="12.140625" style="477" customWidth="1"/>
    <col min="2323" max="2336" width="2.85546875" style="477" customWidth="1"/>
    <col min="2337" max="2337" width="22.28515625" style="477" customWidth="1"/>
    <col min="2338" max="2338" width="9.42578125" style="477" customWidth="1"/>
    <col min="2339" max="2339" width="8.42578125" style="477" customWidth="1"/>
    <col min="2340" max="2340" width="9.42578125" style="477" customWidth="1"/>
    <col min="2341" max="2341" width="7.5703125" style="477" customWidth="1"/>
    <col min="2342" max="2342" width="7.85546875" style="477" bestFit="1" customWidth="1"/>
    <col min="2343" max="2343" width="10.28515625" style="477" bestFit="1" customWidth="1"/>
    <col min="2344" max="2344" width="4.85546875" style="477" customWidth="1"/>
    <col min="2345" max="2345" width="21.85546875" style="477" bestFit="1" customWidth="1"/>
    <col min="2346" max="2346" width="8.85546875" style="477" customWidth="1"/>
    <col min="2347" max="2347" width="7.5703125" style="477" bestFit="1" customWidth="1"/>
    <col min="2348" max="2348" width="4.5703125" style="477" customWidth="1"/>
    <col min="2349" max="2560" width="9.42578125" style="477"/>
    <col min="2561" max="2561" width="2.42578125" style="477" customWidth="1"/>
    <col min="2562" max="2562" width="29.7109375" style="477" customWidth="1"/>
    <col min="2563" max="2563" width="9.28515625" style="477" bestFit="1" customWidth="1"/>
    <col min="2564" max="2564" width="10.28515625" style="477" customWidth="1"/>
    <col min="2565" max="2565" width="8.140625" style="477" bestFit="1" customWidth="1"/>
    <col min="2566" max="2566" width="9.85546875" style="477" bestFit="1" customWidth="1"/>
    <col min="2567" max="2567" width="9" style="477" customWidth="1"/>
    <col min="2568" max="2568" width="11.7109375" style="477" customWidth="1"/>
    <col min="2569" max="2569" width="12.42578125" style="477" customWidth="1"/>
    <col min="2570" max="2570" width="2.85546875" style="477" customWidth="1"/>
    <col min="2571" max="2571" width="29.85546875" style="477" customWidth="1"/>
    <col min="2572" max="2572" width="9" style="477" customWidth="1"/>
    <col min="2573" max="2573" width="10.85546875" style="477" customWidth="1"/>
    <col min="2574" max="2574" width="8" style="477" bestFit="1" customWidth="1"/>
    <col min="2575" max="2575" width="9" style="477" bestFit="1" customWidth="1"/>
    <col min="2576" max="2576" width="11" style="477" bestFit="1" customWidth="1"/>
    <col min="2577" max="2577" width="12.5703125" style="477" bestFit="1" customWidth="1"/>
    <col min="2578" max="2578" width="12.140625" style="477" customWidth="1"/>
    <col min="2579" max="2592" width="2.85546875" style="477" customWidth="1"/>
    <col min="2593" max="2593" width="22.28515625" style="477" customWidth="1"/>
    <col min="2594" max="2594" width="9.42578125" style="477" customWidth="1"/>
    <col min="2595" max="2595" width="8.42578125" style="477" customWidth="1"/>
    <col min="2596" max="2596" width="9.42578125" style="477" customWidth="1"/>
    <col min="2597" max="2597" width="7.5703125" style="477" customWidth="1"/>
    <col min="2598" max="2598" width="7.85546875" style="477" bestFit="1" customWidth="1"/>
    <col min="2599" max="2599" width="10.28515625" style="477" bestFit="1" customWidth="1"/>
    <col min="2600" max="2600" width="4.85546875" style="477" customWidth="1"/>
    <col min="2601" max="2601" width="21.85546875" style="477" bestFit="1" customWidth="1"/>
    <col min="2602" max="2602" width="8.85546875" style="477" customWidth="1"/>
    <col min="2603" max="2603" width="7.5703125" style="477" bestFit="1" customWidth="1"/>
    <col min="2604" max="2604" width="4.5703125" style="477" customWidth="1"/>
    <col min="2605" max="2816" width="9.42578125" style="477"/>
    <col min="2817" max="2817" width="2.42578125" style="477" customWidth="1"/>
    <col min="2818" max="2818" width="29.7109375" style="477" customWidth="1"/>
    <col min="2819" max="2819" width="9.28515625" style="477" bestFit="1" customWidth="1"/>
    <col min="2820" max="2820" width="10.28515625" style="477" customWidth="1"/>
    <col min="2821" max="2821" width="8.140625" style="477" bestFit="1" customWidth="1"/>
    <col min="2822" max="2822" width="9.85546875" style="477" bestFit="1" customWidth="1"/>
    <col min="2823" max="2823" width="9" style="477" customWidth="1"/>
    <col min="2824" max="2824" width="11.7109375" style="477" customWidth="1"/>
    <col min="2825" max="2825" width="12.42578125" style="477" customWidth="1"/>
    <col min="2826" max="2826" width="2.85546875" style="477" customWidth="1"/>
    <col min="2827" max="2827" width="29.85546875" style="477" customWidth="1"/>
    <col min="2828" max="2828" width="9" style="477" customWidth="1"/>
    <col min="2829" max="2829" width="10.85546875" style="477" customWidth="1"/>
    <col min="2830" max="2830" width="8" style="477" bestFit="1" customWidth="1"/>
    <col min="2831" max="2831" width="9" style="477" bestFit="1" customWidth="1"/>
    <col min="2832" max="2832" width="11" style="477" bestFit="1" customWidth="1"/>
    <col min="2833" max="2833" width="12.5703125" style="477" bestFit="1" customWidth="1"/>
    <col min="2834" max="2834" width="12.140625" style="477" customWidth="1"/>
    <col min="2835" max="2848" width="2.85546875" style="477" customWidth="1"/>
    <col min="2849" max="2849" width="22.28515625" style="477" customWidth="1"/>
    <col min="2850" max="2850" width="9.42578125" style="477" customWidth="1"/>
    <col min="2851" max="2851" width="8.42578125" style="477" customWidth="1"/>
    <col min="2852" max="2852" width="9.42578125" style="477" customWidth="1"/>
    <col min="2853" max="2853" width="7.5703125" style="477" customWidth="1"/>
    <col min="2854" max="2854" width="7.85546875" style="477" bestFit="1" customWidth="1"/>
    <col min="2855" max="2855" width="10.28515625" style="477" bestFit="1" customWidth="1"/>
    <col min="2856" max="2856" width="4.85546875" style="477" customWidth="1"/>
    <col min="2857" max="2857" width="21.85546875" style="477" bestFit="1" customWidth="1"/>
    <col min="2858" max="2858" width="8.85546875" style="477" customWidth="1"/>
    <col min="2859" max="2859" width="7.5703125" style="477" bestFit="1" customWidth="1"/>
    <col min="2860" max="2860" width="4.5703125" style="477" customWidth="1"/>
    <col min="2861" max="3072" width="9.42578125" style="477"/>
    <col min="3073" max="3073" width="2.42578125" style="477" customWidth="1"/>
    <col min="3074" max="3074" width="29.7109375" style="477" customWidth="1"/>
    <col min="3075" max="3075" width="9.28515625" style="477" bestFit="1" customWidth="1"/>
    <col min="3076" max="3076" width="10.28515625" style="477" customWidth="1"/>
    <col min="3077" max="3077" width="8.140625" style="477" bestFit="1" customWidth="1"/>
    <col min="3078" max="3078" width="9.85546875" style="477" bestFit="1" customWidth="1"/>
    <col min="3079" max="3079" width="9" style="477" customWidth="1"/>
    <col min="3080" max="3080" width="11.7109375" style="477" customWidth="1"/>
    <col min="3081" max="3081" width="12.42578125" style="477" customWidth="1"/>
    <col min="3082" max="3082" width="2.85546875" style="477" customWidth="1"/>
    <col min="3083" max="3083" width="29.85546875" style="477" customWidth="1"/>
    <col min="3084" max="3084" width="9" style="477" customWidth="1"/>
    <col min="3085" max="3085" width="10.85546875" style="477" customWidth="1"/>
    <col min="3086" max="3086" width="8" style="477" bestFit="1" customWidth="1"/>
    <col min="3087" max="3087" width="9" style="477" bestFit="1" customWidth="1"/>
    <col min="3088" max="3088" width="11" style="477" bestFit="1" customWidth="1"/>
    <col min="3089" max="3089" width="12.5703125" style="477" bestFit="1" customWidth="1"/>
    <col min="3090" max="3090" width="12.140625" style="477" customWidth="1"/>
    <col min="3091" max="3104" width="2.85546875" style="477" customWidth="1"/>
    <col min="3105" max="3105" width="22.28515625" style="477" customWidth="1"/>
    <col min="3106" max="3106" width="9.42578125" style="477" customWidth="1"/>
    <col min="3107" max="3107" width="8.42578125" style="477" customWidth="1"/>
    <col min="3108" max="3108" width="9.42578125" style="477" customWidth="1"/>
    <col min="3109" max="3109" width="7.5703125" style="477" customWidth="1"/>
    <col min="3110" max="3110" width="7.85546875" style="477" bestFit="1" customWidth="1"/>
    <col min="3111" max="3111" width="10.28515625" style="477" bestFit="1" customWidth="1"/>
    <col min="3112" max="3112" width="4.85546875" style="477" customWidth="1"/>
    <col min="3113" max="3113" width="21.85546875" style="477" bestFit="1" customWidth="1"/>
    <col min="3114" max="3114" width="8.85546875" style="477" customWidth="1"/>
    <col min="3115" max="3115" width="7.5703125" style="477" bestFit="1" customWidth="1"/>
    <col min="3116" max="3116" width="4.5703125" style="477" customWidth="1"/>
    <col min="3117" max="3328" width="9.42578125" style="477"/>
    <col min="3329" max="3329" width="2.42578125" style="477" customWidth="1"/>
    <col min="3330" max="3330" width="29.7109375" style="477" customWidth="1"/>
    <col min="3331" max="3331" width="9.28515625" style="477" bestFit="1" customWidth="1"/>
    <col min="3332" max="3332" width="10.28515625" style="477" customWidth="1"/>
    <col min="3333" max="3333" width="8.140625" style="477" bestFit="1" customWidth="1"/>
    <col min="3334" max="3334" width="9.85546875" style="477" bestFit="1" customWidth="1"/>
    <col min="3335" max="3335" width="9" style="477" customWidth="1"/>
    <col min="3336" max="3336" width="11.7109375" style="477" customWidth="1"/>
    <col min="3337" max="3337" width="12.42578125" style="477" customWidth="1"/>
    <col min="3338" max="3338" width="2.85546875" style="477" customWidth="1"/>
    <col min="3339" max="3339" width="29.85546875" style="477" customWidth="1"/>
    <col min="3340" max="3340" width="9" style="477" customWidth="1"/>
    <col min="3341" max="3341" width="10.85546875" style="477" customWidth="1"/>
    <col min="3342" max="3342" width="8" style="477" bestFit="1" customWidth="1"/>
    <col min="3343" max="3343" width="9" style="477" bestFit="1" customWidth="1"/>
    <col min="3344" max="3344" width="11" style="477" bestFit="1" customWidth="1"/>
    <col min="3345" max="3345" width="12.5703125" style="477" bestFit="1" customWidth="1"/>
    <col min="3346" max="3346" width="12.140625" style="477" customWidth="1"/>
    <col min="3347" max="3360" width="2.85546875" style="477" customWidth="1"/>
    <col min="3361" max="3361" width="22.28515625" style="477" customWidth="1"/>
    <col min="3362" max="3362" width="9.42578125" style="477" customWidth="1"/>
    <col min="3363" max="3363" width="8.42578125" style="477" customWidth="1"/>
    <col min="3364" max="3364" width="9.42578125" style="477" customWidth="1"/>
    <col min="3365" max="3365" width="7.5703125" style="477" customWidth="1"/>
    <col min="3366" max="3366" width="7.85546875" style="477" bestFit="1" customWidth="1"/>
    <col min="3367" max="3367" width="10.28515625" style="477" bestFit="1" customWidth="1"/>
    <col min="3368" max="3368" width="4.85546875" style="477" customWidth="1"/>
    <col min="3369" max="3369" width="21.85546875" style="477" bestFit="1" customWidth="1"/>
    <col min="3370" max="3370" width="8.85546875" style="477" customWidth="1"/>
    <col min="3371" max="3371" width="7.5703125" style="477" bestFit="1" customWidth="1"/>
    <col min="3372" max="3372" width="4.5703125" style="477" customWidth="1"/>
    <col min="3373" max="3584" width="9.42578125" style="477"/>
    <col min="3585" max="3585" width="2.42578125" style="477" customWidth="1"/>
    <col min="3586" max="3586" width="29.7109375" style="477" customWidth="1"/>
    <col min="3587" max="3587" width="9.28515625" style="477" bestFit="1" customWidth="1"/>
    <col min="3588" max="3588" width="10.28515625" style="477" customWidth="1"/>
    <col min="3589" max="3589" width="8.140625" style="477" bestFit="1" customWidth="1"/>
    <col min="3590" max="3590" width="9.85546875" style="477" bestFit="1" customWidth="1"/>
    <col min="3591" max="3591" width="9" style="477" customWidth="1"/>
    <col min="3592" max="3592" width="11.7109375" style="477" customWidth="1"/>
    <col min="3593" max="3593" width="12.42578125" style="477" customWidth="1"/>
    <col min="3594" max="3594" width="2.85546875" style="477" customWidth="1"/>
    <col min="3595" max="3595" width="29.85546875" style="477" customWidth="1"/>
    <col min="3596" max="3596" width="9" style="477" customWidth="1"/>
    <col min="3597" max="3597" width="10.85546875" style="477" customWidth="1"/>
    <col min="3598" max="3598" width="8" style="477" bestFit="1" customWidth="1"/>
    <col min="3599" max="3599" width="9" style="477" bestFit="1" customWidth="1"/>
    <col min="3600" max="3600" width="11" style="477" bestFit="1" customWidth="1"/>
    <col min="3601" max="3601" width="12.5703125" style="477" bestFit="1" customWidth="1"/>
    <col min="3602" max="3602" width="12.140625" style="477" customWidth="1"/>
    <col min="3603" max="3616" width="2.85546875" style="477" customWidth="1"/>
    <col min="3617" max="3617" width="22.28515625" style="477" customWidth="1"/>
    <col min="3618" max="3618" width="9.42578125" style="477" customWidth="1"/>
    <col min="3619" max="3619" width="8.42578125" style="477" customWidth="1"/>
    <col min="3620" max="3620" width="9.42578125" style="477" customWidth="1"/>
    <col min="3621" max="3621" width="7.5703125" style="477" customWidth="1"/>
    <col min="3622" max="3622" width="7.85546875" style="477" bestFit="1" customWidth="1"/>
    <col min="3623" max="3623" width="10.28515625" style="477" bestFit="1" customWidth="1"/>
    <col min="3624" max="3624" width="4.85546875" style="477" customWidth="1"/>
    <col min="3625" max="3625" width="21.85546875" style="477" bestFit="1" customWidth="1"/>
    <col min="3626" max="3626" width="8.85546875" style="477" customWidth="1"/>
    <col min="3627" max="3627" width="7.5703125" style="477" bestFit="1" customWidth="1"/>
    <col min="3628" max="3628" width="4.5703125" style="477" customWidth="1"/>
    <col min="3629" max="3840" width="9.42578125" style="477"/>
    <col min="3841" max="3841" width="2.42578125" style="477" customWidth="1"/>
    <col min="3842" max="3842" width="29.7109375" style="477" customWidth="1"/>
    <col min="3843" max="3843" width="9.28515625" style="477" bestFit="1" customWidth="1"/>
    <col min="3844" max="3844" width="10.28515625" style="477" customWidth="1"/>
    <col min="3845" max="3845" width="8.140625" style="477" bestFit="1" customWidth="1"/>
    <col min="3846" max="3846" width="9.85546875" style="477" bestFit="1" customWidth="1"/>
    <col min="3847" max="3847" width="9" style="477" customWidth="1"/>
    <col min="3848" max="3848" width="11.7109375" style="477" customWidth="1"/>
    <col min="3849" max="3849" width="12.42578125" style="477" customWidth="1"/>
    <col min="3850" max="3850" width="2.85546875" style="477" customWidth="1"/>
    <col min="3851" max="3851" width="29.85546875" style="477" customWidth="1"/>
    <col min="3852" max="3852" width="9" style="477" customWidth="1"/>
    <col min="3853" max="3853" width="10.85546875" style="477" customWidth="1"/>
    <col min="3854" max="3854" width="8" style="477" bestFit="1" customWidth="1"/>
    <col min="3855" max="3855" width="9" style="477" bestFit="1" customWidth="1"/>
    <col min="3856" max="3856" width="11" style="477" bestFit="1" customWidth="1"/>
    <col min="3857" max="3857" width="12.5703125" style="477" bestFit="1" customWidth="1"/>
    <col min="3858" max="3858" width="12.140625" style="477" customWidth="1"/>
    <col min="3859" max="3872" width="2.85546875" style="477" customWidth="1"/>
    <col min="3873" max="3873" width="22.28515625" style="477" customWidth="1"/>
    <col min="3874" max="3874" width="9.42578125" style="477" customWidth="1"/>
    <col min="3875" max="3875" width="8.42578125" style="477" customWidth="1"/>
    <col min="3876" max="3876" width="9.42578125" style="477" customWidth="1"/>
    <col min="3877" max="3877" width="7.5703125" style="477" customWidth="1"/>
    <col min="3878" max="3878" width="7.85546875" style="477" bestFit="1" customWidth="1"/>
    <col min="3879" max="3879" width="10.28515625" style="477" bestFit="1" customWidth="1"/>
    <col min="3880" max="3880" width="4.85546875" style="477" customWidth="1"/>
    <col min="3881" max="3881" width="21.85546875" style="477" bestFit="1" customWidth="1"/>
    <col min="3882" max="3882" width="8.85546875" style="477" customWidth="1"/>
    <col min="3883" max="3883" width="7.5703125" style="477" bestFit="1" customWidth="1"/>
    <col min="3884" max="3884" width="4.5703125" style="477" customWidth="1"/>
    <col min="3885" max="4096" width="9.42578125" style="477"/>
    <col min="4097" max="4097" width="2.42578125" style="477" customWidth="1"/>
    <col min="4098" max="4098" width="29.7109375" style="477" customWidth="1"/>
    <col min="4099" max="4099" width="9.28515625" style="477" bestFit="1" customWidth="1"/>
    <col min="4100" max="4100" width="10.28515625" style="477" customWidth="1"/>
    <col min="4101" max="4101" width="8.140625" style="477" bestFit="1" customWidth="1"/>
    <col min="4102" max="4102" width="9.85546875" style="477" bestFit="1" customWidth="1"/>
    <col min="4103" max="4103" width="9" style="477" customWidth="1"/>
    <col min="4104" max="4104" width="11.7109375" style="477" customWidth="1"/>
    <col min="4105" max="4105" width="12.42578125" style="477" customWidth="1"/>
    <col min="4106" max="4106" width="2.85546875" style="477" customWidth="1"/>
    <col min="4107" max="4107" width="29.85546875" style="477" customWidth="1"/>
    <col min="4108" max="4108" width="9" style="477" customWidth="1"/>
    <col min="4109" max="4109" width="10.85546875" style="477" customWidth="1"/>
    <col min="4110" max="4110" width="8" style="477" bestFit="1" customWidth="1"/>
    <col min="4111" max="4111" width="9" style="477" bestFit="1" customWidth="1"/>
    <col min="4112" max="4112" width="11" style="477" bestFit="1" customWidth="1"/>
    <col min="4113" max="4113" width="12.5703125" style="477" bestFit="1" customWidth="1"/>
    <col min="4114" max="4114" width="12.140625" style="477" customWidth="1"/>
    <col min="4115" max="4128" width="2.85546875" style="477" customWidth="1"/>
    <col min="4129" max="4129" width="22.28515625" style="477" customWidth="1"/>
    <col min="4130" max="4130" width="9.42578125" style="477" customWidth="1"/>
    <col min="4131" max="4131" width="8.42578125" style="477" customWidth="1"/>
    <col min="4132" max="4132" width="9.42578125" style="477" customWidth="1"/>
    <col min="4133" max="4133" width="7.5703125" style="477" customWidth="1"/>
    <col min="4134" max="4134" width="7.85546875" style="477" bestFit="1" customWidth="1"/>
    <col min="4135" max="4135" width="10.28515625" style="477" bestFit="1" customWidth="1"/>
    <col min="4136" max="4136" width="4.85546875" style="477" customWidth="1"/>
    <col min="4137" max="4137" width="21.85546875" style="477" bestFit="1" customWidth="1"/>
    <col min="4138" max="4138" width="8.85546875" style="477" customWidth="1"/>
    <col min="4139" max="4139" width="7.5703125" style="477" bestFit="1" customWidth="1"/>
    <col min="4140" max="4140" width="4.5703125" style="477" customWidth="1"/>
    <col min="4141" max="4352" width="9.42578125" style="477"/>
    <col min="4353" max="4353" width="2.42578125" style="477" customWidth="1"/>
    <col min="4354" max="4354" width="29.7109375" style="477" customWidth="1"/>
    <col min="4355" max="4355" width="9.28515625" style="477" bestFit="1" customWidth="1"/>
    <col min="4356" max="4356" width="10.28515625" style="477" customWidth="1"/>
    <col min="4357" max="4357" width="8.140625" style="477" bestFit="1" customWidth="1"/>
    <col min="4358" max="4358" width="9.85546875" style="477" bestFit="1" customWidth="1"/>
    <col min="4359" max="4359" width="9" style="477" customWidth="1"/>
    <col min="4360" max="4360" width="11.7109375" style="477" customWidth="1"/>
    <col min="4361" max="4361" width="12.42578125" style="477" customWidth="1"/>
    <col min="4362" max="4362" width="2.85546875" style="477" customWidth="1"/>
    <col min="4363" max="4363" width="29.85546875" style="477" customWidth="1"/>
    <col min="4364" max="4364" width="9" style="477" customWidth="1"/>
    <col min="4365" max="4365" width="10.85546875" style="477" customWidth="1"/>
    <col min="4366" max="4366" width="8" style="477" bestFit="1" customWidth="1"/>
    <col min="4367" max="4367" width="9" style="477" bestFit="1" customWidth="1"/>
    <col min="4368" max="4368" width="11" style="477" bestFit="1" customWidth="1"/>
    <col min="4369" max="4369" width="12.5703125" style="477" bestFit="1" customWidth="1"/>
    <col min="4370" max="4370" width="12.140625" style="477" customWidth="1"/>
    <col min="4371" max="4384" width="2.85546875" style="477" customWidth="1"/>
    <col min="4385" max="4385" width="22.28515625" style="477" customWidth="1"/>
    <col min="4386" max="4386" width="9.42578125" style="477" customWidth="1"/>
    <col min="4387" max="4387" width="8.42578125" style="477" customWidth="1"/>
    <col min="4388" max="4388" width="9.42578125" style="477" customWidth="1"/>
    <col min="4389" max="4389" width="7.5703125" style="477" customWidth="1"/>
    <col min="4390" max="4390" width="7.85546875" style="477" bestFit="1" customWidth="1"/>
    <col min="4391" max="4391" width="10.28515625" style="477" bestFit="1" customWidth="1"/>
    <col min="4392" max="4392" width="4.85546875" style="477" customWidth="1"/>
    <col min="4393" max="4393" width="21.85546875" style="477" bestFit="1" customWidth="1"/>
    <col min="4394" max="4394" width="8.85546875" style="477" customWidth="1"/>
    <col min="4395" max="4395" width="7.5703125" style="477" bestFit="1" customWidth="1"/>
    <col min="4396" max="4396" width="4.5703125" style="477" customWidth="1"/>
    <col min="4397" max="4608" width="9.42578125" style="477"/>
    <col min="4609" max="4609" width="2.42578125" style="477" customWidth="1"/>
    <col min="4610" max="4610" width="29.7109375" style="477" customWidth="1"/>
    <col min="4611" max="4611" width="9.28515625" style="477" bestFit="1" customWidth="1"/>
    <col min="4612" max="4612" width="10.28515625" style="477" customWidth="1"/>
    <col min="4613" max="4613" width="8.140625" style="477" bestFit="1" customWidth="1"/>
    <col min="4614" max="4614" width="9.85546875" style="477" bestFit="1" customWidth="1"/>
    <col min="4615" max="4615" width="9" style="477" customWidth="1"/>
    <col min="4616" max="4616" width="11.7109375" style="477" customWidth="1"/>
    <col min="4617" max="4617" width="12.42578125" style="477" customWidth="1"/>
    <col min="4618" max="4618" width="2.85546875" style="477" customWidth="1"/>
    <col min="4619" max="4619" width="29.85546875" style="477" customWidth="1"/>
    <col min="4620" max="4620" width="9" style="477" customWidth="1"/>
    <col min="4621" max="4621" width="10.85546875" style="477" customWidth="1"/>
    <col min="4622" max="4622" width="8" style="477" bestFit="1" customWidth="1"/>
    <col min="4623" max="4623" width="9" style="477" bestFit="1" customWidth="1"/>
    <col min="4624" max="4624" width="11" style="477" bestFit="1" customWidth="1"/>
    <col min="4625" max="4625" width="12.5703125" style="477" bestFit="1" customWidth="1"/>
    <col min="4626" max="4626" width="12.140625" style="477" customWidth="1"/>
    <col min="4627" max="4640" width="2.85546875" style="477" customWidth="1"/>
    <col min="4641" max="4641" width="22.28515625" style="477" customWidth="1"/>
    <col min="4642" max="4642" width="9.42578125" style="477" customWidth="1"/>
    <col min="4643" max="4643" width="8.42578125" style="477" customWidth="1"/>
    <col min="4644" max="4644" width="9.42578125" style="477" customWidth="1"/>
    <col min="4645" max="4645" width="7.5703125" style="477" customWidth="1"/>
    <col min="4646" max="4646" width="7.85546875" style="477" bestFit="1" customWidth="1"/>
    <col min="4647" max="4647" width="10.28515625" style="477" bestFit="1" customWidth="1"/>
    <col min="4648" max="4648" width="4.85546875" style="477" customWidth="1"/>
    <col min="4649" max="4649" width="21.85546875" style="477" bestFit="1" customWidth="1"/>
    <col min="4650" max="4650" width="8.85546875" style="477" customWidth="1"/>
    <col min="4651" max="4651" width="7.5703125" style="477" bestFit="1" customWidth="1"/>
    <col min="4652" max="4652" width="4.5703125" style="477" customWidth="1"/>
    <col min="4653" max="4864" width="9.42578125" style="477"/>
    <col min="4865" max="4865" width="2.42578125" style="477" customWidth="1"/>
    <col min="4866" max="4866" width="29.7109375" style="477" customWidth="1"/>
    <col min="4867" max="4867" width="9.28515625" style="477" bestFit="1" customWidth="1"/>
    <col min="4868" max="4868" width="10.28515625" style="477" customWidth="1"/>
    <col min="4869" max="4869" width="8.140625" style="477" bestFit="1" customWidth="1"/>
    <col min="4870" max="4870" width="9.85546875" style="477" bestFit="1" customWidth="1"/>
    <col min="4871" max="4871" width="9" style="477" customWidth="1"/>
    <col min="4872" max="4872" width="11.7109375" style="477" customWidth="1"/>
    <col min="4873" max="4873" width="12.42578125" style="477" customWidth="1"/>
    <col min="4874" max="4874" width="2.85546875" style="477" customWidth="1"/>
    <col min="4875" max="4875" width="29.85546875" style="477" customWidth="1"/>
    <col min="4876" max="4876" width="9" style="477" customWidth="1"/>
    <col min="4877" max="4877" width="10.85546875" style="477" customWidth="1"/>
    <col min="4878" max="4878" width="8" style="477" bestFit="1" customWidth="1"/>
    <col min="4879" max="4879" width="9" style="477" bestFit="1" customWidth="1"/>
    <col min="4880" max="4880" width="11" style="477" bestFit="1" customWidth="1"/>
    <col min="4881" max="4881" width="12.5703125" style="477" bestFit="1" customWidth="1"/>
    <col min="4882" max="4882" width="12.140625" style="477" customWidth="1"/>
    <col min="4883" max="4896" width="2.85546875" style="477" customWidth="1"/>
    <col min="4897" max="4897" width="22.28515625" style="477" customWidth="1"/>
    <col min="4898" max="4898" width="9.42578125" style="477" customWidth="1"/>
    <col min="4899" max="4899" width="8.42578125" style="477" customWidth="1"/>
    <col min="4900" max="4900" width="9.42578125" style="477" customWidth="1"/>
    <col min="4901" max="4901" width="7.5703125" style="477" customWidth="1"/>
    <col min="4902" max="4902" width="7.85546875" style="477" bestFit="1" customWidth="1"/>
    <col min="4903" max="4903" width="10.28515625" style="477" bestFit="1" customWidth="1"/>
    <col min="4904" max="4904" width="4.85546875" style="477" customWidth="1"/>
    <col min="4905" max="4905" width="21.85546875" style="477" bestFit="1" customWidth="1"/>
    <col min="4906" max="4906" width="8.85546875" style="477" customWidth="1"/>
    <col min="4907" max="4907" width="7.5703125" style="477" bestFit="1" customWidth="1"/>
    <col min="4908" max="4908" width="4.5703125" style="477" customWidth="1"/>
    <col min="4909" max="5120" width="9.42578125" style="477"/>
    <col min="5121" max="5121" width="2.42578125" style="477" customWidth="1"/>
    <col min="5122" max="5122" width="29.7109375" style="477" customWidth="1"/>
    <col min="5123" max="5123" width="9.28515625" style="477" bestFit="1" customWidth="1"/>
    <col min="5124" max="5124" width="10.28515625" style="477" customWidth="1"/>
    <col min="5125" max="5125" width="8.140625" style="477" bestFit="1" customWidth="1"/>
    <col min="5126" max="5126" width="9.85546875" style="477" bestFit="1" customWidth="1"/>
    <col min="5127" max="5127" width="9" style="477" customWidth="1"/>
    <col min="5128" max="5128" width="11.7109375" style="477" customWidth="1"/>
    <col min="5129" max="5129" width="12.42578125" style="477" customWidth="1"/>
    <col min="5130" max="5130" width="2.85546875" style="477" customWidth="1"/>
    <col min="5131" max="5131" width="29.85546875" style="477" customWidth="1"/>
    <col min="5132" max="5132" width="9" style="477" customWidth="1"/>
    <col min="5133" max="5133" width="10.85546875" style="477" customWidth="1"/>
    <col min="5134" max="5134" width="8" style="477" bestFit="1" customWidth="1"/>
    <col min="5135" max="5135" width="9" style="477" bestFit="1" customWidth="1"/>
    <col min="5136" max="5136" width="11" style="477" bestFit="1" customWidth="1"/>
    <col min="5137" max="5137" width="12.5703125" style="477" bestFit="1" customWidth="1"/>
    <col min="5138" max="5138" width="12.140625" style="477" customWidth="1"/>
    <col min="5139" max="5152" width="2.85546875" style="477" customWidth="1"/>
    <col min="5153" max="5153" width="22.28515625" style="477" customWidth="1"/>
    <col min="5154" max="5154" width="9.42578125" style="477" customWidth="1"/>
    <col min="5155" max="5155" width="8.42578125" style="477" customWidth="1"/>
    <col min="5156" max="5156" width="9.42578125" style="477" customWidth="1"/>
    <col min="5157" max="5157" width="7.5703125" style="477" customWidth="1"/>
    <col min="5158" max="5158" width="7.85546875" style="477" bestFit="1" customWidth="1"/>
    <col min="5159" max="5159" width="10.28515625" style="477" bestFit="1" customWidth="1"/>
    <col min="5160" max="5160" width="4.85546875" style="477" customWidth="1"/>
    <col min="5161" max="5161" width="21.85546875" style="477" bestFit="1" customWidth="1"/>
    <col min="5162" max="5162" width="8.85546875" style="477" customWidth="1"/>
    <col min="5163" max="5163" width="7.5703125" style="477" bestFit="1" customWidth="1"/>
    <col min="5164" max="5164" width="4.5703125" style="477" customWidth="1"/>
    <col min="5165" max="5376" width="9.42578125" style="477"/>
    <col min="5377" max="5377" width="2.42578125" style="477" customWidth="1"/>
    <col min="5378" max="5378" width="29.7109375" style="477" customWidth="1"/>
    <col min="5379" max="5379" width="9.28515625" style="477" bestFit="1" customWidth="1"/>
    <col min="5380" max="5380" width="10.28515625" style="477" customWidth="1"/>
    <col min="5381" max="5381" width="8.140625" style="477" bestFit="1" customWidth="1"/>
    <col min="5382" max="5382" width="9.85546875" style="477" bestFit="1" customWidth="1"/>
    <col min="5383" max="5383" width="9" style="477" customWidth="1"/>
    <col min="5384" max="5384" width="11.7109375" style="477" customWidth="1"/>
    <col min="5385" max="5385" width="12.42578125" style="477" customWidth="1"/>
    <col min="5386" max="5386" width="2.85546875" style="477" customWidth="1"/>
    <col min="5387" max="5387" width="29.85546875" style="477" customWidth="1"/>
    <col min="5388" max="5388" width="9" style="477" customWidth="1"/>
    <col min="5389" max="5389" width="10.85546875" style="477" customWidth="1"/>
    <col min="5390" max="5390" width="8" style="477" bestFit="1" customWidth="1"/>
    <col min="5391" max="5391" width="9" style="477" bestFit="1" customWidth="1"/>
    <col min="5392" max="5392" width="11" style="477" bestFit="1" customWidth="1"/>
    <col min="5393" max="5393" width="12.5703125" style="477" bestFit="1" customWidth="1"/>
    <col min="5394" max="5394" width="12.140625" style="477" customWidth="1"/>
    <col min="5395" max="5408" width="2.85546875" style="477" customWidth="1"/>
    <col min="5409" max="5409" width="22.28515625" style="477" customWidth="1"/>
    <col min="5410" max="5410" width="9.42578125" style="477" customWidth="1"/>
    <col min="5411" max="5411" width="8.42578125" style="477" customWidth="1"/>
    <col min="5412" max="5412" width="9.42578125" style="477" customWidth="1"/>
    <col min="5413" max="5413" width="7.5703125" style="477" customWidth="1"/>
    <col min="5414" max="5414" width="7.85546875" style="477" bestFit="1" customWidth="1"/>
    <col min="5415" max="5415" width="10.28515625" style="477" bestFit="1" customWidth="1"/>
    <col min="5416" max="5416" width="4.85546875" style="477" customWidth="1"/>
    <col min="5417" max="5417" width="21.85546875" style="477" bestFit="1" customWidth="1"/>
    <col min="5418" max="5418" width="8.85546875" style="477" customWidth="1"/>
    <col min="5419" max="5419" width="7.5703125" style="477" bestFit="1" customWidth="1"/>
    <col min="5420" max="5420" width="4.5703125" style="477" customWidth="1"/>
    <col min="5421" max="5632" width="9.42578125" style="477"/>
    <col min="5633" max="5633" width="2.42578125" style="477" customWidth="1"/>
    <col min="5634" max="5634" width="29.7109375" style="477" customWidth="1"/>
    <col min="5635" max="5635" width="9.28515625" style="477" bestFit="1" customWidth="1"/>
    <col min="5636" max="5636" width="10.28515625" style="477" customWidth="1"/>
    <col min="5637" max="5637" width="8.140625" style="477" bestFit="1" customWidth="1"/>
    <col min="5638" max="5638" width="9.85546875" style="477" bestFit="1" customWidth="1"/>
    <col min="5639" max="5639" width="9" style="477" customWidth="1"/>
    <col min="5640" max="5640" width="11.7109375" style="477" customWidth="1"/>
    <col min="5641" max="5641" width="12.42578125" style="477" customWidth="1"/>
    <col min="5642" max="5642" width="2.85546875" style="477" customWidth="1"/>
    <col min="5643" max="5643" width="29.85546875" style="477" customWidth="1"/>
    <col min="5644" max="5644" width="9" style="477" customWidth="1"/>
    <col min="5645" max="5645" width="10.85546875" style="477" customWidth="1"/>
    <col min="5646" max="5646" width="8" style="477" bestFit="1" customWidth="1"/>
    <col min="5647" max="5647" width="9" style="477" bestFit="1" customWidth="1"/>
    <col min="5648" max="5648" width="11" style="477" bestFit="1" customWidth="1"/>
    <col min="5649" max="5649" width="12.5703125" style="477" bestFit="1" customWidth="1"/>
    <col min="5650" max="5650" width="12.140625" style="477" customWidth="1"/>
    <col min="5651" max="5664" width="2.85546875" style="477" customWidth="1"/>
    <col min="5665" max="5665" width="22.28515625" style="477" customWidth="1"/>
    <col min="5666" max="5666" width="9.42578125" style="477" customWidth="1"/>
    <col min="5667" max="5667" width="8.42578125" style="477" customWidth="1"/>
    <col min="5668" max="5668" width="9.42578125" style="477" customWidth="1"/>
    <col min="5669" max="5669" width="7.5703125" style="477" customWidth="1"/>
    <col min="5670" max="5670" width="7.85546875" style="477" bestFit="1" customWidth="1"/>
    <col min="5671" max="5671" width="10.28515625" style="477" bestFit="1" customWidth="1"/>
    <col min="5672" max="5672" width="4.85546875" style="477" customWidth="1"/>
    <col min="5673" max="5673" width="21.85546875" style="477" bestFit="1" customWidth="1"/>
    <col min="5674" max="5674" width="8.85546875" style="477" customWidth="1"/>
    <col min="5675" max="5675" width="7.5703125" style="477" bestFit="1" customWidth="1"/>
    <col min="5676" max="5676" width="4.5703125" style="477" customWidth="1"/>
    <col min="5677" max="5888" width="9.42578125" style="477"/>
    <col min="5889" max="5889" width="2.42578125" style="477" customWidth="1"/>
    <col min="5890" max="5890" width="29.7109375" style="477" customWidth="1"/>
    <col min="5891" max="5891" width="9.28515625" style="477" bestFit="1" customWidth="1"/>
    <col min="5892" max="5892" width="10.28515625" style="477" customWidth="1"/>
    <col min="5893" max="5893" width="8.140625" style="477" bestFit="1" customWidth="1"/>
    <col min="5894" max="5894" width="9.85546875" style="477" bestFit="1" customWidth="1"/>
    <col min="5895" max="5895" width="9" style="477" customWidth="1"/>
    <col min="5896" max="5896" width="11.7109375" style="477" customWidth="1"/>
    <col min="5897" max="5897" width="12.42578125" style="477" customWidth="1"/>
    <col min="5898" max="5898" width="2.85546875" style="477" customWidth="1"/>
    <col min="5899" max="5899" width="29.85546875" style="477" customWidth="1"/>
    <col min="5900" max="5900" width="9" style="477" customWidth="1"/>
    <col min="5901" max="5901" width="10.85546875" style="477" customWidth="1"/>
    <col min="5902" max="5902" width="8" style="477" bestFit="1" customWidth="1"/>
    <col min="5903" max="5903" width="9" style="477" bestFit="1" customWidth="1"/>
    <col min="5904" max="5904" width="11" style="477" bestFit="1" customWidth="1"/>
    <col min="5905" max="5905" width="12.5703125" style="477" bestFit="1" customWidth="1"/>
    <col min="5906" max="5906" width="12.140625" style="477" customWidth="1"/>
    <col min="5907" max="5920" width="2.85546875" style="477" customWidth="1"/>
    <col min="5921" max="5921" width="22.28515625" style="477" customWidth="1"/>
    <col min="5922" max="5922" width="9.42578125" style="477" customWidth="1"/>
    <col min="5923" max="5923" width="8.42578125" style="477" customWidth="1"/>
    <col min="5924" max="5924" width="9.42578125" style="477" customWidth="1"/>
    <col min="5925" max="5925" width="7.5703125" style="477" customWidth="1"/>
    <col min="5926" max="5926" width="7.85546875" style="477" bestFit="1" customWidth="1"/>
    <col min="5927" max="5927" width="10.28515625" style="477" bestFit="1" customWidth="1"/>
    <col min="5928" max="5928" width="4.85546875" style="477" customWidth="1"/>
    <col min="5929" max="5929" width="21.85546875" style="477" bestFit="1" customWidth="1"/>
    <col min="5930" max="5930" width="8.85546875" style="477" customWidth="1"/>
    <col min="5931" max="5931" width="7.5703125" style="477" bestFit="1" customWidth="1"/>
    <col min="5932" max="5932" width="4.5703125" style="477" customWidth="1"/>
    <col min="5933" max="6144" width="9.42578125" style="477"/>
    <col min="6145" max="6145" width="2.42578125" style="477" customWidth="1"/>
    <col min="6146" max="6146" width="29.7109375" style="477" customWidth="1"/>
    <col min="6147" max="6147" width="9.28515625" style="477" bestFit="1" customWidth="1"/>
    <col min="6148" max="6148" width="10.28515625" style="477" customWidth="1"/>
    <col min="6149" max="6149" width="8.140625" style="477" bestFit="1" customWidth="1"/>
    <col min="6150" max="6150" width="9.85546875" style="477" bestFit="1" customWidth="1"/>
    <col min="6151" max="6151" width="9" style="477" customWidth="1"/>
    <col min="6152" max="6152" width="11.7109375" style="477" customWidth="1"/>
    <col min="6153" max="6153" width="12.42578125" style="477" customWidth="1"/>
    <col min="6154" max="6154" width="2.85546875" style="477" customWidth="1"/>
    <col min="6155" max="6155" width="29.85546875" style="477" customWidth="1"/>
    <col min="6156" max="6156" width="9" style="477" customWidth="1"/>
    <col min="6157" max="6157" width="10.85546875" style="477" customWidth="1"/>
    <col min="6158" max="6158" width="8" style="477" bestFit="1" customWidth="1"/>
    <col min="6159" max="6159" width="9" style="477" bestFit="1" customWidth="1"/>
    <col min="6160" max="6160" width="11" style="477" bestFit="1" customWidth="1"/>
    <col min="6161" max="6161" width="12.5703125" style="477" bestFit="1" customWidth="1"/>
    <col min="6162" max="6162" width="12.140625" style="477" customWidth="1"/>
    <col min="6163" max="6176" width="2.85546875" style="477" customWidth="1"/>
    <col min="6177" max="6177" width="22.28515625" style="477" customWidth="1"/>
    <col min="6178" max="6178" width="9.42578125" style="477" customWidth="1"/>
    <col min="6179" max="6179" width="8.42578125" style="477" customWidth="1"/>
    <col min="6180" max="6180" width="9.42578125" style="477" customWidth="1"/>
    <col min="6181" max="6181" width="7.5703125" style="477" customWidth="1"/>
    <col min="6182" max="6182" width="7.85546875" style="477" bestFit="1" customWidth="1"/>
    <col min="6183" max="6183" width="10.28515625" style="477" bestFit="1" customWidth="1"/>
    <col min="6184" max="6184" width="4.85546875" style="477" customWidth="1"/>
    <col min="6185" max="6185" width="21.85546875" style="477" bestFit="1" customWidth="1"/>
    <col min="6186" max="6186" width="8.85546875" style="477" customWidth="1"/>
    <col min="6187" max="6187" width="7.5703125" style="477" bestFit="1" customWidth="1"/>
    <col min="6188" max="6188" width="4.5703125" style="477" customWidth="1"/>
    <col min="6189" max="6400" width="9.42578125" style="477"/>
    <col min="6401" max="6401" width="2.42578125" style="477" customWidth="1"/>
    <col min="6402" max="6402" width="29.7109375" style="477" customWidth="1"/>
    <col min="6403" max="6403" width="9.28515625" style="477" bestFit="1" customWidth="1"/>
    <col min="6404" max="6404" width="10.28515625" style="477" customWidth="1"/>
    <col min="6405" max="6405" width="8.140625" style="477" bestFit="1" customWidth="1"/>
    <col min="6406" max="6406" width="9.85546875" style="477" bestFit="1" customWidth="1"/>
    <col min="6407" max="6407" width="9" style="477" customWidth="1"/>
    <col min="6408" max="6408" width="11.7109375" style="477" customWidth="1"/>
    <col min="6409" max="6409" width="12.42578125" style="477" customWidth="1"/>
    <col min="6410" max="6410" width="2.85546875" style="477" customWidth="1"/>
    <col min="6411" max="6411" width="29.85546875" style="477" customWidth="1"/>
    <col min="6412" max="6412" width="9" style="477" customWidth="1"/>
    <col min="6413" max="6413" width="10.85546875" style="477" customWidth="1"/>
    <col min="6414" max="6414" width="8" style="477" bestFit="1" customWidth="1"/>
    <col min="6415" max="6415" width="9" style="477" bestFit="1" customWidth="1"/>
    <col min="6416" max="6416" width="11" style="477" bestFit="1" customWidth="1"/>
    <col min="6417" max="6417" width="12.5703125" style="477" bestFit="1" customWidth="1"/>
    <col min="6418" max="6418" width="12.140625" style="477" customWidth="1"/>
    <col min="6419" max="6432" width="2.85546875" style="477" customWidth="1"/>
    <col min="6433" max="6433" width="22.28515625" style="477" customWidth="1"/>
    <col min="6434" max="6434" width="9.42578125" style="477" customWidth="1"/>
    <col min="6435" max="6435" width="8.42578125" style="477" customWidth="1"/>
    <col min="6436" max="6436" width="9.42578125" style="477" customWidth="1"/>
    <col min="6437" max="6437" width="7.5703125" style="477" customWidth="1"/>
    <col min="6438" max="6438" width="7.85546875" style="477" bestFit="1" customWidth="1"/>
    <col min="6439" max="6439" width="10.28515625" style="477" bestFit="1" customWidth="1"/>
    <col min="6440" max="6440" width="4.85546875" style="477" customWidth="1"/>
    <col min="6441" max="6441" width="21.85546875" style="477" bestFit="1" customWidth="1"/>
    <col min="6442" max="6442" width="8.85546875" style="477" customWidth="1"/>
    <col min="6443" max="6443" width="7.5703125" style="477" bestFit="1" customWidth="1"/>
    <col min="6444" max="6444" width="4.5703125" style="477" customWidth="1"/>
    <col min="6445" max="6656" width="9.42578125" style="477"/>
    <col min="6657" max="6657" width="2.42578125" style="477" customWidth="1"/>
    <col min="6658" max="6658" width="29.7109375" style="477" customWidth="1"/>
    <col min="6659" max="6659" width="9.28515625" style="477" bestFit="1" customWidth="1"/>
    <col min="6660" max="6660" width="10.28515625" style="477" customWidth="1"/>
    <col min="6661" max="6661" width="8.140625" style="477" bestFit="1" customWidth="1"/>
    <col min="6662" max="6662" width="9.85546875" style="477" bestFit="1" customWidth="1"/>
    <col min="6663" max="6663" width="9" style="477" customWidth="1"/>
    <col min="6664" max="6664" width="11.7109375" style="477" customWidth="1"/>
    <col min="6665" max="6665" width="12.42578125" style="477" customWidth="1"/>
    <col min="6666" max="6666" width="2.85546875" style="477" customWidth="1"/>
    <col min="6667" max="6667" width="29.85546875" style="477" customWidth="1"/>
    <col min="6668" max="6668" width="9" style="477" customWidth="1"/>
    <col min="6669" max="6669" width="10.85546875" style="477" customWidth="1"/>
    <col min="6670" max="6670" width="8" style="477" bestFit="1" customWidth="1"/>
    <col min="6671" max="6671" width="9" style="477" bestFit="1" customWidth="1"/>
    <col min="6672" max="6672" width="11" style="477" bestFit="1" customWidth="1"/>
    <col min="6673" max="6673" width="12.5703125" style="477" bestFit="1" customWidth="1"/>
    <col min="6674" max="6674" width="12.140625" style="477" customWidth="1"/>
    <col min="6675" max="6688" width="2.85546875" style="477" customWidth="1"/>
    <col min="6689" max="6689" width="22.28515625" style="477" customWidth="1"/>
    <col min="6690" max="6690" width="9.42578125" style="477" customWidth="1"/>
    <col min="6691" max="6691" width="8.42578125" style="477" customWidth="1"/>
    <col min="6692" max="6692" width="9.42578125" style="477" customWidth="1"/>
    <col min="6693" max="6693" width="7.5703125" style="477" customWidth="1"/>
    <col min="6694" max="6694" width="7.85546875" style="477" bestFit="1" customWidth="1"/>
    <col min="6695" max="6695" width="10.28515625" style="477" bestFit="1" customWidth="1"/>
    <col min="6696" max="6696" width="4.85546875" style="477" customWidth="1"/>
    <col min="6697" max="6697" width="21.85546875" style="477" bestFit="1" customWidth="1"/>
    <col min="6698" max="6698" width="8.85546875" style="477" customWidth="1"/>
    <col min="6699" max="6699" width="7.5703125" style="477" bestFit="1" customWidth="1"/>
    <col min="6700" max="6700" width="4.5703125" style="477" customWidth="1"/>
    <col min="6701" max="6912" width="9.42578125" style="477"/>
    <col min="6913" max="6913" width="2.42578125" style="477" customWidth="1"/>
    <col min="6914" max="6914" width="29.7109375" style="477" customWidth="1"/>
    <col min="6915" max="6915" width="9.28515625" style="477" bestFit="1" customWidth="1"/>
    <col min="6916" max="6916" width="10.28515625" style="477" customWidth="1"/>
    <col min="6917" max="6917" width="8.140625" style="477" bestFit="1" customWidth="1"/>
    <col min="6918" max="6918" width="9.85546875" style="477" bestFit="1" customWidth="1"/>
    <col min="6919" max="6919" width="9" style="477" customWidth="1"/>
    <col min="6920" max="6920" width="11.7109375" style="477" customWidth="1"/>
    <col min="6921" max="6921" width="12.42578125" style="477" customWidth="1"/>
    <col min="6922" max="6922" width="2.85546875" style="477" customWidth="1"/>
    <col min="6923" max="6923" width="29.85546875" style="477" customWidth="1"/>
    <col min="6924" max="6924" width="9" style="477" customWidth="1"/>
    <col min="6925" max="6925" width="10.85546875" style="477" customWidth="1"/>
    <col min="6926" max="6926" width="8" style="477" bestFit="1" customWidth="1"/>
    <col min="6927" max="6927" width="9" style="477" bestFit="1" customWidth="1"/>
    <col min="6928" max="6928" width="11" style="477" bestFit="1" customWidth="1"/>
    <col min="6929" max="6929" width="12.5703125" style="477" bestFit="1" customWidth="1"/>
    <col min="6930" max="6930" width="12.140625" style="477" customWidth="1"/>
    <col min="6931" max="6944" width="2.85546875" style="477" customWidth="1"/>
    <col min="6945" max="6945" width="22.28515625" style="477" customWidth="1"/>
    <col min="6946" max="6946" width="9.42578125" style="477" customWidth="1"/>
    <col min="6947" max="6947" width="8.42578125" style="477" customWidth="1"/>
    <col min="6948" max="6948" width="9.42578125" style="477" customWidth="1"/>
    <col min="6949" max="6949" width="7.5703125" style="477" customWidth="1"/>
    <col min="6950" max="6950" width="7.85546875" style="477" bestFit="1" customWidth="1"/>
    <col min="6951" max="6951" width="10.28515625" style="477" bestFit="1" customWidth="1"/>
    <col min="6952" max="6952" width="4.85546875" style="477" customWidth="1"/>
    <col min="6953" max="6953" width="21.85546875" style="477" bestFit="1" customWidth="1"/>
    <col min="6954" max="6954" width="8.85546875" style="477" customWidth="1"/>
    <col min="6955" max="6955" width="7.5703125" style="477" bestFit="1" customWidth="1"/>
    <col min="6956" max="6956" width="4.5703125" style="477" customWidth="1"/>
    <col min="6957" max="7168" width="9.42578125" style="477"/>
    <col min="7169" max="7169" width="2.42578125" style="477" customWidth="1"/>
    <col min="7170" max="7170" width="29.7109375" style="477" customWidth="1"/>
    <col min="7171" max="7171" width="9.28515625" style="477" bestFit="1" customWidth="1"/>
    <col min="7172" max="7172" width="10.28515625" style="477" customWidth="1"/>
    <col min="7173" max="7173" width="8.140625" style="477" bestFit="1" customWidth="1"/>
    <col min="7174" max="7174" width="9.85546875" style="477" bestFit="1" customWidth="1"/>
    <col min="7175" max="7175" width="9" style="477" customWidth="1"/>
    <col min="7176" max="7176" width="11.7109375" style="477" customWidth="1"/>
    <col min="7177" max="7177" width="12.42578125" style="477" customWidth="1"/>
    <col min="7178" max="7178" width="2.85546875" style="477" customWidth="1"/>
    <col min="7179" max="7179" width="29.85546875" style="477" customWidth="1"/>
    <col min="7180" max="7180" width="9" style="477" customWidth="1"/>
    <col min="7181" max="7181" width="10.85546875" style="477" customWidth="1"/>
    <col min="7182" max="7182" width="8" style="477" bestFit="1" customWidth="1"/>
    <col min="7183" max="7183" width="9" style="477" bestFit="1" customWidth="1"/>
    <col min="7184" max="7184" width="11" style="477" bestFit="1" customWidth="1"/>
    <col min="7185" max="7185" width="12.5703125" style="477" bestFit="1" customWidth="1"/>
    <col min="7186" max="7186" width="12.140625" style="477" customWidth="1"/>
    <col min="7187" max="7200" width="2.85546875" style="477" customWidth="1"/>
    <col min="7201" max="7201" width="22.28515625" style="477" customWidth="1"/>
    <col min="7202" max="7202" width="9.42578125" style="477" customWidth="1"/>
    <col min="7203" max="7203" width="8.42578125" style="477" customWidth="1"/>
    <col min="7204" max="7204" width="9.42578125" style="477" customWidth="1"/>
    <col min="7205" max="7205" width="7.5703125" style="477" customWidth="1"/>
    <col min="7206" max="7206" width="7.85546875" style="477" bestFit="1" customWidth="1"/>
    <col min="7207" max="7207" width="10.28515625" style="477" bestFit="1" customWidth="1"/>
    <col min="7208" max="7208" width="4.85546875" style="477" customWidth="1"/>
    <col min="7209" max="7209" width="21.85546875" style="477" bestFit="1" customWidth="1"/>
    <col min="7210" max="7210" width="8.85546875" style="477" customWidth="1"/>
    <col min="7211" max="7211" width="7.5703125" style="477" bestFit="1" customWidth="1"/>
    <col min="7212" max="7212" width="4.5703125" style="477" customWidth="1"/>
    <col min="7213" max="7424" width="9.42578125" style="477"/>
    <col min="7425" max="7425" width="2.42578125" style="477" customWidth="1"/>
    <col min="7426" max="7426" width="29.7109375" style="477" customWidth="1"/>
    <col min="7427" max="7427" width="9.28515625" style="477" bestFit="1" customWidth="1"/>
    <col min="7428" max="7428" width="10.28515625" style="477" customWidth="1"/>
    <col min="7429" max="7429" width="8.140625" style="477" bestFit="1" customWidth="1"/>
    <col min="7430" max="7430" width="9.85546875" style="477" bestFit="1" customWidth="1"/>
    <col min="7431" max="7431" width="9" style="477" customWidth="1"/>
    <col min="7432" max="7432" width="11.7109375" style="477" customWidth="1"/>
    <col min="7433" max="7433" width="12.42578125" style="477" customWidth="1"/>
    <col min="7434" max="7434" width="2.85546875" style="477" customWidth="1"/>
    <col min="7435" max="7435" width="29.85546875" style="477" customWidth="1"/>
    <col min="7436" max="7436" width="9" style="477" customWidth="1"/>
    <col min="7437" max="7437" width="10.85546875" style="477" customWidth="1"/>
    <col min="7438" max="7438" width="8" style="477" bestFit="1" customWidth="1"/>
    <col min="7439" max="7439" width="9" style="477" bestFit="1" customWidth="1"/>
    <col min="7440" max="7440" width="11" style="477" bestFit="1" customWidth="1"/>
    <col min="7441" max="7441" width="12.5703125" style="477" bestFit="1" customWidth="1"/>
    <col min="7442" max="7442" width="12.140625" style="477" customWidth="1"/>
    <col min="7443" max="7456" width="2.85546875" style="477" customWidth="1"/>
    <col min="7457" max="7457" width="22.28515625" style="477" customWidth="1"/>
    <col min="7458" max="7458" width="9.42578125" style="477" customWidth="1"/>
    <col min="7459" max="7459" width="8.42578125" style="477" customWidth="1"/>
    <col min="7460" max="7460" width="9.42578125" style="477" customWidth="1"/>
    <col min="7461" max="7461" width="7.5703125" style="477" customWidth="1"/>
    <col min="7462" max="7462" width="7.85546875" style="477" bestFit="1" customWidth="1"/>
    <col min="7463" max="7463" width="10.28515625" style="477" bestFit="1" customWidth="1"/>
    <col min="7464" max="7464" width="4.85546875" style="477" customWidth="1"/>
    <col min="7465" max="7465" width="21.85546875" style="477" bestFit="1" customWidth="1"/>
    <col min="7466" max="7466" width="8.85546875" style="477" customWidth="1"/>
    <col min="7467" max="7467" width="7.5703125" style="477" bestFit="1" customWidth="1"/>
    <col min="7468" max="7468" width="4.5703125" style="477" customWidth="1"/>
    <col min="7469" max="7680" width="9.42578125" style="477"/>
    <col min="7681" max="7681" width="2.42578125" style="477" customWidth="1"/>
    <col min="7682" max="7682" width="29.7109375" style="477" customWidth="1"/>
    <col min="7683" max="7683" width="9.28515625" style="477" bestFit="1" customWidth="1"/>
    <col min="7684" max="7684" width="10.28515625" style="477" customWidth="1"/>
    <col min="7685" max="7685" width="8.140625" style="477" bestFit="1" customWidth="1"/>
    <col min="7686" max="7686" width="9.85546875" style="477" bestFit="1" customWidth="1"/>
    <col min="7687" max="7687" width="9" style="477" customWidth="1"/>
    <col min="7688" max="7688" width="11.7109375" style="477" customWidth="1"/>
    <col min="7689" max="7689" width="12.42578125" style="477" customWidth="1"/>
    <col min="7690" max="7690" width="2.85546875" style="477" customWidth="1"/>
    <col min="7691" max="7691" width="29.85546875" style="477" customWidth="1"/>
    <col min="7692" max="7692" width="9" style="477" customWidth="1"/>
    <col min="7693" max="7693" width="10.85546875" style="477" customWidth="1"/>
    <col min="7694" max="7694" width="8" style="477" bestFit="1" customWidth="1"/>
    <col min="7695" max="7695" width="9" style="477" bestFit="1" customWidth="1"/>
    <col min="7696" max="7696" width="11" style="477" bestFit="1" customWidth="1"/>
    <col min="7697" max="7697" width="12.5703125" style="477" bestFit="1" customWidth="1"/>
    <col min="7698" max="7698" width="12.140625" style="477" customWidth="1"/>
    <col min="7699" max="7712" width="2.85546875" style="477" customWidth="1"/>
    <col min="7713" max="7713" width="22.28515625" style="477" customWidth="1"/>
    <col min="7714" max="7714" width="9.42578125" style="477" customWidth="1"/>
    <col min="7715" max="7715" width="8.42578125" style="477" customWidth="1"/>
    <col min="7716" max="7716" width="9.42578125" style="477" customWidth="1"/>
    <col min="7717" max="7717" width="7.5703125" style="477" customWidth="1"/>
    <col min="7718" max="7718" width="7.85546875" style="477" bestFit="1" customWidth="1"/>
    <col min="7719" max="7719" width="10.28515625" style="477" bestFit="1" customWidth="1"/>
    <col min="7720" max="7720" width="4.85546875" style="477" customWidth="1"/>
    <col min="7721" max="7721" width="21.85546875" style="477" bestFit="1" customWidth="1"/>
    <col min="7722" max="7722" width="8.85546875" style="477" customWidth="1"/>
    <col min="7723" max="7723" width="7.5703125" style="477" bestFit="1" customWidth="1"/>
    <col min="7724" max="7724" width="4.5703125" style="477" customWidth="1"/>
    <col min="7725" max="7936" width="9.42578125" style="477"/>
    <col min="7937" max="7937" width="2.42578125" style="477" customWidth="1"/>
    <col min="7938" max="7938" width="29.7109375" style="477" customWidth="1"/>
    <col min="7939" max="7939" width="9.28515625" style="477" bestFit="1" customWidth="1"/>
    <col min="7940" max="7940" width="10.28515625" style="477" customWidth="1"/>
    <col min="7941" max="7941" width="8.140625" style="477" bestFit="1" customWidth="1"/>
    <col min="7942" max="7942" width="9.85546875" style="477" bestFit="1" customWidth="1"/>
    <col min="7943" max="7943" width="9" style="477" customWidth="1"/>
    <col min="7944" max="7944" width="11.7109375" style="477" customWidth="1"/>
    <col min="7945" max="7945" width="12.42578125" style="477" customWidth="1"/>
    <col min="7946" max="7946" width="2.85546875" style="477" customWidth="1"/>
    <col min="7947" max="7947" width="29.85546875" style="477" customWidth="1"/>
    <col min="7948" max="7948" width="9" style="477" customWidth="1"/>
    <col min="7949" max="7949" width="10.85546875" style="477" customWidth="1"/>
    <col min="7950" max="7950" width="8" style="477" bestFit="1" customWidth="1"/>
    <col min="7951" max="7951" width="9" style="477" bestFit="1" customWidth="1"/>
    <col min="7952" max="7952" width="11" style="477" bestFit="1" customWidth="1"/>
    <col min="7953" max="7953" width="12.5703125" style="477" bestFit="1" customWidth="1"/>
    <col min="7954" max="7954" width="12.140625" style="477" customWidth="1"/>
    <col min="7955" max="7968" width="2.85546875" style="477" customWidth="1"/>
    <col min="7969" max="7969" width="22.28515625" style="477" customWidth="1"/>
    <col min="7970" max="7970" width="9.42578125" style="477" customWidth="1"/>
    <col min="7971" max="7971" width="8.42578125" style="477" customWidth="1"/>
    <col min="7972" max="7972" width="9.42578125" style="477" customWidth="1"/>
    <col min="7973" max="7973" width="7.5703125" style="477" customWidth="1"/>
    <col min="7974" max="7974" width="7.85546875" style="477" bestFit="1" customWidth="1"/>
    <col min="7975" max="7975" width="10.28515625" style="477" bestFit="1" customWidth="1"/>
    <col min="7976" max="7976" width="4.85546875" style="477" customWidth="1"/>
    <col min="7977" max="7977" width="21.85546875" style="477" bestFit="1" customWidth="1"/>
    <col min="7978" max="7978" width="8.85546875" style="477" customWidth="1"/>
    <col min="7979" max="7979" width="7.5703125" style="477" bestFit="1" customWidth="1"/>
    <col min="7980" max="7980" width="4.5703125" style="477" customWidth="1"/>
    <col min="7981" max="8192" width="9.42578125" style="477"/>
    <col min="8193" max="8193" width="2.42578125" style="477" customWidth="1"/>
    <col min="8194" max="8194" width="29.7109375" style="477" customWidth="1"/>
    <col min="8195" max="8195" width="9.28515625" style="477" bestFit="1" customWidth="1"/>
    <col min="8196" max="8196" width="10.28515625" style="477" customWidth="1"/>
    <col min="8197" max="8197" width="8.140625" style="477" bestFit="1" customWidth="1"/>
    <col min="8198" max="8198" width="9.85546875" style="477" bestFit="1" customWidth="1"/>
    <col min="8199" max="8199" width="9" style="477" customWidth="1"/>
    <col min="8200" max="8200" width="11.7109375" style="477" customWidth="1"/>
    <col min="8201" max="8201" width="12.42578125" style="477" customWidth="1"/>
    <col min="8202" max="8202" width="2.85546875" style="477" customWidth="1"/>
    <col min="8203" max="8203" width="29.85546875" style="477" customWidth="1"/>
    <col min="8204" max="8204" width="9" style="477" customWidth="1"/>
    <col min="8205" max="8205" width="10.85546875" style="477" customWidth="1"/>
    <col min="8206" max="8206" width="8" style="477" bestFit="1" customWidth="1"/>
    <col min="8207" max="8207" width="9" style="477" bestFit="1" customWidth="1"/>
    <col min="8208" max="8208" width="11" style="477" bestFit="1" customWidth="1"/>
    <col min="8209" max="8209" width="12.5703125" style="477" bestFit="1" customWidth="1"/>
    <col min="8210" max="8210" width="12.140625" style="477" customWidth="1"/>
    <col min="8211" max="8224" width="2.85546875" style="477" customWidth="1"/>
    <col min="8225" max="8225" width="22.28515625" style="477" customWidth="1"/>
    <col min="8226" max="8226" width="9.42578125" style="477" customWidth="1"/>
    <col min="8227" max="8227" width="8.42578125" style="477" customWidth="1"/>
    <col min="8228" max="8228" width="9.42578125" style="477" customWidth="1"/>
    <col min="8229" max="8229" width="7.5703125" style="477" customWidth="1"/>
    <col min="8230" max="8230" width="7.85546875" style="477" bestFit="1" customWidth="1"/>
    <col min="8231" max="8231" width="10.28515625" style="477" bestFit="1" customWidth="1"/>
    <col min="8232" max="8232" width="4.85546875" style="477" customWidth="1"/>
    <col min="8233" max="8233" width="21.85546875" style="477" bestFit="1" customWidth="1"/>
    <col min="8234" max="8234" width="8.85546875" style="477" customWidth="1"/>
    <col min="8235" max="8235" width="7.5703125" style="477" bestFit="1" customWidth="1"/>
    <col min="8236" max="8236" width="4.5703125" style="477" customWidth="1"/>
    <col min="8237" max="8448" width="9.42578125" style="477"/>
    <col min="8449" max="8449" width="2.42578125" style="477" customWidth="1"/>
    <col min="8450" max="8450" width="29.7109375" style="477" customWidth="1"/>
    <col min="8451" max="8451" width="9.28515625" style="477" bestFit="1" customWidth="1"/>
    <col min="8452" max="8452" width="10.28515625" style="477" customWidth="1"/>
    <col min="8453" max="8453" width="8.140625" style="477" bestFit="1" customWidth="1"/>
    <col min="8454" max="8454" width="9.85546875" style="477" bestFit="1" customWidth="1"/>
    <col min="8455" max="8455" width="9" style="477" customWidth="1"/>
    <col min="8456" max="8456" width="11.7109375" style="477" customWidth="1"/>
    <col min="8457" max="8457" width="12.42578125" style="477" customWidth="1"/>
    <col min="8458" max="8458" width="2.85546875" style="477" customWidth="1"/>
    <col min="8459" max="8459" width="29.85546875" style="477" customWidth="1"/>
    <col min="8460" max="8460" width="9" style="477" customWidth="1"/>
    <col min="8461" max="8461" width="10.85546875" style="477" customWidth="1"/>
    <col min="8462" max="8462" width="8" style="477" bestFit="1" customWidth="1"/>
    <col min="8463" max="8463" width="9" style="477" bestFit="1" customWidth="1"/>
    <col min="8464" max="8464" width="11" style="477" bestFit="1" customWidth="1"/>
    <col min="8465" max="8465" width="12.5703125" style="477" bestFit="1" customWidth="1"/>
    <col min="8466" max="8466" width="12.140625" style="477" customWidth="1"/>
    <col min="8467" max="8480" width="2.85546875" style="477" customWidth="1"/>
    <col min="8481" max="8481" width="22.28515625" style="477" customWidth="1"/>
    <col min="8482" max="8482" width="9.42578125" style="477" customWidth="1"/>
    <col min="8483" max="8483" width="8.42578125" style="477" customWidth="1"/>
    <col min="8484" max="8484" width="9.42578125" style="477" customWidth="1"/>
    <col min="8485" max="8485" width="7.5703125" style="477" customWidth="1"/>
    <col min="8486" max="8486" width="7.85546875" style="477" bestFit="1" customWidth="1"/>
    <col min="8487" max="8487" width="10.28515625" style="477" bestFit="1" customWidth="1"/>
    <col min="8488" max="8488" width="4.85546875" style="477" customWidth="1"/>
    <col min="8489" max="8489" width="21.85546875" style="477" bestFit="1" customWidth="1"/>
    <col min="8490" max="8490" width="8.85546875" style="477" customWidth="1"/>
    <col min="8491" max="8491" width="7.5703125" style="477" bestFit="1" customWidth="1"/>
    <col min="8492" max="8492" width="4.5703125" style="477" customWidth="1"/>
    <col min="8493" max="8704" width="9.42578125" style="477"/>
    <col min="8705" max="8705" width="2.42578125" style="477" customWidth="1"/>
    <col min="8706" max="8706" width="29.7109375" style="477" customWidth="1"/>
    <col min="8707" max="8707" width="9.28515625" style="477" bestFit="1" customWidth="1"/>
    <col min="8708" max="8708" width="10.28515625" style="477" customWidth="1"/>
    <col min="8709" max="8709" width="8.140625" style="477" bestFit="1" customWidth="1"/>
    <col min="8710" max="8710" width="9.85546875" style="477" bestFit="1" customWidth="1"/>
    <col min="8711" max="8711" width="9" style="477" customWidth="1"/>
    <col min="8712" max="8712" width="11.7109375" style="477" customWidth="1"/>
    <col min="8713" max="8713" width="12.42578125" style="477" customWidth="1"/>
    <col min="8714" max="8714" width="2.85546875" style="477" customWidth="1"/>
    <col min="8715" max="8715" width="29.85546875" style="477" customWidth="1"/>
    <col min="8716" max="8716" width="9" style="477" customWidth="1"/>
    <col min="8717" max="8717" width="10.85546875" style="477" customWidth="1"/>
    <col min="8718" max="8718" width="8" style="477" bestFit="1" customWidth="1"/>
    <col min="8719" max="8719" width="9" style="477" bestFit="1" customWidth="1"/>
    <col min="8720" max="8720" width="11" style="477" bestFit="1" customWidth="1"/>
    <col min="8721" max="8721" width="12.5703125" style="477" bestFit="1" customWidth="1"/>
    <col min="8722" max="8722" width="12.140625" style="477" customWidth="1"/>
    <col min="8723" max="8736" width="2.85546875" style="477" customWidth="1"/>
    <col min="8737" max="8737" width="22.28515625" style="477" customWidth="1"/>
    <col min="8738" max="8738" width="9.42578125" style="477" customWidth="1"/>
    <col min="8739" max="8739" width="8.42578125" style="477" customWidth="1"/>
    <col min="8740" max="8740" width="9.42578125" style="477" customWidth="1"/>
    <col min="8741" max="8741" width="7.5703125" style="477" customWidth="1"/>
    <col min="8742" max="8742" width="7.85546875" style="477" bestFit="1" customWidth="1"/>
    <col min="8743" max="8743" width="10.28515625" style="477" bestFit="1" customWidth="1"/>
    <col min="8744" max="8744" width="4.85546875" style="477" customWidth="1"/>
    <col min="8745" max="8745" width="21.85546875" style="477" bestFit="1" customWidth="1"/>
    <col min="8746" max="8746" width="8.85546875" style="477" customWidth="1"/>
    <col min="8747" max="8747" width="7.5703125" style="477" bestFit="1" customWidth="1"/>
    <col min="8748" max="8748" width="4.5703125" style="477" customWidth="1"/>
    <col min="8749" max="8960" width="9.42578125" style="477"/>
    <col min="8961" max="8961" width="2.42578125" style="477" customWidth="1"/>
    <col min="8962" max="8962" width="29.7109375" style="477" customWidth="1"/>
    <col min="8963" max="8963" width="9.28515625" style="477" bestFit="1" customWidth="1"/>
    <col min="8964" max="8964" width="10.28515625" style="477" customWidth="1"/>
    <col min="8965" max="8965" width="8.140625" style="477" bestFit="1" customWidth="1"/>
    <col min="8966" max="8966" width="9.85546875" style="477" bestFit="1" customWidth="1"/>
    <col min="8967" max="8967" width="9" style="477" customWidth="1"/>
    <col min="8968" max="8968" width="11.7109375" style="477" customWidth="1"/>
    <col min="8969" max="8969" width="12.42578125" style="477" customWidth="1"/>
    <col min="8970" max="8970" width="2.85546875" style="477" customWidth="1"/>
    <col min="8971" max="8971" width="29.85546875" style="477" customWidth="1"/>
    <col min="8972" max="8972" width="9" style="477" customWidth="1"/>
    <col min="8973" max="8973" width="10.85546875" style="477" customWidth="1"/>
    <col min="8974" max="8974" width="8" style="477" bestFit="1" customWidth="1"/>
    <col min="8975" max="8975" width="9" style="477" bestFit="1" customWidth="1"/>
    <col min="8976" max="8976" width="11" style="477" bestFit="1" customWidth="1"/>
    <col min="8977" max="8977" width="12.5703125" style="477" bestFit="1" customWidth="1"/>
    <col min="8978" max="8978" width="12.140625" style="477" customWidth="1"/>
    <col min="8979" max="8992" width="2.85546875" style="477" customWidth="1"/>
    <col min="8993" max="8993" width="22.28515625" style="477" customWidth="1"/>
    <col min="8994" max="8994" width="9.42578125" style="477" customWidth="1"/>
    <col min="8995" max="8995" width="8.42578125" style="477" customWidth="1"/>
    <col min="8996" max="8996" width="9.42578125" style="477" customWidth="1"/>
    <col min="8997" max="8997" width="7.5703125" style="477" customWidth="1"/>
    <col min="8998" max="8998" width="7.85546875" style="477" bestFit="1" customWidth="1"/>
    <col min="8999" max="8999" width="10.28515625" style="477" bestFit="1" customWidth="1"/>
    <col min="9000" max="9000" width="4.85546875" style="477" customWidth="1"/>
    <col min="9001" max="9001" width="21.85546875" style="477" bestFit="1" customWidth="1"/>
    <col min="9002" max="9002" width="8.85546875" style="477" customWidth="1"/>
    <col min="9003" max="9003" width="7.5703125" style="477" bestFit="1" customWidth="1"/>
    <col min="9004" max="9004" width="4.5703125" style="477" customWidth="1"/>
    <col min="9005" max="9216" width="9.42578125" style="477"/>
    <col min="9217" max="9217" width="2.42578125" style="477" customWidth="1"/>
    <col min="9218" max="9218" width="29.7109375" style="477" customWidth="1"/>
    <col min="9219" max="9219" width="9.28515625" style="477" bestFit="1" customWidth="1"/>
    <col min="9220" max="9220" width="10.28515625" style="477" customWidth="1"/>
    <col min="9221" max="9221" width="8.140625" style="477" bestFit="1" customWidth="1"/>
    <col min="9222" max="9222" width="9.85546875" style="477" bestFit="1" customWidth="1"/>
    <col min="9223" max="9223" width="9" style="477" customWidth="1"/>
    <col min="9224" max="9224" width="11.7109375" style="477" customWidth="1"/>
    <col min="9225" max="9225" width="12.42578125" style="477" customWidth="1"/>
    <col min="9226" max="9226" width="2.85546875" style="477" customWidth="1"/>
    <col min="9227" max="9227" width="29.85546875" style="477" customWidth="1"/>
    <col min="9228" max="9228" width="9" style="477" customWidth="1"/>
    <col min="9229" max="9229" width="10.85546875" style="477" customWidth="1"/>
    <col min="9230" max="9230" width="8" style="477" bestFit="1" customWidth="1"/>
    <col min="9231" max="9231" width="9" style="477" bestFit="1" customWidth="1"/>
    <col min="9232" max="9232" width="11" style="477" bestFit="1" customWidth="1"/>
    <col min="9233" max="9233" width="12.5703125" style="477" bestFit="1" customWidth="1"/>
    <col min="9234" max="9234" width="12.140625" style="477" customWidth="1"/>
    <col min="9235" max="9248" width="2.85546875" style="477" customWidth="1"/>
    <col min="9249" max="9249" width="22.28515625" style="477" customWidth="1"/>
    <col min="9250" max="9250" width="9.42578125" style="477" customWidth="1"/>
    <col min="9251" max="9251" width="8.42578125" style="477" customWidth="1"/>
    <col min="9252" max="9252" width="9.42578125" style="477" customWidth="1"/>
    <col min="9253" max="9253" width="7.5703125" style="477" customWidth="1"/>
    <col min="9254" max="9254" width="7.85546875" style="477" bestFit="1" customWidth="1"/>
    <col min="9255" max="9255" width="10.28515625" style="477" bestFit="1" customWidth="1"/>
    <col min="9256" max="9256" width="4.85546875" style="477" customWidth="1"/>
    <col min="9257" max="9257" width="21.85546875" style="477" bestFit="1" customWidth="1"/>
    <col min="9258" max="9258" width="8.85546875" style="477" customWidth="1"/>
    <col min="9259" max="9259" width="7.5703125" style="477" bestFit="1" customWidth="1"/>
    <col min="9260" max="9260" width="4.5703125" style="477" customWidth="1"/>
    <col min="9261" max="9472" width="9.42578125" style="477"/>
    <col min="9473" max="9473" width="2.42578125" style="477" customWidth="1"/>
    <col min="9474" max="9474" width="29.7109375" style="477" customWidth="1"/>
    <col min="9475" max="9475" width="9.28515625" style="477" bestFit="1" customWidth="1"/>
    <col min="9476" max="9476" width="10.28515625" style="477" customWidth="1"/>
    <col min="9477" max="9477" width="8.140625" style="477" bestFit="1" customWidth="1"/>
    <col min="9478" max="9478" width="9.85546875" style="477" bestFit="1" customWidth="1"/>
    <col min="9479" max="9479" width="9" style="477" customWidth="1"/>
    <col min="9480" max="9480" width="11.7109375" style="477" customWidth="1"/>
    <col min="9481" max="9481" width="12.42578125" style="477" customWidth="1"/>
    <col min="9482" max="9482" width="2.85546875" style="477" customWidth="1"/>
    <col min="9483" max="9483" width="29.85546875" style="477" customWidth="1"/>
    <col min="9484" max="9484" width="9" style="477" customWidth="1"/>
    <col min="9485" max="9485" width="10.85546875" style="477" customWidth="1"/>
    <col min="9486" max="9486" width="8" style="477" bestFit="1" customWidth="1"/>
    <col min="9487" max="9487" width="9" style="477" bestFit="1" customWidth="1"/>
    <col min="9488" max="9488" width="11" style="477" bestFit="1" customWidth="1"/>
    <col min="9489" max="9489" width="12.5703125" style="477" bestFit="1" customWidth="1"/>
    <col min="9490" max="9490" width="12.140625" style="477" customWidth="1"/>
    <col min="9491" max="9504" width="2.85546875" style="477" customWidth="1"/>
    <col min="9505" max="9505" width="22.28515625" style="477" customWidth="1"/>
    <col min="9506" max="9506" width="9.42578125" style="477" customWidth="1"/>
    <col min="9507" max="9507" width="8.42578125" style="477" customWidth="1"/>
    <col min="9508" max="9508" width="9.42578125" style="477" customWidth="1"/>
    <col min="9509" max="9509" width="7.5703125" style="477" customWidth="1"/>
    <col min="9510" max="9510" width="7.85546875" style="477" bestFit="1" customWidth="1"/>
    <col min="9511" max="9511" width="10.28515625" style="477" bestFit="1" customWidth="1"/>
    <col min="9512" max="9512" width="4.85546875" style="477" customWidth="1"/>
    <col min="9513" max="9513" width="21.85546875" style="477" bestFit="1" customWidth="1"/>
    <col min="9514" max="9514" width="8.85546875" style="477" customWidth="1"/>
    <col min="9515" max="9515" width="7.5703125" style="477" bestFit="1" customWidth="1"/>
    <col min="9516" max="9516" width="4.5703125" style="477" customWidth="1"/>
    <col min="9517" max="9728" width="9.42578125" style="477"/>
    <col min="9729" max="9729" width="2.42578125" style="477" customWidth="1"/>
    <col min="9730" max="9730" width="29.7109375" style="477" customWidth="1"/>
    <col min="9731" max="9731" width="9.28515625" style="477" bestFit="1" customWidth="1"/>
    <col min="9732" max="9732" width="10.28515625" style="477" customWidth="1"/>
    <col min="9733" max="9733" width="8.140625" style="477" bestFit="1" customWidth="1"/>
    <col min="9734" max="9734" width="9.85546875" style="477" bestFit="1" customWidth="1"/>
    <col min="9735" max="9735" width="9" style="477" customWidth="1"/>
    <col min="9736" max="9736" width="11.7109375" style="477" customWidth="1"/>
    <col min="9737" max="9737" width="12.42578125" style="477" customWidth="1"/>
    <col min="9738" max="9738" width="2.85546875" style="477" customWidth="1"/>
    <col min="9739" max="9739" width="29.85546875" style="477" customWidth="1"/>
    <col min="9740" max="9740" width="9" style="477" customWidth="1"/>
    <col min="9741" max="9741" width="10.85546875" style="477" customWidth="1"/>
    <col min="9742" max="9742" width="8" style="477" bestFit="1" customWidth="1"/>
    <col min="9743" max="9743" width="9" style="477" bestFit="1" customWidth="1"/>
    <col min="9744" max="9744" width="11" style="477" bestFit="1" customWidth="1"/>
    <col min="9745" max="9745" width="12.5703125" style="477" bestFit="1" customWidth="1"/>
    <col min="9746" max="9746" width="12.140625" style="477" customWidth="1"/>
    <col min="9747" max="9760" width="2.85546875" style="477" customWidth="1"/>
    <col min="9761" max="9761" width="22.28515625" style="477" customWidth="1"/>
    <col min="9762" max="9762" width="9.42578125" style="477" customWidth="1"/>
    <col min="9763" max="9763" width="8.42578125" style="477" customWidth="1"/>
    <col min="9764" max="9764" width="9.42578125" style="477" customWidth="1"/>
    <col min="9765" max="9765" width="7.5703125" style="477" customWidth="1"/>
    <col min="9766" max="9766" width="7.85546875" style="477" bestFit="1" customWidth="1"/>
    <col min="9767" max="9767" width="10.28515625" style="477" bestFit="1" customWidth="1"/>
    <col min="9768" max="9768" width="4.85546875" style="477" customWidth="1"/>
    <col min="9769" max="9769" width="21.85546875" style="477" bestFit="1" customWidth="1"/>
    <col min="9770" max="9770" width="8.85546875" style="477" customWidth="1"/>
    <col min="9771" max="9771" width="7.5703125" style="477" bestFit="1" customWidth="1"/>
    <col min="9772" max="9772" width="4.5703125" style="477" customWidth="1"/>
    <col min="9773" max="9984" width="9.42578125" style="477"/>
    <col min="9985" max="9985" width="2.42578125" style="477" customWidth="1"/>
    <col min="9986" max="9986" width="29.7109375" style="477" customWidth="1"/>
    <col min="9987" max="9987" width="9.28515625" style="477" bestFit="1" customWidth="1"/>
    <col min="9988" max="9988" width="10.28515625" style="477" customWidth="1"/>
    <col min="9989" max="9989" width="8.140625" style="477" bestFit="1" customWidth="1"/>
    <col min="9990" max="9990" width="9.85546875" style="477" bestFit="1" customWidth="1"/>
    <col min="9991" max="9991" width="9" style="477" customWidth="1"/>
    <col min="9992" max="9992" width="11.7109375" style="477" customWidth="1"/>
    <col min="9993" max="9993" width="12.42578125" style="477" customWidth="1"/>
    <col min="9994" max="9994" width="2.85546875" style="477" customWidth="1"/>
    <col min="9995" max="9995" width="29.85546875" style="477" customWidth="1"/>
    <col min="9996" max="9996" width="9" style="477" customWidth="1"/>
    <col min="9997" max="9997" width="10.85546875" style="477" customWidth="1"/>
    <col min="9998" max="9998" width="8" style="477" bestFit="1" customWidth="1"/>
    <col min="9999" max="9999" width="9" style="477" bestFit="1" customWidth="1"/>
    <col min="10000" max="10000" width="11" style="477" bestFit="1" customWidth="1"/>
    <col min="10001" max="10001" width="12.5703125" style="477" bestFit="1" customWidth="1"/>
    <col min="10002" max="10002" width="12.140625" style="477" customWidth="1"/>
    <col min="10003" max="10016" width="2.85546875" style="477" customWidth="1"/>
    <col min="10017" max="10017" width="22.28515625" style="477" customWidth="1"/>
    <col min="10018" max="10018" width="9.42578125" style="477" customWidth="1"/>
    <col min="10019" max="10019" width="8.42578125" style="477" customWidth="1"/>
    <col min="10020" max="10020" width="9.42578125" style="477" customWidth="1"/>
    <col min="10021" max="10021" width="7.5703125" style="477" customWidth="1"/>
    <col min="10022" max="10022" width="7.85546875" style="477" bestFit="1" customWidth="1"/>
    <col min="10023" max="10023" width="10.28515625" style="477" bestFit="1" customWidth="1"/>
    <col min="10024" max="10024" width="4.85546875" style="477" customWidth="1"/>
    <col min="10025" max="10025" width="21.85546875" style="477" bestFit="1" customWidth="1"/>
    <col min="10026" max="10026" width="8.85546875" style="477" customWidth="1"/>
    <col min="10027" max="10027" width="7.5703125" style="477" bestFit="1" customWidth="1"/>
    <col min="10028" max="10028" width="4.5703125" style="477" customWidth="1"/>
    <col min="10029" max="10240" width="9.42578125" style="477"/>
    <col min="10241" max="10241" width="2.42578125" style="477" customWidth="1"/>
    <col min="10242" max="10242" width="29.7109375" style="477" customWidth="1"/>
    <col min="10243" max="10243" width="9.28515625" style="477" bestFit="1" customWidth="1"/>
    <col min="10244" max="10244" width="10.28515625" style="477" customWidth="1"/>
    <col min="10245" max="10245" width="8.140625" style="477" bestFit="1" customWidth="1"/>
    <col min="10246" max="10246" width="9.85546875" style="477" bestFit="1" customWidth="1"/>
    <col min="10247" max="10247" width="9" style="477" customWidth="1"/>
    <col min="10248" max="10248" width="11.7109375" style="477" customWidth="1"/>
    <col min="10249" max="10249" width="12.42578125" style="477" customWidth="1"/>
    <col min="10250" max="10250" width="2.85546875" style="477" customWidth="1"/>
    <col min="10251" max="10251" width="29.85546875" style="477" customWidth="1"/>
    <col min="10252" max="10252" width="9" style="477" customWidth="1"/>
    <col min="10253" max="10253" width="10.85546875" style="477" customWidth="1"/>
    <col min="10254" max="10254" width="8" style="477" bestFit="1" customWidth="1"/>
    <col min="10255" max="10255" width="9" style="477" bestFit="1" customWidth="1"/>
    <col min="10256" max="10256" width="11" style="477" bestFit="1" customWidth="1"/>
    <col min="10257" max="10257" width="12.5703125" style="477" bestFit="1" customWidth="1"/>
    <col min="10258" max="10258" width="12.140625" style="477" customWidth="1"/>
    <col min="10259" max="10272" width="2.85546875" style="477" customWidth="1"/>
    <col min="10273" max="10273" width="22.28515625" style="477" customWidth="1"/>
    <col min="10274" max="10274" width="9.42578125" style="477" customWidth="1"/>
    <col min="10275" max="10275" width="8.42578125" style="477" customWidth="1"/>
    <col min="10276" max="10276" width="9.42578125" style="477" customWidth="1"/>
    <col min="10277" max="10277" width="7.5703125" style="477" customWidth="1"/>
    <col min="10278" max="10278" width="7.85546875" style="477" bestFit="1" customWidth="1"/>
    <col min="10279" max="10279" width="10.28515625" style="477" bestFit="1" customWidth="1"/>
    <col min="10280" max="10280" width="4.85546875" style="477" customWidth="1"/>
    <col min="10281" max="10281" width="21.85546875" style="477" bestFit="1" customWidth="1"/>
    <col min="10282" max="10282" width="8.85546875" style="477" customWidth="1"/>
    <col min="10283" max="10283" width="7.5703125" style="477" bestFit="1" customWidth="1"/>
    <col min="10284" max="10284" width="4.5703125" style="477" customWidth="1"/>
    <col min="10285" max="10496" width="9.42578125" style="477"/>
    <col min="10497" max="10497" width="2.42578125" style="477" customWidth="1"/>
    <col min="10498" max="10498" width="29.7109375" style="477" customWidth="1"/>
    <col min="10499" max="10499" width="9.28515625" style="477" bestFit="1" customWidth="1"/>
    <col min="10500" max="10500" width="10.28515625" style="477" customWidth="1"/>
    <col min="10501" max="10501" width="8.140625" style="477" bestFit="1" customWidth="1"/>
    <col min="10502" max="10502" width="9.85546875" style="477" bestFit="1" customWidth="1"/>
    <col min="10503" max="10503" width="9" style="477" customWidth="1"/>
    <col min="10504" max="10504" width="11.7109375" style="477" customWidth="1"/>
    <col min="10505" max="10505" width="12.42578125" style="477" customWidth="1"/>
    <col min="10506" max="10506" width="2.85546875" style="477" customWidth="1"/>
    <col min="10507" max="10507" width="29.85546875" style="477" customWidth="1"/>
    <col min="10508" max="10508" width="9" style="477" customWidth="1"/>
    <col min="10509" max="10509" width="10.85546875" style="477" customWidth="1"/>
    <col min="10510" max="10510" width="8" style="477" bestFit="1" customWidth="1"/>
    <col min="10511" max="10511" width="9" style="477" bestFit="1" customWidth="1"/>
    <col min="10512" max="10512" width="11" style="477" bestFit="1" customWidth="1"/>
    <col min="10513" max="10513" width="12.5703125" style="477" bestFit="1" customWidth="1"/>
    <col min="10514" max="10514" width="12.140625" style="477" customWidth="1"/>
    <col min="10515" max="10528" width="2.85546875" style="477" customWidth="1"/>
    <col min="10529" max="10529" width="22.28515625" style="477" customWidth="1"/>
    <col min="10530" max="10530" width="9.42578125" style="477" customWidth="1"/>
    <col min="10531" max="10531" width="8.42578125" style="477" customWidth="1"/>
    <col min="10532" max="10532" width="9.42578125" style="477" customWidth="1"/>
    <col min="10533" max="10533" width="7.5703125" style="477" customWidth="1"/>
    <col min="10534" max="10534" width="7.85546875" style="477" bestFit="1" customWidth="1"/>
    <col min="10535" max="10535" width="10.28515625" style="477" bestFit="1" customWidth="1"/>
    <col min="10536" max="10536" width="4.85546875" style="477" customWidth="1"/>
    <col min="10537" max="10537" width="21.85546875" style="477" bestFit="1" customWidth="1"/>
    <col min="10538" max="10538" width="8.85546875" style="477" customWidth="1"/>
    <col min="10539" max="10539" width="7.5703125" style="477" bestFit="1" customWidth="1"/>
    <col min="10540" max="10540" width="4.5703125" style="477" customWidth="1"/>
    <col min="10541" max="10752" width="9.42578125" style="477"/>
    <col min="10753" max="10753" width="2.42578125" style="477" customWidth="1"/>
    <col min="10754" max="10754" width="29.7109375" style="477" customWidth="1"/>
    <col min="10755" max="10755" width="9.28515625" style="477" bestFit="1" customWidth="1"/>
    <col min="10756" max="10756" width="10.28515625" style="477" customWidth="1"/>
    <col min="10757" max="10757" width="8.140625" style="477" bestFit="1" customWidth="1"/>
    <col min="10758" max="10758" width="9.85546875" style="477" bestFit="1" customWidth="1"/>
    <col min="10759" max="10759" width="9" style="477" customWidth="1"/>
    <col min="10760" max="10760" width="11.7109375" style="477" customWidth="1"/>
    <col min="10761" max="10761" width="12.42578125" style="477" customWidth="1"/>
    <col min="10762" max="10762" width="2.85546875" style="477" customWidth="1"/>
    <col min="10763" max="10763" width="29.85546875" style="477" customWidth="1"/>
    <col min="10764" max="10764" width="9" style="477" customWidth="1"/>
    <col min="10765" max="10765" width="10.85546875" style="477" customWidth="1"/>
    <col min="10766" max="10766" width="8" style="477" bestFit="1" customWidth="1"/>
    <col min="10767" max="10767" width="9" style="477" bestFit="1" customWidth="1"/>
    <col min="10768" max="10768" width="11" style="477" bestFit="1" customWidth="1"/>
    <col min="10769" max="10769" width="12.5703125" style="477" bestFit="1" customWidth="1"/>
    <col min="10770" max="10770" width="12.140625" style="477" customWidth="1"/>
    <col min="10771" max="10784" width="2.85546875" style="477" customWidth="1"/>
    <col min="10785" max="10785" width="22.28515625" style="477" customWidth="1"/>
    <col min="10786" max="10786" width="9.42578125" style="477" customWidth="1"/>
    <col min="10787" max="10787" width="8.42578125" style="477" customWidth="1"/>
    <col min="10788" max="10788" width="9.42578125" style="477" customWidth="1"/>
    <col min="10789" max="10789" width="7.5703125" style="477" customWidth="1"/>
    <col min="10790" max="10790" width="7.85546875" style="477" bestFit="1" customWidth="1"/>
    <col min="10791" max="10791" width="10.28515625" style="477" bestFit="1" customWidth="1"/>
    <col min="10792" max="10792" width="4.85546875" style="477" customWidth="1"/>
    <col min="10793" max="10793" width="21.85546875" style="477" bestFit="1" customWidth="1"/>
    <col min="10794" max="10794" width="8.85546875" style="477" customWidth="1"/>
    <col min="10795" max="10795" width="7.5703125" style="477" bestFit="1" customWidth="1"/>
    <col min="10796" max="10796" width="4.5703125" style="477" customWidth="1"/>
    <col min="10797" max="11008" width="9.42578125" style="477"/>
    <col min="11009" max="11009" width="2.42578125" style="477" customWidth="1"/>
    <col min="11010" max="11010" width="29.7109375" style="477" customWidth="1"/>
    <col min="11011" max="11011" width="9.28515625" style="477" bestFit="1" customWidth="1"/>
    <col min="11012" max="11012" width="10.28515625" style="477" customWidth="1"/>
    <col min="11013" max="11013" width="8.140625" style="477" bestFit="1" customWidth="1"/>
    <col min="11014" max="11014" width="9.85546875" style="477" bestFit="1" customWidth="1"/>
    <col min="11015" max="11015" width="9" style="477" customWidth="1"/>
    <col min="11016" max="11016" width="11.7109375" style="477" customWidth="1"/>
    <col min="11017" max="11017" width="12.42578125" style="477" customWidth="1"/>
    <col min="11018" max="11018" width="2.85546875" style="477" customWidth="1"/>
    <col min="11019" max="11019" width="29.85546875" style="477" customWidth="1"/>
    <col min="11020" max="11020" width="9" style="477" customWidth="1"/>
    <col min="11021" max="11021" width="10.85546875" style="477" customWidth="1"/>
    <col min="11022" max="11022" width="8" style="477" bestFit="1" customWidth="1"/>
    <col min="11023" max="11023" width="9" style="477" bestFit="1" customWidth="1"/>
    <col min="11024" max="11024" width="11" style="477" bestFit="1" customWidth="1"/>
    <col min="11025" max="11025" width="12.5703125" style="477" bestFit="1" customWidth="1"/>
    <col min="11026" max="11026" width="12.140625" style="477" customWidth="1"/>
    <col min="11027" max="11040" width="2.85546875" style="477" customWidth="1"/>
    <col min="11041" max="11041" width="22.28515625" style="477" customWidth="1"/>
    <col min="11042" max="11042" width="9.42578125" style="477" customWidth="1"/>
    <col min="11043" max="11043" width="8.42578125" style="477" customWidth="1"/>
    <col min="11044" max="11044" width="9.42578125" style="477" customWidth="1"/>
    <col min="11045" max="11045" width="7.5703125" style="477" customWidth="1"/>
    <col min="11046" max="11046" width="7.85546875" style="477" bestFit="1" customWidth="1"/>
    <col min="11047" max="11047" width="10.28515625" style="477" bestFit="1" customWidth="1"/>
    <col min="11048" max="11048" width="4.85546875" style="477" customWidth="1"/>
    <col min="11049" max="11049" width="21.85546875" style="477" bestFit="1" customWidth="1"/>
    <col min="11050" max="11050" width="8.85546875" style="477" customWidth="1"/>
    <col min="11051" max="11051" width="7.5703125" style="477" bestFit="1" customWidth="1"/>
    <col min="11052" max="11052" width="4.5703125" style="477" customWidth="1"/>
    <col min="11053" max="11264" width="9.42578125" style="477"/>
    <col min="11265" max="11265" width="2.42578125" style="477" customWidth="1"/>
    <col min="11266" max="11266" width="29.7109375" style="477" customWidth="1"/>
    <col min="11267" max="11267" width="9.28515625" style="477" bestFit="1" customWidth="1"/>
    <col min="11268" max="11268" width="10.28515625" style="477" customWidth="1"/>
    <col min="11269" max="11269" width="8.140625" style="477" bestFit="1" customWidth="1"/>
    <col min="11270" max="11270" width="9.85546875" style="477" bestFit="1" customWidth="1"/>
    <col min="11271" max="11271" width="9" style="477" customWidth="1"/>
    <col min="11272" max="11272" width="11.7109375" style="477" customWidth="1"/>
    <col min="11273" max="11273" width="12.42578125" style="477" customWidth="1"/>
    <col min="11274" max="11274" width="2.85546875" style="477" customWidth="1"/>
    <col min="11275" max="11275" width="29.85546875" style="477" customWidth="1"/>
    <col min="11276" max="11276" width="9" style="477" customWidth="1"/>
    <col min="11277" max="11277" width="10.85546875" style="477" customWidth="1"/>
    <col min="11278" max="11278" width="8" style="477" bestFit="1" customWidth="1"/>
    <col min="11279" max="11279" width="9" style="477" bestFit="1" customWidth="1"/>
    <col min="11280" max="11280" width="11" style="477" bestFit="1" customWidth="1"/>
    <col min="11281" max="11281" width="12.5703125" style="477" bestFit="1" customWidth="1"/>
    <col min="11282" max="11282" width="12.140625" style="477" customWidth="1"/>
    <col min="11283" max="11296" width="2.85546875" style="477" customWidth="1"/>
    <col min="11297" max="11297" width="22.28515625" style="477" customWidth="1"/>
    <col min="11298" max="11298" width="9.42578125" style="477" customWidth="1"/>
    <col min="11299" max="11299" width="8.42578125" style="477" customWidth="1"/>
    <col min="11300" max="11300" width="9.42578125" style="477" customWidth="1"/>
    <col min="11301" max="11301" width="7.5703125" style="477" customWidth="1"/>
    <col min="11302" max="11302" width="7.85546875" style="477" bestFit="1" customWidth="1"/>
    <col min="11303" max="11303" width="10.28515625" style="477" bestFit="1" customWidth="1"/>
    <col min="11304" max="11304" width="4.85546875" style="477" customWidth="1"/>
    <col min="11305" max="11305" width="21.85546875" style="477" bestFit="1" customWidth="1"/>
    <col min="11306" max="11306" width="8.85546875" style="477" customWidth="1"/>
    <col min="11307" max="11307" width="7.5703125" style="477" bestFit="1" customWidth="1"/>
    <col min="11308" max="11308" width="4.5703125" style="477" customWidth="1"/>
    <col min="11309" max="11520" width="9.42578125" style="477"/>
    <col min="11521" max="11521" width="2.42578125" style="477" customWidth="1"/>
    <col min="11522" max="11522" width="29.7109375" style="477" customWidth="1"/>
    <col min="11523" max="11523" width="9.28515625" style="477" bestFit="1" customWidth="1"/>
    <col min="11524" max="11524" width="10.28515625" style="477" customWidth="1"/>
    <col min="11525" max="11525" width="8.140625" style="477" bestFit="1" customWidth="1"/>
    <col min="11526" max="11526" width="9.85546875" style="477" bestFit="1" customWidth="1"/>
    <col min="11527" max="11527" width="9" style="477" customWidth="1"/>
    <col min="11528" max="11528" width="11.7109375" style="477" customWidth="1"/>
    <col min="11529" max="11529" width="12.42578125" style="477" customWidth="1"/>
    <col min="11530" max="11530" width="2.85546875" style="477" customWidth="1"/>
    <col min="11531" max="11531" width="29.85546875" style="477" customWidth="1"/>
    <col min="11532" max="11532" width="9" style="477" customWidth="1"/>
    <col min="11533" max="11533" width="10.85546875" style="477" customWidth="1"/>
    <col min="11534" max="11534" width="8" style="477" bestFit="1" customWidth="1"/>
    <col min="11535" max="11535" width="9" style="477" bestFit="1" customWidth="1"/>
    <col min="11536" max="11536" width="11" style="477" bestFit="1" customWidth="1"/>
    <col min="11537" max="11537" width="12.5703125" style="477" bestFit="1" customWidth="1"/>
    <col min="11538" max="11538" width="12.140625" style="477" customWidth="1"/>
    <col min="11539" max="11552" width="2.85546875" style="477" customWidth="1"/>
    <col min="11553" max="11553" width="22.28515625" style="477" customWidth="1"/>
    <col min="11554" max="11554" width="9.42578125" style="477" customWidth="1"/>
    <col min="11555" max="11555" width="8.42578125" style="477" customWidth="1"/>
    <col min="11556" max="11556" width="9.42578125" style="477" customWidth="1"/>
    <col min="11557" max="11557" width="7.5703125" style="477" customWidth="1"/>
    <col min="11558" max="11558" width="7.85546875" style="477" bestFit="1" customWidth="1"/>
    <col min="11559" max="11559" width="10.28515625" style="477" bestFit="1" customWidth="1"/>
    <col min="11560" max="11560" width="4.85546875" style="477" customWidth="1"/>
    <col min="11561" max="11561" width="21.85546875" style="477" bestFit="1" customWidth="1"/>
    <col min="11562" max="11562" width="8.85546875" style="477" customWidth="1"/>
    <col min="11563" max="11563" width="7.5703125" style="477" bestFit="1" customWidth="1"/>
    <col min="11564" max="11564" width="4.5703125" style="477" customWidth="1"/>
    <col min="11565" max="11776" width="9.42578125" style="477"/>
    <col min="11777" max="11777" width="2.42578125" style="477" customWidth="1"/>
    <col min="11778" max="11778" width="29.7109375" style="477" customWidth="1"/>
    <col min="11779" max="11779" width="9.28515625" style="477" bestFit="1" customWidth="1"/>
    <col min="11780" max="11780" width="10.28515625" style="477" customWidth="1"/>
    <col min="11781" max="11781" width="8.140625" style="477" bestFit="1" customWidth="1"/>
    <col min="11782" max="11782" width="9.85546875" style="477" bestFit="1" customWidth="1"/>
    <col min="11783" max="11783" width="9" style="477" customWidth="1"/>
    <col min="11784" max="11784" width="11.7109375" style="477" customWidth="1"/>
    <col min="11785" max="11785" width="12.42578125" style="477" customWidth="1"/>
    <col min="11786" max="11786" width="2.85546875" style="477" customWidth="1"/>
    <col min="11787" max="11787" width="29.85546875" style="477" customWidth="1"/>
    <col min="11788" max="11788" width="9" style="477" customWidth="1"/>
    <col min="11789" max="11789" width="10.85546875" style="477" customWidth="1"/>
    <col min="11790" max="11790" width="8" style="477" bestFit="1" customWidth="1"/>
    <col min="11791" max="11791" width="9" style="477" bestFit="1" customWidth="1"/>
    <col min="11792" max="11792" width="11" style="477" bestFit="1" customWidth="1"/>
    <col min="11793" max="11793" width="12.5703125" style="477" bestFit="1" customWidth="1"/>
    <col min="11794" max="11794" width="12.140625" style="477" customWidth="1"/>
    <col min="11795" max="11808" width="2.85546875" style="477" customWidth="1"/>
    <col min="11809" max="11809" width="22.28515625" style="477" customWidth="1"/>
    <col min="11810" max="11810" width="9.42578125" style="477" customWidth="1"/>
    <col min="11811" max="11811" width="8.42578125" style="477" customWidth="1"/>
    <col min="11812" max="11812" width="9.42578125" style="477" customWidth="1"/>
    <col min="11813" max="11813" width="7.5703125" style="477" customWidth="1"/>
    <col min="11814" max="11814" width="7.85546875" style="477" bestFit="1" customWidth="1"/>
    <col min="11815" max="11815" width="10.28515625" style="477" bestFit="1" customWidth="1"/>
    <col min="11816" max="11816" width="4.85546875" style="477" customWidth="1"/>
    <col min="11817" max="11817" width="21.85546875" style="477" bestFit="1" customWidth="1"/>
    <col min="11818" max="11818" width="8.85546875" style="477" customWidth="1"/>
    <col min="11819" max="11819" width="7.5703125" style="477" bestFit="1" customWidth="1"/>
    <col min="11820" max="11820" width="4.5703125" style="477" customWidth="1"/>
    <col min="11821" max="12032" width="9.42578125" style="477"/>
    <col min="12033" max="12033" width="2.42578125" style="477" customWidth="1"/>
    <col min="12034" max="12034" width="29.7109375" style="477" customWidth="1"/>
    <col min="12035" max="12035" width="9.28515625" style="477" bestFit="1" customWidth="1"/>
    <col min="12036" max="12036" width="10.28515625" style="477" customWidth="1"/>
    <col min="12037" max="12037" width="8.140625" style="477" bestFit="1" customWidth="1"/>
    <col min="12038" max="12038" width="9.85546875" style="477" bestFit="1" customWidth="1"/>
    <col min="12039" max="12039" width="9" style="477" customWidth="1"/>
    <col min="12040" max="12040" width="11.7109375" style="477" customWidth="1"/>
    <col min="12041" max="12041" width="12.42578125" style="477" customWidth="1"/>
    <col min="12042" max="12042" width="2.85546875" style="477" customWidth="1"/>
    <col min="12043" max="12043" width="29.85546875" style="477" customWidth="1"/>
    <col min="12044" max="12044" width="9" style="477" customWidth="1"/>
    <col min="12045" max="12045" width="10.85546875" style="477" customWidth="1"/>
    <col min="12046" max="12046" width="8" style="477" bestFit="1" customWidth="1"/>
    <col min="12047" max="12047" width="9" style="477" bestFit="1" customWidth="1"/>
    <col min="12048" max="12048" width="11" style="477" bestFit="1" customWidth="1"/>
    <col min="12049" max="12049" width="12.5703125" style="477" bestFit="1" customWidth="1"/>
    <col min="12050" max="12050" width="12.140625" style="477" customWidth="1"/>
    <col min="12051" max="12064" width="2.85546875" style="477" customWidth="1"/>
    <col min="12065" max="12065" width="22.28515625" style="477" customWidth="1"/>
    <col min="12066" max="12066" width="9.42578125" style="477" customWidth="1"/>
    <col min="12067" max="12067" width="8.42578125" style="477" customWidth="1"/>
    <col min="12068" max="12068" width="9.42578125" style="477" customWidth="1"/>
    <col min="12069" max="12069" width="7.5703125" style="477" customWidth="1"/>
    <col min="12070" max="12070" width="7.85546875" style="477" bestFit="1" customWidth="1"/>
    <col min="12071" max="12071" width="10.28515625" style="477" bestFit="1" customWidth="1"/>
    <col min="12072" max="12072" width="4.85546875" style="477" customWidth="1"/>
    <col min="12073" max="12073" width="21.85546875" style="477" bestFit="1" customWidth="1"/>
    <col min="12074" max="12074" width="8.85546875" style="477" customWidth="1"/>
    <col min="12075" max="12075" width="7.5703125" style="477" bestFit="1" customWidth="1"/>
    <col min="12076" max="12076" width="4.5703125" style="477" customWidth="1"/>
    <col min="12077" max="12288" width="9.42578125" style="477"/>
    <col min="12289" max="12289" width="2.42578125" style="477" customWidth="1"/>
    <col min="12290" max="12290" width="29.7109375" style="477" customWidth="1"/>
    <col min="12291" max="12291" width="9.28515625" style="477" bestFit="1" customWidth="1"/>
    <col min="12292" max="12292" width="10.28515625" style="477" customWidth="1"/>
    <col min="12293" max="12293" width="8.140625" style="477" bestFit="1" customWidth="1"/>
    <col min="12294" max="12294" width="9.85546875" style="477" bestFit="1" customWidth="1"/>
    <col min="12295" max="12295" width="9" style="477" customWidth="1"/>
    <col min="12296" max="12296" width="11.7109375" style="477" customWidth="1"/>
    <col min="12297" max="12297" width="12.42578125" style="477" customWidth="1"/>
    <col min="12298" max="12298" width="2.85546875" style="477" customWidth="1"/>
    <col min="12299" max="12299" width="29.85546875" style="477" customWidth="1"/>
    <col min="12300" max="12300" width="9" style="477" customWidth="1"/>
    <col min="12301" max="12301" width="10.85546875" style="477" customWidth="1"/>
    <col min="12302" max="12302" width="8" style="477" bestFit="1" customWidth="1"/>
    <col min="12303" max="12303" width="9" style="477" bestFit="1" customWidth="1"/>
    <col min="12304" max="12304" width="11" style="477" bestFit="1" customWidth="1"/>
    <col min="12305" max="12305" width="12.5703125" style="477" bestFit="1" customWidth="1"/>
    <col min="12306" max="12306" width="12.140625" style="477" customWidth="1"/>
    <col min="12307" max="12320" width="2.85546875" style="477" customWidth="1"/>
    <col min="12321" max="12321" width="22.28515625" style="477" customWidth="1"/>
    <col min="12322" max="12322" width="9.42578125" style="477" customWidth="1"/>
    <col min="12323" max="12323" width="8.42578125" style="477" customWidth="1"/>
    <col min="12324" max="12324" width="9.42578125" style="477" customWidth="1"/>
    <col min="12325" max="12325" width="7.5703125" style="477" customWidth="1"/>
    <col min="12326" max="12326" width="7.85546875" style="477" bestFit="1" customWidth="1"/>
    <col min="12327" max="12327" width="10.28515625" style="477" bestFit="1" customWidth="1"/>
    <col min="12328" max="12328" width="4.85546875" style="477" customWidth="1"/>
    <col min="12329" max="12329" width="21.85546875" style="477" bestFit="1" customWidth="1"/>
    <col min="12330" max="12330" width="8.85546875" style="477" customWidth="1"/>
    <col min="12331" max="12331" width="7.5703125" style="477" bestFit="1" customWidth="1"/>
    <col min="12332" max="12332" width="4.5703125" style="477" customWidth="1"/>
    <col min="12333" max="12544" width="9.42578125" style="477"/>
    <col min="12545" max="12545" width="2.42578125" style="477" customWidth="1"/>
    <col min="12546" max="12546" width="29.7109375" style="477" customWidth="1"/>
    <col min="12547" max="12547" width="9.28515625" style="477" bestFit="1" customWidth="1"/>
    <col min="12548" max="12548" width="10.28515625" style="477" customWidth="1"/>
    <col min="12549" max="12549" width="8.140625" style="477" bestFit="1" customWidth="1"/>
    <col min="12550" max="12550" width="9.85546875" style="477" bestFit="1" customWidth="1"/>
    <col min="12551" max="12551" width="9" style="477" customWidth="1"/>
    <col min="12552" max="12552" width="11.7109375" style="477" customWidth="1"/>
    <col min="12553" max="12553" width="12.42578125" style="477" customWidth="1"/>
    <col min="12554" max="12554" width="2.85546875" style="477" customWidth="1"/>
    <col min="12555" max="12555" width="29.85546875" style="477" customWidth="1"/>
    <col min="12556" max="12556" width="9" style="477" customWidth="1"/>
    <col min="12557" max="12557" width="10.85546875" style="477" customWidth="1"/>
    <col min="12558" max="12558" width="8" style="477" bestFit="1" customWidth="1"/>
    <col min="12559" max="12559" width="9" style="477" bestFit="1" customWidth="1"/>
    <col min="12560" max="12560" width="11" style="477" bestFit="1" customWidth="1"/>
    <col min="12561" max="12561" width="12.5703125" style="477" bestFit="1" customWidth="1"/>
    <col min="12562" max="12562" width="12.140625" style="477" customWidth="1"/>
    <col min="12563" max="12576" width="2.85546875" style="477" customWidth="1"/>
    <col min="12577" max="12577" width="22.28515625" style="477" customWidth="1"/>
    <col min="12578" max="12578" width="9.42578125" style="477" customWidth="1"/>
    <col min="12579" max="12579" width="8.42578125" style="477" customWidth="1"/>
    <col min="12580" max="12580" width="9.42578125" style="477" customWidth="1"/>
    <col min="12581" max="12581" width="7.5703125" style="477" customWidth="1"/>
    <col min="12582" max="12582" width="7.85546875" style="477" bestFit="1" customWidth="1"/>
    <col min="12583" max="12583" width="10.28515625" style="477" bestFit="1" customWidth="1"/>
    <col min="12584" max="12584" width="4.85546875" style="477" customWidth="1"/>
    <col min="12585" max="12585" width="21.85546875" style="477" bestFit="1" customWidth="1"/>
    <col min="12586" max="12586" width="8.85546875" style="477" customWidth="1"/>
    <col min="12587" max="12587" width="7.5703125" style="477" bestFit="1" customWidth="1"/>
    <col min="12588" max="12588" width="4.5703125" style="477" customWidth="1"/>
    <col min="12589" max="12800" width="9.42578125" style="477"/>
    <col min="12801" max="12801" width="2.42578125" style="477" customWidth="1"/>
    <col min="12802" max="12802" width="29.7109375" style="477" customWidth="1"/>
    <col min="12803" max="12803" width="9.28515625" style="477" bestFit="1" customWidth="1"/>
    <col min="12804" max="12804" width="10.28515625" style="477" customWidth="1"/>
    <col min="12805" max="12805" width="8.140625" style="477" bestFit="1" customWidth="1"/>
    <col min="12806" max="12806" width="9.85546875" style="477" bestFit="1" customWidth="1"/>
    <col min="12807" max="12807" width="9" style="477" customWidth="1"/>
    <col min="12808" max="12808" width="11.7109375" style="477" customWidth="1"/>
    <col min="12809" max="12809" width="12.42578125" style="477" customWidth="1"/>
    <col min="12810" max="12810" width="2.85546875" style="477" customWidth="1"/>
    <col min="12811" max="12811" width="29.85546875" style="477" customWidth="1"/>
    <col min="12812" max="12812" width="9" style="477" customWidth="1"/>
    <col min="12813" max="12813" width="10.85546875" style="477" customWidth="1"/>
    <col min="12814" max="12814" width="8" style="477" bestFit="1" customWidth="1"/>
    <col min="12815" max="12815" width="9" style="477" bestFit="1" customWidth="1"/>
    <col min="12816" max="12816" width="11" style="477" bestFit="1" customWidth="1"/>
    <col min="12817" max="12817" width="12.5703125" style="477" bestFit="1" customWidth="1"/>
    <col min="12818" max="12818" width="12.140625" style="477" customWidth="1"/>
    <col min="12819" max="12832" width="2.85546875" style="477" customWidth="1"/>
    <col min="12833" max="12833" width="22.28515625" style="477" customWidth="1"/>
    <col min="12834" max="12834" width="9.42578125" style="477" customWidth="1"/>
    <col min="12835" max="12835" width="8.42578125" style="477" customWidth="1"/>
    <col min="12836" max="12836" width="9.42578125" style="477" customWidth="1"/>
    <col min="12837" max="12837" width="7.5703125" style="477" customWidth="1"/>
    <col min="12838" max="12838" width="7.85546875" style="477" bestFit="1" customWidth="1"/>
    <col min="12839" max="12839" width="10.28515625" style="477" bestFit="1" customWidth="1"/>
    <col min="12840" max="12840" width="4.85546875" style="477" customWidth="1"/>
    <col min="12841" max="12841" width="21.85546875" style="477" bestFit="1" customWidth="1"/>
    <col min="12842" max="12842" width="8.85546875" style="477" customWidth="1"/>
    <col min="12843" max="12843" width="7.5703125" style="477" bestFit="1" customWidth="1"/>
    <col min="12844" max="12844" width="4.5703125" style="477" customWidth="1"/>
    <col min="12845" max="13056" width="9.42578125" style="477"/>
    <col min="13057" max="13057" width="2.42578125" style="477" customWidth="1"/>
    <col min="13058" max="13058" width="29.7109375" style="477" customWidth="1"/>
    <col min="13059" max="13059" width="9.28515625" style="477" bestFit="1" customWidth="1"/>
    <col min="13060" max="13060" width="10.28515625" style="477" customWidth="1"/>
    <col min="13061" max="13061" width="8.140625" style="477" bestFit="1" customWidth="1"/>
    <col min="13062" max="13062" width="9.85546875" style="477" bestFit="1" customWidth="1"/>
    <col min="13063" max="13063" width="9" style="477" customWidth="1"/>
    <col min="13064" max="13064" width="11.7109375" style="477" customWidth="1"/>
    <col min="13065" max="13065" width="12.42578125" style="477" customWidth="1"/>
    <col min="13066" max="13066" width="2.85546875" style="477" customWidth="1"/>
    <col min="13067" max="13067" width="29.85546875" style="477" customWidth="1"/>
    <col min="13068" max="13068" width="9" style="477" customWidth="1"/>
    <col min="13069" max="13069" width="10.85546875" style="477" customWidth="1"/>
    <col min="13070" max="13070" width="8" style="477" bestFit="1" customWidth="1"/>
    <col min="13071" max="13071" width="9" style="477" bestFit="1" customWidth="1"/>
    <col min="13072" max="13072" width="11" style="477" bestFit="1" customWidth="1"/>
    <col min="13073" max="13073" width="12.5703125" style="477" bestFit="1" customWidth="1"/>
    <col min="13074" max="13074" width="12.140625" style="477" customWidth="1"/>
    <col min="13075" max="13088" width="2.85546875" style="477" customWidth="1"/>
    <col min="13089" max="13089" width="22.28515625" style="477" customWidth="1"/>
    <col min="13090" max="13090" width="9.42578125" style="477" customWidth="1"/>
    <col min="13091" max="13091" width="8.42578125" style="477" customWidth="1"/>
    <col min="13092" max="13092" width="9.42578125" style="477" customWidth="1"/>
    <col min="13093" max="13093" width="7.5703125" style="477" customWidth="1"/>
    <col min="13094" max="13094" width="7.85546875" style="477" bestFit="1" customWidth="1"/>
    <col min="13095" max="13095" width="10.28515625" style="477" bestFit="1" customWidth="1"/>
    <col min="13096" max="13096" width="4.85546875" style="477" customWidth="1"/>
    <col min="13097" max="13097" width="21.85546875" style="477" bestFit="1" customWidth="1"/>
    <col min="13098" max="13098" width="8.85546875" style="477" customWidth="1"/>
    <col min="13099" max="13099" width="7.5703125" style="477" bestFit="1" customWidth="1"/>
    <col min="13100" max="13100" width="4.5703125" style="477" customWidth="1"/>
    <col min="13101" max="13312" width="9.42578125" style="477"/>
    <col min="13313" max="13313" width="2.42578125" style="477" customWidth="1"/>
    <col min="13314" max="13314" width="29.7109375" style="477" customWidth="1"/>
    <col min="13315" max="13315" width="9.28515625" style="477" bestFit="1" customWidth="1"/>
    <col min="13316" max="13316" width="10.28515625" style="477" customWidth="1"/>
    <col min="13317" max="13317" width="8.140625" style="477" bestFit="1" customWidth="1"/>
    <col min="13318" max="13318" width="9.85546875" style="477" bestFit="1" customWidth="1"/>
    <col min="13319" max="13319" width="9" style="477" customWidth="1"/>
    <col min="13320" max="13320" width="11.7109375" style="477" customWidth="1"/>
    <col min="13321" max="13321" width="12.42578125" style="477" customWidth="1"/>
    <col min="13322" max="13322" width="2.85546875" style="477" customWidth="1"/>
    <col min="13323" max="13323" width="29.85546875" style="477" customWidth="1"/>
    <col min="13324" max="13324" width="9" style="477" customWidth="1"/>
    <col min="13325" max="13325" width="10.85546875" style="477" customWidth="1"/>
    <col min="13326" max="13326" width="8" style="477" bestFit="1" customWidth="1"/>
    <col min="13327" max="13327" width="9" style="477" bestFit="1" customWidth="1"/>
    <col min="13328" max="13328" width="11" style="477" bestFit="1" customWidth="1"/>
    <col min="13329" max="13329" width="12.5703125" style="477" bestFit="1" customWidth="1"/>
    <col min="13330" max="13330" width="12.140625" style="477" customWidth="1"/>
    <col min="13331" max="13344" width="2.85546875" style="477" customWidth="1"/>
    <col min="13345" max="13345" width="22.28515625" style="477" customWidth="1"/>
    <col min="13346" max="13346" width="9.42578125" style="477" customWidth="1"/>
    <col min="13347" max="13347" width="8.42578125" style="477" customWidth="1"/>
    <col min="13348" max="13348" width="9.42578125" style="477" customWidth="1"/>
    <col min="13349" max="13349" width="7.5703125" style="477" customWidth="1"/>
    <col min="13350" max="13350" width="7.85546875" style="477" bestFit="1" customWidth="1"/>
    <col min="13351" max="13351" width="10.28515625" style="477" bestFit="1" customWidth="1"/>
    <col min="13352" max="13352" width="4.85546875" style="477" customWidth="1"/>
    <col min="13353" max="13353" width="21.85546875" style="477" bestFit="1" customWidth="1"/>
    <col min="13354" max="13354" width="8.85546875" style="477" customWidth="1"/>
    <col min="13355" max="13355" width="7.5703125" style="477" bestFit="1" customWidth="1"/>
    <col min="13356" max="13356" width="4.5703125" style="477" customWidth="1"/>
    <col min="13357" max="13568" width="9.42578125" style="477"/>
    <col min="13569" max="13569" width="2.42578125" style="477" customWidth="1"/>
    <col min="13570" max="13570" width="29.7109375" style="477" customWidth="1"/>
    <col min="13571" max="13571" width="9.28515625" style="477" bestFit="1" customWidth="1"/>
    <col min="13572" max="13572" width="10.28515625" style="477" customWidth="1"/>
    <col min="13573" max="13573" width="8.140625" style="477" bestFit="1" customWidth="1"/>
    <col min="13574" max="13574" width="9.85546875" style="477" bestFit="1" customWidth="1"/>
    <col min="13575" max="13575" width="9" style="477" customWidth="1"/>
    <col min="13576" max="13576" width="11.7109375" style="477" customWidth="1"/>
    <col min="13577" max="13577" width="12.42578125" style="477" customWidth="1"/>
    <col min="13578" max="13578" width="2.85546875" style="477" customWidth="1"/>
    <col min="13579" max="13579" width="29.85546875" style="477" customWidth="1"/>
    <col min="13580" max="13580" width="9" style="477" customWidth="1"/>
    <col min="13581" max="13581" width="10.85546875" style="477" customWidth="1"/>
    <col min="13582" max="13582" width="8" style="477" bestFit="1" customWidth="1"/>
    <col min="13583" max="13583" width="9" style="477" bestFit="1" customWidth="1"/>
    <col min="13584" max="13584" width="11" style="477" bestFit="1" customWidth="1"/>
    <col min="13585" max="13585" width="12.5703125" style="477" bestFit="1" customWidth="1"/>
    <col min="13586" max="13586" width="12.140625" style="477" customWidth="1"/>
    <col min="13587" max="13600" width="2.85546875" style="477" customWidth="1"/>
    <col min="13601" max="13601" width="22.28515625" style="477" customWidth="1"/>
    <col min="13602" max="13602" width="9.42578125" style="477" customWidth="1"/>
    <col min="13603" max="13603" width="8.42578125" style="477" customWidth="1"/>
    <col min="13604" max="13604" width="9.42578125" style="477" customWidth="1"/>
    <col min="13605" max="13605" width="7.5703125" style="477" customWidth="1"/>
    <col min="13606" max="13606" width="7.85546875" style="477" bestFit="1" customWidth="1"/>
    <col min="13607" max="13607" width="10.28515625" style="477" bestFit="1" customWidth="1"/>
    <col min="13608" max="13608" width="4.85546875" style="477" customWidth="1"/>
    <col min="13609" max="13609" width="21.85546875" style="477" bestFit="1" customWidth="1"/>
    <col min="13610" max="13610" width="8.85546875" style="477" customWidth="1"/>
    <col min="13611" max="13611" width="7.5703125" style="477" bestFit="1" customWidth="1"/>
    <col min="13612" max="13612" width="4.5703125" style="477" customWidth="1"/>
    <col min="13613" max="13824" width="9.42578125" style="477"/>
    <col min="13825" max="13825" width="2.42578125" style="477" customWidth="1"/>
    <col min="13826" max="13826" width="29.7109375" style="477" customWidth="1"/>
    <col min="13827" max="13827" width="9.28515625" style="477" bestFit="1" customWidth="1"/>
    <col min="13828" max="13828" width="10.28515625" style="477" customWidth="1"/>
    <col min="13829" max="13829" width="8.140625" style="477" bestFit="1" customWidth="1"/>
    <col min="13830" max="13830" width="9.85546875" style="477" bestFit="1" customWidth="1"/>
    <col min="13831" max="13831" width="9" style="477" customWidth="1"/>
    <col min="13832" max="13832" width="11.7109375" style="477" customWidth="1"/>
    <col min="13833" max="13833" width="12.42578125" style="477" customWidth="1"/>
    <col min="13834" max="13834" width="2.85546875" style="477" customWidth="1"/>
    <col min="13835" max="13835" width="29.85546875" style="477" customWidth="1"/>
    <col min="13836" max="13836" width="9" style="477" customWidth="1"/>
    <col min="13837" max="13837" width="10.85546875" style="477" customWidth="1"/>
    <col min="13838" max="13838" width="8" style="477" bestFit="1" customWidth="1"/>
    <col min="13839" max="13839" width="9" style="477" bestFit="1" customWidth="1"/>
    <col min="13840" max="13840" width="11" style="477" bestFit="1" customWidth="1"/>
    <col min="13841" max="13841" width="12.5703125" style="477" bestFit="1" customWidth="1"/>
    <col min="13842" max="13842" width="12.140625" style="477" customWidth="1"/>
    <col min="13843" max="13856" width="2.85546875" style="477" customWidth="1"/>
    <col min="13857" max="13857" width="22.28515625" style="477" customWidth="1"/>
    <col min="13858" max="13858" width="9.42578125" style="477" customWidth="1"/>
    <col min="13859" max="13859" width="8.42578125" style="477" customWidth="1"/>
    <col min="13860" max="13860" width="9.42578125" style="477" customWidth="1"/>
    <col min="13861" max="13861" width="7.5703125" style="477" customWidth="1"/>
    <col min="13862" max="13862" width="7.85546875" style="477" bestFit="1" customWidth="1"/>
    <col min="13863" max="13863" width="10.28515625" style="477" bestFit="1" customWidth="1"/>
    <col min="13864" max="13864" width="4.85546875" style="477" customWidth="1"/>
    <col min="13865" max="13865" width="21.85546875" style="477" bestFit="1" customWidth="1"/>
    <col min="13866" max="13866" width="8.85546875" style="477" customWidth="1"/>
    <col min="13867" max="13867" width="7.5703125" style="477" bestFit="1" customWidth="1"/>
    <col min="13868" max="13868" width="4.5703125" style="477" customWidth="1"/>
    <col min="13869" max="14080" width="9.42578125" style="477"/>
    <col min="14081" max="14081" width="2.42578125" style="477" customWidth="1"/>
    <col min="14082" max="14082" width="29.7109375" style="477" customWidth="1"/>
    <col min="14083" max="14083" width="9.28515625" style="477" bestFit="1" customWidth="1"/>
    <col min="14084" max="14084" width="10.28515625" style="477" customWidth="1"/>
    <col min="14085" max="14085" width="8.140625" style="477" bestFit="1" customWidth="1"/>
    <col min="14086" max="14086" width="9.85546875" style="477" bestFit="1" customWidth="1"/>
    <col min="14087" max="14087" width="9" style="477" customWidth="1"/>
    <col min="14088" max="14088" width="11.7109375" style="477" customWidth="1"/>
    <col min="14089" max="14089" width="12.42578125" style="477" customWidth="1"/>
    <col min="14090" max="14090" width="2.85546875" style="477" customWidth="1"/>
    <col min="14091" max="14091" width="29.85546875" style="477" customWidth="1"/>
    <col min="14092" max="14092" width="9" style="477" customWidth="1"/>
    <col min="14093" max="14093" width="10.85546875" style="477" customWidth="1"/>
    <col min="14094" max="14094" width="8" style="477" bestFit="1" customWidth="1"/>
    <col min="14095" max="14095" width="9" style="477" bestFit="1" customWidth="1"/>
    <col min="14096" max="14096" width="11" style="477" bestFit="1" customWidth="1"/>
    <col min="14097" max="14097" width="12.5703125" style="477" bestFit="1" customWidth="1"/>
    <col min="14098" max="14098" width="12.140625" style="477" customWidth="1"/>
    <col min="14099" max="14112" width="2.85546875" style="477" customWidth="1"/>
    <col min="14113" max="14113" width="22.28515625" style="477" customWidth="1"/>
    <col min="14114" max="14114" width="9.42578125" style="477" customWidth="1"/>
    <col min="14115" max="14115" width="8.42578125" style="477" customWidth="1"/>
    <col min="14116" max="14116" width="9.42578125" style="477" customWidth="1"/>
    <col min="14117" max="14117" width="7.5703125" style="477" customWidth="1"/>
    <col min="14118" max="14118" width="7.85546875" style="477" bestFit="1" customWidth="1"/>
    <col min="14119" max="14119" width="10.28515625" style="477" bestFit="1" customWidth="1"/>
    <col min="14120" max="14120" width="4.85546875" style="477" customWidth="1"/>
    <col min="14121" max="14121" width="21.85546875" style="477" bestFit="1" customWidth="1"/>
    <col min="14122" max="14122" width="8.85546875" style="477" customWidth="1"/>
    <col min="14123" max="14123" width="7.5703125" style="477" bestFit="1" customWidth="1"/>
    <col min="14124" max="14124" width="4.5703125" style="477" customWidth="1"/>
    <col min="14125" max="14336" width="9.42578125" style="477"/>
    <col min="14337" max="14337" width="2.42578125" style="477" customWidth="1"/>
    <col min="14338" max="14338" width="29.7109375" style="477" customWidth="1"/>
    <col min="14339" max="14339" width="9.28515625" style="477" bestFit="1" customWidth="1"/>
    <col min="14340" max="14340" width="10.28515625" style="477" customWidth="1"/>
    <col min="14341" max="14341" width="8.140625" style="477" bestFit="1" customWidth="1"/>
    <col min="14342" max="14342" width="9.85546875" style="477" bestFit="1" customWidth="1"/>
    <col min="14343" max="14343" width="9" style="477" customWidth="1"/>
    <col min="14344" max="14344" width="11.7109375" style="477" customWidth="1"/>
    <col min="14345" max="14345" width="12.42578125" style="477" customWidth="1"/>
    <col min="14346" max="14346" width="2.85546875" style="477" customWidth="1"/>
    <col min="14347" max="14347" width="29.85546875" style="477" customWidth="1"/>
    <col min="14348" max="14348" width="9" style="477" customWidth="1"/>
    <col min="14349" max="14349" width="10.85546875" style="477" customWidth="1"/>
    <col min="14350" max="14350" width="8" style="477" bestFit="1" customWidth="1"/>
    <col min="14351" max="14351" width="9" style="477" bestFit="1" customWidth="1"/>
    <col min="14352" max="14352" width="11" style="477" bestFit="1" customWidth="1"/>
    <col min="14353" max="14353" width="12.5703125" style="477" bestFit="1" customWidth="1"/>
    <col min="14354" max="14354" width="12.140625" style="477" customWidth="1"/>
    <col min="14355" max="14368" width="2.85546875" style="477" customWidth="1"/>
    <col min="14369" max="14369" width="22.28515625" style="477" customWidth="1"/>
    <col min="14370" max="14370" width="9.42578125" style="477" customWidth="1"/>
    <col min="14371" max="14371" width="8.42578125" style="477" customWidth="1"/>
    <col min="14372" max="14372" width="9.42578125" style="477" customWidth="1"/>
    <col min="14373" max="14373" width="7.5703125" style="477" customWidth="1"/>
    <col min="14374" max="14374" width="7.85546875" style="477" bestFit="1" customWidth="1"/>
    <col min="14375" max="14375" width="10.28515625" style="477" bestFit="1" customWidth="1"/>
    <col min="14376" max="14376" width="4.85546875" style="477" customWidth="1"/>
    <col min="14377" max="14377" width="21.85546875" style="477" bestFit="1" customWidth="1"/>
    <col min="14378" max="14378" width="8.85546875" style="477" customWidth="1"/>
    <col min="14379" max="14379" width="7.5703125" style="477" bestFit="1" customWidth="1"/>
    <col min="14380" max="14380" width="4.5703125" style="477" customWidth="1"/>
    <col min="14381" max="14592" width="9.42578125" style="477"/>
    <col min="14593" max="14593" width="2.42578125" style="477" customWidth="1"/>
    <col min="14594" max="14594" width="29.7109375" style="477" customWidth="1"/>
    <col min="14595" max="14595" width="9.28515625" style="477" bestFit="1" customWidth="1"/>
    <col min="14596" max="14596" width="10.28515625" style="477" customWidth="1"/>
    <col min="14597" max="14597" width="8.140625" style="477" bestFit="1" customWidth="1"/>
    <col min="14598" max="14598" width="9.85546875" style="477" bestFit="1" customWidth="1"/>
    <col min="14599" max="14599" width="9" style="477" customWidth="1"/>
    <col min="14600" max="14600" width="11.7109375" style="477" customWidth="1"/>
    <col min="14601" max="14601" width="12.42578125" style="477" customWidth="1"/>
    <col min="14602" max="14602" width="2.85546875" style="477" customWidth="1"/>
    <col min="14603" max="14603" width="29.85546875" style="477" customWidth="1"/>
    <col min="14604" max="14604" width="9" style="477" customWidth="1"/>
    <col min="14605" max="14605" width="10.85546875" style="477" customWidth="1"/>
    <col min="14606" max="14606" width="8" style="477" bestFit="1" customWidth="1"/>
    <col min="14607" max="14607" width="9" style="477" bestFit="1" customWidth="1"/>
    <col min="14608" max="14608" width="11" style="477" bestFit="1" customWidth="1"/>
    <col min="14609" max="14609" width="12.5703125" style="477" bestFit="1" customWidth="1"/>
    <col min="14610" max="14610" width="12.140625" style="477" customWidth="1"/>
    <col min="14611" max="14624" width="2.85546875" style="477" customWidth="1"/>
    <col min="14625" max="14625" width="22.28515625" style="477" customWidth="1"/>
    <col min="14626" max="14626" width="9.42578125" style="477" customWidth="1"/>
    <col min="14627" max="14627" width="8.42578125" style="477" customWidth="1"/>
    <col min="14628" max="14628" width="9.42578125" style="477" customWidth="1"/>
    <col min="14629" max="14629" width="7.5703125" style="477" customWidth="1"/>
    <col min="14630" max="14630" width="7.85546875" style="477" bestFit="1" customWidth="1"/>
    <col min="14631" max="14631" width="10.28515625" style="477" bestFit="1" customWidth="1"/>
    <col min="14632" max="14632" width="4.85546875" style="477" customWidth="1"/>
    <col min="14633" max="14633" width="21.85546875" style="477" bestFit="1" customWidth="1"/>
    <col min="14634" max="14634" width="8.85546875" style="477" customWidth="1"/>
    <col min="14635" max="14635" width="7.5703125" style="477" bestFit="1" customWidth="1"/>
    <col min="14636" max="14636" width="4.5703125" style="477" customWidth="1"/>
    <col min="14637" max="14848" width="9.42578125" style="477"/>
    <col min="14849" max="14849" width="2.42578125" style="477" customWidth="1"/>
    <col min="14850" max="14850" width="29.7109375" style="477" customWidth="1"/>
    <col min="14851" max="14851" width="9.28515625" style="477" bestFit="1" customWidth="1"/>
    <col min="14852" max="14852" width="10.28515625" style="477" customWidth="1"/>
    <col min="14853" max="14853" width="8.140625" style="477" bestFit="1" customWidth="1"/>
    <col min="14854" max="14854" width="9.85546875" style="477" bestFit="1" customWidth="1"/>
    <col min="14855" max="14855" width="9" style="477" customWidth="1"/>
    <col min="14856" max="14856" width="11.7109375" style="477" customWidth="1"/>
    <col min="14857" max="14857" width="12.42578125" style="477" customWidth="1"/>
    <col min="14858" max="14858" width="2.85546875" style="477" customWidth="1"/>
    <col min="14859" max="14859" width="29.85546875" style="477" customWidth="1"/>
    <col min="14860" max="14860" width="9" style="477" customWidth="1"/>
    <col min="14861" max="14861" width="10.85546875" style="477" customWidth="1"/>
    <col min="14862" max="14862" width="8" style="477" bestFit="1" customWidth="1"/>
    <col min="14863" max="14863" width="9" style="477" bestFit="1" customWidth="1"/>
    <col min="14864" max="14864" width="11" style="477" bestFit="1" customWidth="1"/>
    <col min="14865" max="14865" width="12.5703125" style="477" bestFit="1" customWidth="1"/>
    <col min="14866" max="14866" width="12.140625" style="477" customWidth="1"/>
    <col min="14867" max="14880" width="2.85546875" style="477" customWidth="1"/>
    <col min="14881" max="14881" width="22.28515625" style="477" customWidth="1"/>
    <col min="14882" max="14882" width="9.42578125" style="477" customWidth="1"/>
    <col min="14883" max="14883" width="8.42578125" style="477" customWidth="1"/>
    <col min="14884" max="14884" width="9.42578125" style="477" customWidth="1"/>
    <col min="14885" max="14885" width="7.5703125" style="477" customWidth="1"/>
    <col min="14886" max="14886" width="7.85546875" style="477" bestFit="1" customWidth="1"/>
    <col min="14887" max="14887" width="10.28515625" style="477" bestFit="1" customWidth="1"/>
    <col min="14888" max="14888" width="4.85546875" style="477" customWidth="1"/>
    <col min="14889" max="14889" width="21.85546875" style="477" bestFit="1" customWidth="1"/>
    <col min="14890" max="14890" width="8.85546875" style="477" customWidth="1"/>
    <col min="14891" max="14891" width="7.5703125" style="477" bestFit="1" customWidth="1"/>
    <col min="14892" max="14892" width="4.5703125" style="477" customWidth="1"/>
    <col min="14893" max="15104" width="9.42578125" style="477"/>
    <col min="15105" max="15105" width="2.42578125" style="477" customWidth="1"/>
    <col min="15106" max="15106" width="29.7109375" style="477" customWidth="1"/>
    <col min="15107" max="15107" width="9.28515625" style="477" bestFit="1" customWidth="1"/>
    <col min="15108" max="15108" width="10.28515625" style="477" customWidth="1"/>
    <col min="15109" max="15109" width="8.140625" style="477" bestFit="1" customWidth="1"/>
    <col min="15110" max="15110" width="9.85546875" style="477" bestFit="1" customWidth="1"/>
    <col min="15111" max="15111" width="9" style="477" customWidth="1"/>
    <col min="15112" max="15112" width="11.7109375" style="477" customWidth="1"/>
    <col min="15113" max="15113" width="12.42578125" style="477" customWidth="1"/>
    <col min="15114" max="15114" width="2.85546875" style="477" customWidth="1"/>
    <col min="15115" max="15115" width="29.85546875" style="477" customWidth="1"/>
    <col min="15116" max="15116" width="9" style="477" customWidth="1"/>
    <col min="15117" max="15117" width="10.85546875" style="477" customWidth="1"/>
    <col min="15118" max="15118" width="8" style="477" bestFit="1" customWidth="1"/>
    <col min="15119" max="15119" width="9" style="477" bestFit="1" customWidth="1"/>
    <col min="15120" max="15120" width="11" style="477" bestFit="1" customWidth="1"/>
    <col min="15121" max="15121" width="12.5703125" style="477" bestFit="1" customWidth="1"/>
    <col min="15122" max="15122" width="12.140625" style="477" customWidth="1"/>
    <col min="15123" max="15136" width="2.85546875" style="477" customWidth="1"/>
    <col min="15137" max="15137" width="22.28515625" style="477" customWidth="1"/>
    <col min="15138" max="15138" width="9.42578125" style="477" customWidth="1"/>
    <col min="15139" max="15139" width="8.42578125" style="477" customWidth="1"/>
    <col min="15140" max="15140" width="9.42578125" style="477" customWidth="1"/>
    <col min="15141" max="15141" width="7.5703125" style="477" customWidth="1"/>
    <col min="15142" max="15142" width="7.85546875" style="477" bestFit="1" customWidth="1"/>
    <col min="15143" max="15143" width="10.28515625" style="477" bestFit="1" customWidth="1"/>
    <col min="15144" max="15144" width="4.85546875" style="477" customWidth="1"/>
    <col min="15145" max="15145" width="21.85546875" style="477" bestFit="1" customWidth="1"/>
    <col min="15146" max="15146" width="8.85546875" style="477" customWidth="1"/>
    <col min="15147" max="15147" width="7.5703125" style="477" bestFit="1" customWidth="1"/>
    <col min="15148" max="15148" width="4.5703125" style="477" customWidth="1"/>
    <col min="15149" max="15360" width="9.42578125" style="477"/>
    <col min="15361" max="15361" width="2.42578125" style="477" customWidth="1"/>
    <col min="15362" max="15362" width="29.7109375" style="477" customWidth="1"/>
    <col min="15363" max="15363" width="9.28515625" style="477" bestFit="1" customWidth="1"/>
    <col min="15364" max="15364" width="10.28515625" style="477" customWidth="1"/>
    <col min="15365" max="15365" width="8.140625" style="477" bestFit="1" customWidth="1"/>
    <col min="15366" max="15366" width="9.85546875" style="477" bestFit="1" customWidth="1"/>
    <col min="15367" max="15367" width="9" style="477" customWidth="1"/>
    <col min="15368" max="15368" width="11.7109375" style="477" customWidth="1"/>
    <col min="15369" max="15369" width="12.42578125" style="477" customWidth="1"/>
    <col min="15370" max="15370" width="2.85546875" style="477" customWidth="1"/>
    <col min="15371" max="15371" width="29.85546875" style="477" customWidth="1"/>
    <col min="15372" max="15372" width="9" style="477" customWidth="1"/>
    <col min="15373" max="15373" width="10.85546875" style="477" customWidth="1"/>
    <col min="15374" max="15374" width="8" style="477" bestFit="1" customWidth="1"/>
    <col min="15375" max="15375" width="9" style="477" bestFit="1" customWidth="1"/>
    <col min="15376" max="15376" width="11" style="477" bestFit="1" customWidth="1"/>
    <col min="15377" max="15377" width="12.5703125" style="477" bestFit="1" customWidth="1"/>
    <col min="15378" max="15378" width="12.140625" style="477" customWidth="1"/>
    <col min="15379" max="15392" width="2.85546875" style="477" customWidth="1"/>
    <col min="15393" max="15393" width="22.28515625" style="477" customWidth="1"/>
    <col min="15394" max="15394" width="9.42578125" style="477" customWidth="1"/>
    <col min="15395" max="15395" width="8.42578125" style="477" customWidth="1"/>
    <col min="15396" max="15396" width="9.42578125" style="477" customWidth="1"/>
    <col min="15397" max="15397" width="7.5703125" style="477" customWidth="1"/>
    <col min="15398" max="15398" width="7.85546875" style="477" bestFit="1" customWidth="1"/>
    <col min="15399" max="15399" width="10.28515625" style="477" bestFit="1" customWidth="1"/>
    <col min="15400" max="15400" width="4.85546875" style="477" customWidth="1"/>
    <col min="15401" max="15401" width="21.85546875" style="477" bestFit="1" customWidth="1"/>
    <col min="15402" max="15402" width="8.85546875" style="477" customWidth="1"/>
    <col min="15403" max="15403" width="7.5703125" style="477" bestFit="1" customWidth="1"/>
    <col min="15404" max="15404" width="4.5703125" style="477" customWidth="1"/>
    <col min="15405" max="15616" width="9.42578125" style="477"/>
    <col min="15617" max="15617" width="2.42578125" style="477" customWidth="1"/>
    <col min="15618" max="15618" width="29.7109375" style="477" customWidth="1"/>
    <col min="15619" max="15619" width="9.28515625" style="477" bestFit="1" customWidth="1"/>
    <col min="15620" max="15620" width="10.28515625" style="477" customWidth="1"/>
    <col min="15621" max="15621" width="8.140625" style="477" bestFit="1" customWidth="1"/>
    <col min="15622" max="15622" width="9.85546875" style="477" bestFit="1" customWidth="1"/>
    <col min="15623" max="15623" width="9" style="477" customWidth="1"/>
    <col min="15624" max="15624" width="11.7109375" style="477" customWidth="1"/>
    <col min="15625" max="15625" width="12.42578125" style="477" customWidth="1"/>
    <col min="15626" max="15626" width="2.85546875" style="477" customWidth="1"/>
    <col min="15627" max="15627" width="29.85546875" style="477" customWidth="1"/>
    <col min="15628" max="15628" width="9" style="477" customWidth="1"/>
    <col min="15629" max="15629" width="10.85546875" style="477" customWidth="1"/>
    <col min="15630" max="15630" width="8" style="477" bestFit="1" customWidth="1"/>
    <col min="15631" max="15631" width="9" style="477" bestFit="1" customWidth="1"/>
    <col min="15632" max="15632" width="11" style="477" bestFit="1" customWidth="1"/>
    <col min="15633" max="15633" width="12.5703125" style="477" bestFit="1" customWidth="1"/>
    <col min="15634" max="15634" width="12.140625" style="477" customWidth="1"/>
    <col min="15635" max="15648" width="2.85546875" style="477" customWidth="1"/>
    <col min="15649" max="15649" width="22.28515625" style="477" customWidth="1"/>
    <col min="15650" max="15650" width="9.42578125" style="477" customWidth="1"/>
    <col min="15651" max="15651" width="8.42578125" style="477" customWidth="1"/>
    <col min="15652" max="15652" width="9.42578125" style="477" customWidth="1"/>
    <col min="15653" max="15653" width="7.5703125" style="477" customWidth="1"/>
    <col min="15654" max="15654" width="7.85546875" style="477" bestFit="1" customWidth="1"/>
    <col min="15655" max="15655" width="10.28515625" style="477" bestFit="1" customWidth="1"/>
    <col min="15656" max="15656" width="4.85546875" style="477" customWidth="1"/>
    <col min="15657" max="15657" width="21.85546875" style="477" bestFit="1" customWidth="1"/>
    <col min="15658" max="15658" width="8.85546875" style="477" customWidth="1"/>
    <col min="15659" max="15659" width="7.5703125" style="477" bestFit="1" customWidth="1"/>
    <col min="15660" max="15660" width="4.5703125" style="477" customWidth="1"/>
    <col min="15661" max="15872" width="9.42578125" style="477"/>
    <col min="15873" max="15873" width="2.42578125" style="477" customWidth="1"/>
    <col min="15874" max="15874" width="29.7109375" style="477" customWidth="1"/>
    <col min="15875" max="15875" width="9.28515625" style="477" bestFit="1" customWidth="1"/>
    <col min="15876" max="15876" width="10.28515625" style="477" customWidth="1"/>
    <col min="15877" max="15877" width="8.140625" style="477" bestFit="1" customWidth="1"/>
    <col min="15878" max="15878" width="9.85546875" style="477" bestFit="1" customWidth="1"/>
    <col min="15879" max="15879" width="9" style="477" customWidth="1"/>
    <col min="15880" max="15880" width="11.7109375" style="477" customWidth="1"/>
    <col min="15881" max="15881" width="12.42578125" style="477" customWidth="1"/>
    <col min="15882" max="15882" width="2.85546875" style="477" customWidth="1"/>
    <col min="15883" max="15883" width="29.85546875" style="477" customWidth="1"/>
    <col min="15884" max="15884" width="9" style="477" customWidth="1"/>
    <col min="15885" max="15885" width="10.85546875" style="477" customWidth="1"/>
    <col min="15886" max="15886" width="8" style="477" bestFit="1" customWidth="1"/>
    <col min="15887" max="15887" width="9" style="477" bestFit="1" customWidth="1"/>
    <col min="15888" max="15888" width="11" style="477" bestFit="1" customWidth="1"/>
    <col min="15889" max="15889" width="12.5703125" style="477" bestFit="1" customWidth="1"/>
    <col min="15890" max="15890" width="12.140625" style="477" customWidth="1"/>
    <col min="15891" max="15904" width="2.85546875" style="477" customWidth="1"/>
    <col min="15905" max="15905" width="22.28515625" style="477" customWidth="1"/>
    <col min="15906" max="15906" width="9.42578125" style="477" customWidth="1"/>
    <col min="15907" max="15907" width="8.42578125" style="477" customWidth="1"/>
    <col min="15908" max="15908" width="9.42578125" style="477" customWidth="1"/>
    <col min="15909" max="15909" width="7.5703125" style="477" customWidth="1"/>
    <col min="15910" max="15910" width="7.85546875" style="477" bestFit="1" customWidth="1"/>
    <col min="15911" max="15911" width="10.28515625" style="477" bestFit="1" customWidth="1"/>
    <col min="15912" max="15912" width="4.85546875" style="477" customWidth="1"/>
    <col min="15913" max="15913" width="21.85546875" style="477" bestFit="1" customWidth="1"/>
    <col min="15914" max="15914" width="8.85546875" style="477" customWidth="1"/>
    <col min="15915" max="15915" width="7.5703125" style="477" bestFit="1" customWidth="1"/>
    <col min="15916" max="15916" width="4.5703125" style="477" customWidth="1"/>
    <col min="15917" max="16128" width="9.42578125" style="477"/>
    <col min="16129" max="16129" width="2.42578125" style="477" customWidth="1"/>
    <col min="16130" max="16130" width="29.7109375" style="477" customWidth="1"/>
    <col min="16131" max="16131" width="9.28515625" style="477" bestFit="1" customWidth="1"/>
    <col min="16132" max="16132" width="10.28515625" style="477" customWidth="1"/>
    <col min="16133" max="16133" width="8.140625" style="477" bestFit="1" customWidth="1"/>
    <col min="16134" max="16134" width="9.85546875" style="477" bestFit="1" customWidth="1"/>
    <col min="16135" max="16135" width="9" style="477" customWidth="1"/>
    <col min="16136" max="16136" width="11.7109375" style="477" customWidth="1"/>
    <col min="16137" max="16137" width="12.42578125" style="477" customWidth="1"/>
    <col min="16138" max="16138" width="2.85546875" style="477" customWidth="1"/>
    <col min="16139" max="16139" width="29.85546875" style="477" customWidth="1"/>
    <col min="16140" max="16140" width="9" style="477" customWidth="1"/>
    <col min="16141" max="16141" width="10.85546875" style="477" customWidth="1"/>
    <col min="16142" max="16142" width="8" style="477" bestFit="1" customWidth="1"/>
    <col min="16143" max="16143" width="9" style="477" bestFit="1" customWidth="1"/>
    <col min="16144" max="16144" width="11" style="477" bestFit="1" customWidth="1"/>
    <col min="16145" max="16145" width="12.5703125" style="477" bestFit="1" customWidth="1"/>
    <col min="16146" max="16146" width="12.140625" style="477" customWidth="1"/>
    <col min="16147" max="16160" width="2.85546875" style="477" customWidth="1"/>
    <col min="16161" max="16161" width="22.28515625" style="477" customWidth="1"/>
    <col min="16162" max="16162" width="9.42578125" style="477" customWidth="1"/>
    <col min="16163" max="16163" width="8.42578125" style="477" customWidth="1"/>
    <col min="16164" max="16164" width="9.42578125" style="477" customWidth="1"/>
    <col min="16165" max="16165" width="7.5703125" style="477" customWidth="1"/>
    <col min="16166" max="16166" width="7.85546875" style="477" bestFit="1" customWidth="1"/>
    <col min="16167" max="16167" width="10.28515625" style="477" bestFit="1" customWidth="1"/>
    <col min="16168" max="16168" width="4.85546875" style="477" customWidth="1"/>
    <col min="16169" max="16169" width="21.85546875" style="477" bestFit="1" customWidth="1"/>
    <col min="16170" max="16170" width="8.85546875" style="477" customWidth="1"/>
    <col min="16171" max="16171" width="7.5703125" style="477" bestFit="1" customWidth="1"/>
    <col min="16172" max="16172" width="4.5703125" style="477" customWidth="1"/>
    <col min="16173" max="16384" width="9.42578125" style="477"/>
  </cols>
  <sheetData>
    <row r="1" spans="1:46" ht="18">
      <c r="B1" s="478" t="s">
        <v>375</v>
      </c>
    </row>
    <row r="2" spans="1:46" s="415" customFormat="1" ht="16.5" thickBot="1">
      <c r="A2" s="414" t="s">
        <v>336</v>
      </c>
    </row>
    <row r="3" spans="1:46">
      <c r="B3" s="3371" t="s">
        <v>376</v>
      </c>
      <c r="C3" s="3372"/>
      <c r="D3" s="3372"/>
      <c r="E3" s="3372"/>
      <c r="F3" s="3372"/>
      <c r="G3" s="3372"/>
      <c r="H3" s="3372"/>
      <c r="I3" s="483"/>
      <c r="J3" s="484"/>
      <c r="K3" s="3371" t="s">
        <v>377</v>
      </c>
      <c r="L3" s="3372"/>
      <c r="M3" s="3372"/>
      <c r="N3" s="3372"/>
      <c r="O3" s="3372"/>
      <c r="P3" s="3372"/>
      <c r="Q3" s="3372"/>
      <c r="R3" s="483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5" t="s">
        <v>378</v>
      </c>
      <c r="AH3" s="486" t="s">
        <v>379</v>
      </c>
      <c r="AI3" s="487" t="s">
        <v>231</v>
      </c>
      <c r="AJ3" s="488"/>
      <c r="AK3" s="489"/>
      <c r="AL3" s="490"/>
      <c r="AO3" s="485" t="s">
        <v>378</v>
      </c>
      <c r="AP3" s="486" t="s">
        <v>379</v>
      </c>
      <c r="AQ3" s="487" t="s">
        <v>231</v>
      </c>
      <c r="AR3" s="488"/>
      <c r="AS3" s="489"/>
      <c r="AT3" s="490"/>
    </row>
    <row r="4" spans="1:46" s="491" customFormat="1">
      <c r="B4" s="492"/>
      <c r="C4" s="479"/>
      <c r="D4" s="479"/>
      <c r="E4" s="479"/>
      <c r="F4" s="479"/>
      <c r="G4" s="479"/>
      <c r="H4" s="479"/>
      <c r="I4" s="493"/>
      <c r="J4" s="494"/>
      <c r="K4" s="492"/>
      <c r="L4" s="479"/>
      <c r="M4" s="479"/>
      <c r="N4" s="479"/>
      <c r="O4" s="479"/>
      <c r="P4" s="479"/>
      <c r="Q4" s="479"/>
      <c r="R4" s="493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2" t="s">
        <v>281</v>
      </c>
      <c r="AH4" s="495">
        <v>15</v>
      </c>
      <c r="AI4" s="495">
        <f>AH4*8</f>
        <v>120</v>
      </c>
      <c r="AJ4" s="496"/>
      <c r="AK4" s="497"/>
      <c r="AL4" s="498"/>
      <c r="AO4" s="492" t="s">
        <v>281</v>
      </c>
      <c r="AP4" s="495">
        <v>15</v>
      </c>
      <c r="AQ4" s="495">
        <f>AP4*8</f>
        <v>120</v>
      </c>
      <c r="AR4" s="496"/>
      <c r="AS4" s="497"/>
      <c r="AT4" s="498"/>
    </row>
    <row r="5" spans="1:46" s="491" customFormat="1">
      <c r="B5" s="499" t="s">
        <v>380</v>
      </c>
      <c r="C5" s="500">
        <v>5</v>
      </c>
      <c r="D5" s="500"/>
      <c r="E5" s="500"/>
      <c r="F5" s="501" t="s">
        <v>381</v>
      </c>
      <c r="G5" s="502">
        <v>365</v>
      </c>
      <c r="H5" s="494">
        <f>G5*C5</f>
        <v>1825</v>
      </c>
      <c r="I5" s="503"/>
      <c r="J5" s="494"/>
      <c r="K5" s="499" t="s">
        <v>380</v>
      </c>
      <c r="L5" s="500">
        <v>5</v>
      </c>
      <c r="M5" s="500"/>
      <c r="N5" s="500"/>
      <c r="O5" s="501" t="s">
        <v>381</v>
      </c>
      <c r="P5" s="502">
        <v>365</v>
      </c>
      <c r="Q5" s="494">
        <f>P5*L5</f>
        <v>1825</v>
      </c>
      <c r="R5" s="503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2" t="s">
        <v>382</v>
      </c>
      <c r="AH5" s="495">
        <v>10</v>
      </c>
      <c r="AI5" s="495">
        <f>AH5*8</f>
        <v>80</v>
      </c>
      <c r="AJ5" s="496"/>
      <c r="AK5" s="497"/>
      <c r="AL5" s="498"/>
      <c r="AO5" s="492" t="s">
        <v>382</v>
      </c>
      <c r="AP5" s="495">
        <v>10</v>
      </c>
      <c r="AQ5" s="495">
        <f>AP5*8</f>
        <v>80</v>
      </c>
      <c r="AR5" s="496"/>
      <c r="AS5" s="497"/>
      <c r="AT5" s="498"/>
    </row>
    <row r="6" spans="1:46" s="491" customFormat="1">
      <c r="B6" s="499"/>
      <c r="C6" s="504"/>
      <c r="D6" s="504"/>
      <c r="E6" s="504"/>
      <c r="F6" s="501"/>
      <c r="G6" s="502"/>
      <c r="H6" s="494"/>
      <c r="I6" s="503"/>
      <c r="J6" s="494"/>
      <c r="K6" s="499"/>
      <c r="L6" s="504"/>
      <c r="M6" s="504"/>
      <c r="N6" s="504"/>
      <c r="O6" s="501"/>
      <c r="P6" s="502"/>
      <c r="Q6" s="494"/>
      <c r="R6" s="503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2" t="s">
        <v>383</v>
      </c>
      <c r="AH6" s="495">
        <v>12</v>
      </c>
      <c r="AI6" s="495">
        <f>AH6*8</f>
        <v>96</v>
      </c>
      <c r="AJ6" s="496"/>
      <c r="AK6" s="480"/>
      <c r="AL6" s="505"/>
      <c r="AO6" s="492" t="s">
        <v>383</v>
      </c>
      <c r="AP6" s="495">
        <v>0</v>
      </c>
      <c r="AQ6" s="495">
        <f>AP6*8</f>
        <v>0</v>
      </c>
      <c r="AR6" s="496"/>
      <c r="AS6" s="480"/>
      <c r="AT6" s="505"/>
    </row>
    <row r="7" spans="1:46" s="491" customFormat="1" ht="12.75" customHeight="1">
      <c r="B7" s="499"/>
      <c r="C7" s="504"/>
      <c r="D7" s="504"/>
      <c r="E7" s="504"/>
      <c r="F7" s="506"/>
      <c r="G7" s="502"/>
      <c r="H7" s="494"/>
      <c r="I7" s="503"/>
      <c r="J7" s="507"/>
      <c r="K7" s="499"/>
      <c r="L7" s="504"/>
      <c r="M7" s="504"/>
      <c r="N7" s="504"/>
      <c r="O7" s="506"/>
      <c r="P7" s="502"/>
      <c r="Q7" s="494"/>
      <c r="R7" s="503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8"/>
      <c r="AH7" s="509"/>
      <c r="AI7" s="509"/>
      <c r="AJ7" s="496"/>
      <c r="AK7" s="510"/>
      <c r="AL7" s="511"/>
      <c r="AO7" s="508"/>
      <c r="AP7" s="509"/>
      <c r="AQ7" s="509"/>
      <c r="AR7" s="496"/>
      <c r="AS7" s="510"/>
      <c r="AT7" s="511"/>
    </row>
    <row r="8" spans="1:46" s="512" customFormat="1" ht="38.25">
      <c r="B8" s="513"/>
      <c r="C8" s="514" t="s">
        <v>384</v>
      </c>
      <c r="D8" s="514" t="s">
        <v>385</v>
      </c>
      <c r="E8" s="514" t="s">
        <v>386</v>
      </c>
      <c r="F8" s="515" t="s">
        <v>342</v>
      </c>
      <c r="G8" s="516" t="s">
        <v>190</v>
      </c>
      <c r="H8" s="515" t="s">
        <v>343</v>
      </c>
      <c r="I8" s="517"/>
      <c r="J8" s="518"/>
      <c r="K8" s="513"/>
      <c r="L8" s="514" t="s">
        <v>384</v>
      </c>
      <c r="M8" s="514" t="s">
        <v>385</v>
      </c>
      <c r="N8" s="514" t="s">
        <v>386</v>
      </c>
      <c r="O8" s="515" t="s">
        <v>342</v>
      </c>
      <c r="P8" s="516" t="s">
        <v>190</v>
      </c>
      <c r="Q8" s="515" t="s">
        <v>343</v>
      </c>
      <c r="R8" s="517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9"/>
      <c r="AH8" s="520" t="s">
        <v>387</v>
      </c>
      <c r="AI8" s="521">
        <f>SUM(AI4:AI7)</f>
        <v>296</v>
      </c>
      <c r="AJ8" s="522"/>
      <c r="AK8" s="523"/>
      <c r="AL8" s="524"/>
      <c r="AO8" s="519"/>
      <c r="AP8" s="520" t="s">
        <v>387</v>
      </c>
      <c r="AQ8" s="521">
        <f>SUM(AQ4:AQ7)</f>
        <v>200</v>
      </c>
      <c r="AR8" s="522"/>
      <c r="AS8" s="523"/>
      <c r="AT8" s="524"/>
    </row>
    <row r="9" spans="1:46" s="481" customFormat="1" ht="13.5" thickBot="1">
      <c r="B9" s="525" t="s">
        <v>388</v>
      </c>
      <c r="C9" s="526">
        <v>8</v>
      </c>
      <c r="D9" s="527">
        <v>5</v>
      </c>
      <c r="E9" s="528"/>
      <c r="F9" s="529">
        <f>$AJ$16</f>
        <v>42800.446974880258</v>
      </c>
      <c r="G9" s="530">
        <f>(C$5/C9)*(D9/5)</f>
        <v>0.625</v>
      </c>
      <c r="H9" s="480">
        <f t="shared" ref="H9:H18" si="0">F9*G9</f>
        <v>26750.279359300162</v>
      </c>
      <c r="I9" s="505"/>
      <c r="J9" s="480"/>
      <c r="K9" s="525" t="s">
        <v>388</v>
      </c>
      <c r="L9" s="526">
        <v>8</v>
      </c>
      <c r="M9" s="527">
        <v>5</v>
      </c>
      <c r="N9" s="528"/>
      <c r="O9" s="529">
        <f>$AJ$16</f>
        <v>42800.446974880258</v>
      </c>
      <c r="P9" s="530">
        <f>(L$5/L9)*(M9/5)</f>
        <v>0.625</v>
      </c>
      <c r="Q9" s="480">
        <f>O9*P9</f>
        <v>26750.279359300162</v>
      </c>
      <c r="R9" s="505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0"/>
      <c r="AG9" s="531"/>
      <c r="AH9" s="532" t="s">
        <v>389</v>
      </c>
      <c r="AI9" s="533">
        <f>AI8/(52*40)</f>
        <v>0.1423076923076923</v>
      </c>
      <c r="AJ9" s="534"/>
      <c r="AK9" s="535"/>
      <c r="AL9" s="536"/>
      <c r="AO9" s="531"/>
      <c r="AP9" s="532" t="s">
        <v>389</v>
      </c>
      <c r="AQ9" s="533">
        <f>AQ8/(52*40)</f>
        <v>9.6153846153846159E-2</v>
      </c>
      <c r="AR9" s="534"/>
      <c r="AS9" s="535"/>
      <c r="AT9" s="536"/>
    </row>
    <row r="10" spans="1:46" s="537" customFormat="1" ht="13.5" thickBot="1">
      <c r="B10" s="525" t="s">
        <v>390</v>
      </c>
      <c r="C10" s="526">
        <v>5</v>
      </c>
      <c r="D10" s="527">
        <v>5</v>
      </c>
      <c r="E10" s="528"/>
      <c r="F10" s="529">
        <f>$AJ$18</f>
        <v>56280.624805553671</v>
      </c>
      <c r="G10" s="530">
        <f>(C$5/C10)*(D10/5)</f>
        <v>1</v>
      </c>
      <c r="H10" s="480">
        <f t="shared" si="0"/>
        <v>56280.624805553671</v>
      </c>
      <c r="I10" s="505"/>
      <c r="J10" s="480"/>
      <c r="K10" s="525" t="s">
        <v>391</v>
      </c>
      <c r="L10" s="526">
        <v>2.5</v>
      </c>
      <c r="M10" s="527">
        <v>7</v>
      </c>
      <c r="N10" s="528"/>
      <c r="O10" s="529">
        <f>$AJ$19</f>
        <v>24920.069035224478</v>
      </c>
      <c r="P10" s="530">
        <f>ROUNDUP((L$5/L10),0)*(M10/5)</f>
        <v>2.8</v>
      </c>
      <c r="Q10" s="480">
        <f t="shared" ref="Q10:Q17" si="1">O10*P10</f>
        <v>69776.193298628539</v>
      </c>
      <c r="R10" s="505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79"/>
      <c r="AH10" s="538"/>
      <c r="AI10" s="539"/>
      <c r="AJ10" s="540"/>
      <c r="AK10" s="541"/>
      <c r="AL10" s="541"/>
    </row>
    <row r="11" spans="1:46" s="537" customFormat="1">
      <c r="B11" s="525" t="s">
        <v>391</v>
      </c>
      <c r="C11" s="526">
        <v>2.5</v>
      </c>
      <c r="D11" s="527">
        <v>7</v>
      </c>
      <c r="E11" s="528"/>
      <c r="F11" s="529">
        <f>$AJ$19</f>
        <v>24920.069035224478</v>
      </c>
      <c r="G11" s="530">
        <f>ROUNDUP((C$5/C11),0)*(D11/5)</f>
        <v>2.8</v>
      </c>
      <c r="H11" s="480">
        <f t="shared" si="0"/>
        <v>69776.193298628539</v>
      </c>
      <c r="I11" s="505"/>
      <c r="J11" s="480"/>
      <c r="K11" s="525" t="s">
        <v>392</v>
      </c>
      <c r="L11" s="526">
        <v>5</v>
      </c>
      <c r="M11" s="527">
        <v>5</v>
      </c>
      <c r="N11" s="528"/>
      <c r="O11" s="529">
        <f>$AJ$19</f>
        <v>24920.069035224478</v>
      </c>
      <c r="P11" s="530">
        <f>ROUNDUP((L$5/L11),0)*(M11/5)</f>
        <v>1</v>
      </c>
      <c r="Q11" s="480">
        <f t="shared" si="1"/>
        <v>24920.069035224478</v>
      </c>
      <c r="R11" s="505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  <c r="AG11" s="542"/>
      <c r="AH11" s="543"/>
      <c r="AI11" s="543"/>
      <c r="AJ11" s="544" t="s">
        <v>393</v>
      </c>
      <c r="AK11" s="545"/>
      <c r="AL11" s="546"/>
    </row>
    <row r="12" spans="1:46" s="537" customFormat="1">
      <c r="B12" s="525" t="s">
        <v>392</v>
      </c>
      <c r="C12" s="526">
        <v>5</v>
      </c>
      <c r="D12" s="527">
        <v>5</v>
      </c>
      <c r="E12" s="528"/>
      <c r="F12" s="529">
        <f>$AJ$19</f>
        <v>24920.069035224478</v>
      </c>
      <c r="G12" s="530">
        <f>ROUNDUP((C$5/C12),0)*(D12/5)</f>
        <v>1</v>
      </c>
      <c r="H12" s="480">
        <f t="shared" si="0"/>
        <v>24920.069035224478</v>
      </c>
      <c r="I12" s="505"/>
      <c r="J12" s="480"/>
      <c r="K12" s="525" t="s">
        <v>394</v>
      </c>
      <c r="L12" s="526">
        <v>2.5</v>
      </c>
      <c r="M12" s="527">
        <v>2</v>
      </c>
      <c r="N12" s="528"/>
      <c r="O12" s="529">
        <f>$AJ$19</f>
        <v>24920.069035224478</v>
      </c>
      <c r="P12" s="530">
        <f>ROUNDUP((L$5/L12),0)*(M12/5)</f>
        <v>0.8</v>
      </c>
      <c r="Q12" s="480">
        <f t="shared" si="1"/>
        <v>19936.055228179583</v>
      </c>
      <c r="R12" s="505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547"/>
      <c r="AH12" s="548"/>
      <c r="AI12" s="548"/>
      <c r="AJ12" s="549"/>
      <c r="AK12" s="479"/>
      <c r="AL12" s="493"/>
    </row>
    <row r="13" spans="1:46" s="537" customFormat="1" ht="25.5">
      <c r="B13" s="525" t="s">
        <v>394</v>
      </c>
      <c r="C13" s="526">
        <v>2.5</v>
      </c>
      <c r="D13" s="527">
        <v>2</v>
      </c>
      <c r="E13" s="528"/>
      <c r="F13" s="529">
        <f>$AJ$19</f>
        <v>24920.069035224478</v>
      </c>
      <c r="G13" s="530">
        <f>ROUNDUP((C$5/C13),0)*(D13/5)</f>
        <v>0.8</v>
      </c>
      <c r="H13" s="480">
        <f t="shared" si="0"/>
        <v>19936.055228179583</v>
      </c>
      <c r="I13" s="505"/>
      <c r="J13" s="480"/>
      <c r="K13" s="550" t="s">
        <v>395</v>
      </c>
      <c r="L13" s="3373">
        <v>2.5</v>
      </c>
      <c r="M13" s="527">
        <v>7</v>
      </c>
      <c r="N13" s="528"/>
      <c r="O13" s="529">
        <f>$AJ$19</f>
        <v>24920.069035224478</v>
      </c>
      <c r="P13" s="530">
        <f>1*(M13/5)</f>
        <v>1.4</v>
      </c>
      <c r="Q13" s="480">
        <f t="shared" si="1"/>
        <v>34888.09664931427</v>
      </c>
      <c r="R13" s="505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547"/>
      <c r="AH13" s="548"/>
      <c r="AI13" s="548"/>
      <c r="AJ13" s="549"/>
      <c r="AK13" s="479"/>
      <c r="AL13" s="493"/>
    </row>
    <row r="14" spans="1:46" s="537" customFormat="1" ht="25.5">
      <c r="B14" s="550" t="s">
        <v>395</v>
      </c>
      <c r="C14" s="3373">
        <v>2.5</v>
      </c>
      <c r="D14" s="527">
        <v>7</v>
      </c>
      <c r="E14" s="528"/>
      <c r="F14" s="529">
        <f>$AJ$19</f>
        <v>24920.069035224478</v>
      </c>
      <c r="G14" s="530">
        <f>1*(D14/5)</f>
        <v>1.4</v>
      </c>
      <c r="H14" s="480">
        <f t="shared" si="0"/>
        <v>34888.09664931427</v>
      </c>
      <c r="I14" s="505"/>
      <c r="J14" s="480"/>
      <c r="K14" s="550" t="s">
        <v>396</v>
      </c>
      <c r="L14" s="3373"/>
      <c r="M14" s="527">
        <v>7</v>
      </c>
      <c r="N14" s="528"/>
      <c r="O14" s="529">
        <f>$AJ$20</f>
        <v>18720</v>
      </c>
      <c r="P14" s="530">
        <f>(ROUNDUP((L$5/L13),0)*(M14/5))-P13</f>
        <v>1.4</v>
      </c>
      <c r="Q14" s="480">
        <f t="shared" si="1"/>
        <v>26208</v>
      </c>
      <c r="R14" s="505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547"/>
      <c r="AH14" s="548"/>
      <c r="AI14" s="548"/>
      <c r="AJ14" s="549"/>
      <c r="AK14" s="479"/>
      <c r="AL14" s="493"/>
    </row>
    <row r="15" spans="1:46" s="537" customFormat="1">
      <c r="B15" s="550" t="s">
        <v>396</v>
      </c>
      <c r="C15" s="3373"/>
      <c r="D15" s="527">
        <v>7</v>
      </c>
      <c r="E15" s="528"/>
      <c r="F15" s="529">
        <f>$AJ$20</f>
        <v>18720</v>
      </c>
      <c r="G15" s="530">
        <f>(ROUNDUP((C$5/C14),0)*(D15/5))-G14</f>
        <v>1.4</v>
      </c>
      <c r="H15" s="480">
        <f t="shared" si="0"/>
        <v>26208</v>
      </c>
      <c r="I15" s="505"/>
      <c r="J15" s="480"/>
      <c r="K15" s="525" t="s">
        <v>397</v>
      </c>
      <c r="L15" s="491"/>
      <c r="M15" s="491"/>
      <c r="N15" s="551">
        <f>$AI$9</f>
        <v>0.1423076923076923</v>
      </c>
      <c r="O15" s="529">
        <f>$AJ$19</f>
        <v>24920.069035224478</v>
      </c>
      <c r="P15" s="530">
        <f>SUM(P11:P13)*N15</f>
        <v>0.45538461538461539</v>
      </c>
      <c r="Q15" s="480">
        <f t="shared" si="1"/>
        <v>11348.216052963762</v>
      </c>
      <c r="R15" s="505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547"/>
      <c r="AH15" s="548"/>
      <c r="AI15" s="548"/>
      <c r="AJ15" s="549"/>
      <c r="AK15" s="479"/>
      <c r="AL15" s="493"/>
    </row>
    <row r="16" spans="1:46" s="481" customFormat="1" ht="15">
      <c r="B16" s="525" t="s">
        <v>397</v>
      </c>
      <c r="C16" s="491"/>
      <c r="D16" s="491"/>
      <c r="E16" s="551">
        <f>$AI$9</f>
        <v>0.1423076923076923</v>
      </c>
      <c r="F16" s="529">
        <f>$AJ$19</f>
        <v>24920.069035224478</v>
      </c>
      <c r="G16" s="530">
        <f>SUM(G11:G14)*E16</f>
        <v>0.85384615384615381</v>
      </c>
      <c r="H16" s="480">
        <f t="shared" si="0"/>
        <v>21277.905099307052</v>
      </c>
      <c r="I16" s="505"/>
      <c r="J16" s="480"/>
      <c r="K16" s="525" t="s">
        <v>398</v>
      </c>
      <c r="L16" s="491"/>
      <c r="M16" s="491"/>
      <c r="N16" s="551">
        <f>$AI$9</f>
        <v>0.1423076923076923</v>
      </c>
      <c r="O16" s="529">
        <f>$AJ$20</f>
        <v>18720</v>
      </c>
      <c r="P16" s="530">
        <f>P14*N16</f>
        <v>0.19923076923076921</v>
      </c>
      <c r="Q16" s="480">
        <f t="shared" si="1"/>
        <v>3729.5999999999995</v>
      </c>
      <c r="R16" s="505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525" t="s">
        <v>388</v>
      </c>
      <c r="AH16" s="480"/>
      <c r="AI16" s="552"/>
      <c r="AJ16" s="553">
        <f>'[8]FY 09 UFR Salary Data'!$F$5</f>
        <v>42800.446974880258</v>
      </c>
      <c r="AK16" s="479"/>
      <c r="AL16" s="493"/>
    </row>
    <row r="17" spans="2:38" s="491" customFormat="1">
      <c r="B17" s="525" t="s">
        <v>398</v>
      </c>
      <c r="E17" s="551">
        <f>$AI$9</f>
        <v>0.1423076923076923</v>
      </c>
      <c r="F17" s="529">
        <f>$AJ$20</f>
        <v>18720</v>
      </c>
      <c r="G17" s="530">
        <f>G15*E17</f>
        <v>0.19923076923076921</v>
      </c>
      <c r="H17" s="480">
        <f t="shared" si="0"/>
        <v>3729.5999999999995</v>
      </c>
      <c r="I17" s="505"/>
      <c r="J17" s="480"/>
      <c r="K17" s="554" t="s">
        <v>399</v>
      </c>
      <c r="L17" s="555">
        <v>25</v>
      </c>
      <c r="M17" s="555">
        <v>5</v>
      </c>
      <c r="N17" s="556"/>
      <c r="O17" s="529">
        <f>$AJ$21</f>
        <v>30133.822673862582</v>
      </c>
      <c r="P17" s="530">
        <f>(L$5/L17)*(M17/5)</f>
        <v>0.2</v>
      </c>
      <c r="Q17" s="480">
        <f t="shared" si="1"/>
        <v>6026.7645347725165</v>
      </c>
      <c r="R17" s="505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557"/>
      <c r="AH17" s="415"/>
      <c r="AI17" s="415"/>
      <c r="AJ17" s="415"/>
      <c r="AK17" s="479"/>
      <c r="AL17" s="493"/>
    </row>
    <row r="18" spans="2:38" s="491" customFormat="1" ht="15">
      <c r="B18" s="554" t="s">
        <v>399</v>
      </c>
      <c r="C18" s="555">
        <v>25</v>
      </c>
      <c r="D18" s="555">
        <v>5</v>
      </c>
      <c r="E18" s="556"/>
      <c r="F18" s="529">
        <f>$AJ$21</f>
        <v>30133.822673862582</v>
      </c>
      <c r="G18" s="530">
        <f>(C$5/C18)*(D18/5)</f>
        <v>0.2</v>
      </c>
      <c r="H18" s="480">
        <f t="shared" si="0"/>
        <v>6026.7645347725165</v>
      </c>
      <c r="I18" s="505"/>
      <c r="J18" s="484"/>
      <c r="K18" s="558" t="s">
        <v>194</v>
      </c>
      <c r="L18" s="559"/>
      <c r="M18" s="560"/>
      <c r="N18" s="560"/>
      <c r="O18" s="561"/>
      <c r="P18" s="562">
        <f>SUM(P9:P17)</f>
        <v>8.8796153846153842</v>
      </c>
      <c r="Q18" s="561">
        <f>SUM(Q9:Q17)</f>
        <v>223583.27415838331</v>
      </c>
      <c r="R18" s="563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525" t="s">
        <v>390</v>
      </c>
      <c r="AH18" s="480"/>
      <c r="AI18" s="564"/>
      <c r="AJ18" s="553">
        <f>'[8]FY 09 UFR Salary Data'!$F$12</f>
        <v>56280.624805553671</v>
      </c>
      <c r="AK18" s="479"/>
      <c r="AL18" s="493"/>
    </row>
    <row r="19" spans="2:38" s="491" customFormat="1" ht="15">
      <c r="B19" s="558" t="s">
        <v>194</v>
      </c>
      <c r="C19" s="559"/>
      <c r="D19" s="560"/>
      <c r="E19" s="560"/>
      <c r="F19" s="561"/>
      <c r="G19" s="562">
        <f>SUM(G9:G18)</f>
        <v>10.278076923076924</v>
      </c>
      <c r="H19" s="561">
        <f>SUM(H9:H18)</f>
        <v>289793.58801028022</v>
      </c>
      <c r="I19" s="563"/>
      <c r="J19" s="484"/>
      <c r="K19" s="565"/>
      <c r="L19" s="510"/>
      <c r="M19" s="510"/>
      <c r="N19" s="510"/>
      <c r="O19" s="484"/>
      <c r="P19" s="566"/>
      <c r="Q19" s="484"/>
      <c r="R19" s="563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25" t="s">
        <v>400</v>
      </c>
      <c r="AH19" s="480"/>
      <c r="AI19" s="564"/>
      <c r="AJ19" s="553">
        <f>'[8]FY 09 UFR Salary Data'!$F$40</f>
        <v>24920.069035224478</v>
      </c>
      <c r="AK19" s="479"/>
      <c r="AL19" s="493"/>
    </row>
    <row r="20" spans="2:38" s="541" customFormat="1" ht="15">
      <c r="B20" s="565"/>
      <c r="C20" s="510"/>
      <c r="D20" s="510"/>
      <c r="E20" s="510"/>
      <c r="F20" s="484"/>
      <c r="G20" s="566"/>
      <c r="H20" s="484"/>
      <c r="I20" s="563"/>
      <c r="J20" s="507"/>
      <c r="K20" s="547" t="s">
        <v>195</v>
      </c>
      <c r="L20" s="548"/>
      <c r="M20" s="548"/>
      <c r="N20" s="548"/>
      <c r="O20" s="507"/>
      <c r="P20" s="567" t="s">
        <v>401</v>
      </c>
      <c r="Q20" s="507"/>
      <c r="R20" s="568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5" t="s">
        <v>402</v>
      </c>
      <c r="AH20" s="480"/>
      <c r="AI20" s="564"/>
      <c r="AJ20" s="553">
        <f>9*40*52</f>
        <v>18720</v>
      </c>
      <c r="AK20" s="479"/>
      <c r="AL20" s="493"/>
    </row>
    <row r="21" spans="2:38" ht="15">
      <c r="B21" s="547" t="s">
        <v>195</v>
      </c>
      <c r="C21" s="548"/>
      <c r="D21" s="548"/>
      <c r="E21" s="548"/>
      <c r="F21" s="507"/>
      <c r="G21" s="567" t="s">
        <v>401</v>
      </c>
      <c r="H21" s="507"/>
      <c r="I21" s="568"/>
      <c r="J21" s="529"/>
      <c r="K21" s="569" t="s">
        <v>196</v>
      </c>
      <c r="L21" s="538"/>
      <c r="M21" s="538"/>
      <c r="N21" s="570">
        <v>0.22</v>
      </c>
      <c r="O21" s="477"/>
      <c r="P21" s="571"/>
      <c r="Q21" s="480">
        <f>N21*Q18</f>
        <v>49188.320314844328</v>
      </c>
      <c r="R21" s="572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25" t="s">
        <v>399</v>
      </c>
      <c r="AH21" s="480"/>
      <c r="AI21" s="564"/>
      <c r="AJ21" s="553">
        <f>'[8]FY 09 UFR Salary Data'!$F$45</f>
        <v>30133.822673862582</v>
      </c>
      <c r="AK21" s="479"/>
      <c r="AL21" s="493"/>
    </row>
    <row r="22" spans="2:38">
      <c r="B22" s="569" t="s">
        <v>196</v>
      </c>
      <c r="C22" s="538"/>
      <c r="D22" s="538"/>
      <c r="E22" s="570">
        <v>0.22</v>
      </c>
      <c r="G22" s="571"/>
      <c r="H22" s="480">
        <f>E22*H19</f>
        <v>63754.58936226165</v>
      </c>
      <c r="I22" s="572"/>
      <c r="J22" s="480"/>
      <c r="K22" s="573" t="s">
        <v>198</v>
      </c>
      <c r="L22" s="574"/>
      <c r="M22" s="574"/>
      <c r="N22" s="574"/>
      <c r="O22" s="575"/>
      <c r="P22" s="576">
        <f>Q22/Q5</f>
        <v>149.46388738259049</v>
      </c>
      <c r="Q22" s="577">
        <f>Q21+Q18</f>
        <v>272771.59447322763</v>
      </c>
      <c r="R22" s="505"/>
      <c r="AG22" s="578"/>
      <c r="AH22" s="480"/>
      <c r="AI22" s="579"/>
      <c r="AJ22" s="479"/>
      <c r="AK22" s="479"/>
      <c r="AL22" s="493"/>
    </row>
    <row r="23" spans="2:38">
      <c r="B23" s="573" t="s">
        <v>198</v>
      </c>
      <c r="C23" s="574"/>
      <c r="D23" s="574"/>
      <c r="E23" s="574"/>
      <c r="F23" s="575"/>
      <c r="G23" s="576">
        <f>H23/H5</f>
        <v>193.72502869728322</v>
      </c>
      <c r="H23" s="577">
        <f>H22+H19</f>
        <v>353548.17737254186</v>
      </c>
      <c r="I23" s="505"/>
      <c r="J23" s="480"/>
      <c r="K23" s="492"/>
      <c r="L23" s="479"/>
      <c r="M23" s="479"/>
      <c r="N23" s="479"/>
      <c r="P23" s="580"/>
      <c r="R23" s="505"/>
      <c r="AG23" s="578"/>
      <c r="AH23" s="480"/>
      <c r="AI23" s="3370" t="s">
        <v>403</v>
      </c>
      <c r="AJ23" s="3370"/>
      <c r="AK23" s="3370"/>
      <c r="AL23" s="581"/>
    </row>
    <row r="24" spans="2:38">
      <c r="B24" s="492"/>
      <c r="C24" s="479"/>
      <c r="D24" s="479"/>
      <c r="E24" s="479"/>
      <c r="F24" s="480"/>
      <c r="G24" s="580"/>
      <c r="H24" s="480"/>
      <c r="I24" s="505"/>
      <c r="J24" s="480"/>
      <c r="K24" s="492" t="s">
        <v>313</v>
      </c>
      <c r="L24" s="479"/>
      <c r="M24" s="479"/>
      <c r="N24" s="479"/>
      <c r="P24" s="530">
        <f>$AI$28</f>
        <v>20.56095890410959</v>
      </c>
      <c r="Q24" s="480">
        <f>P24*Q$5</f>
        <v>37523.75</v>
      </c>
      <c r="R24" s="58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65"/>
      <c r="AH24" s="583" t="s">
        <v>404</v>
      </c>
      <c r="AI24" s="584" t="s">
        <v>405</v>
      </c>
      <c r="AJ24" s="585" t="s">
        <v>406</v>
      </c>
      <c r="AL24" s="586"/>
    </row>
    <row r="25" spans="2:38">
      <c r="B25" s="492" t="s">
        <v>313</v>
      </c>
      <c r="C25" s="479"/>
      <c r="D25" s="479"/>
      <c r="E25" s="479"/>
      <c r="F25" s="480"/>
      <c r="G25" s="530">
        <f>$AI$28</f>
        <v>20.56095890410959</v>
      </c>
      <c r="H25" s="480">
        <f>G25*H$5</f>
        <v>37523.75</v>
      </c>
      <c r="I25" s="582"/>
      <c r="J25" s="480"/>
      <c r="K25" s="492" t="s">
        <v>407</v>
      </c>
      <c r="L25" s="479"/>
      <c r="M25" s="479"/>
      <c r="N25" s="479"/>
      <c r="P25" s="530">
        <f>$AI$29</f>
        <v>10.77351598173516</v>
      </c>
      <c r="Q25" s="480">
        <f>P25*Q$5</f>
        <v>19661.666666666668</v>
      </c>
      <c r="R25" s="505"/>
      <c r="AG25" s="547" t="s">
        <v>195</v>
      </c>
      <c r="AH25" s="548"/>
      <c r="AI25" s="480"/>
      <c r="AJ25" s="479"/>
      <c r="AK25" s="479"/>
      <c r="AL25" s="493"/>
    </row>
    <row r="26" spans="2:38">
      <c r="B26" s="492" t="s">
        <v>407</v>
      </c>
      <c r="C26" s="479"/>
      <c r="D26" s="479"/>
      <c r="E26" s="479"/>
      <c r="F26" s="480"/>
      <c r="G26" s="530">
        <f>$AI$29</f>
        <v>10.77351598173516</v>
      </c>
      <c r="H26" s="480">
        <f>G26*H$5</f>
        <v>19661.666666666668</v>
      </c>
      <c r="I26" s="505"/>
      <c r="J26" s="480"/>
      <c r="K26" s="492"/>
      <c r="L26" s="479"/>
      <c r="M26" s="479"/>
      <c r="N26" s="479"/>
      <c r="P26" s="587">
        <f>SUM(P24:P25)</f>
        <v>31.334474885844749</v>
      </c>
      <c r="R26" s="505"/>
      <c r="AG26" s="588" t="s">
        <v>196</v>
      </c>
      <c r="AH26" s="479"/>
      <c r="AI26" s="589">
        <v>0.22</v>
      </c>
      <c r="AJ26" s="590"/>
      <c r="AK26" s="479"/>
      <c r="AL26" s="493"/>
    </row>
    <row r="27" spans="2:38">
      <c r="B27" s="492"/>
      <c r="C27" s="479"/>
      <c r="D27" s="479"/>
      <c r="E27" s="479"/>
      <c r="F27" s="480"/>
      <c r="G27" s="587">
        <f>SUM(G25:G26)</f>
        <v>31.334474885844749</v>
      </c>
      <c r="H27" s="480"/>
      <c r="I27" s="505"/>
      <c r="J27" s="484"/>
      <c r="K27" s="591" t="s">
        <v>408</v>
      </c>
      <c r="L27" s="592"/>
      <c r="M27" s="592"/>
      <c r="N27" s="592"/>
      <c r="O27" s="561"/>
      <c r="P27" s="562"/>
      <c r="Q27" s="561">
        <f>SUM(Q22:Q25)</f>
        <v>329957.01113989431</v>
      </c>
      <c r="R27" s="563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588"/>
      <c r="AH27" s="479"/>
      <c r="AI27" s="589"/>
      <c r="AJ27" s="590"/>
      <c r="AK27" s="479"/>
      <c r="AL27" s="493"/>
    </row>
    <row r="28" spans="2:38">
      <c r="B28" s="591" t="s">
        <v>408</v>
      </c>
      <c r="C28" s="592"/>
      <c r="D28" s="592"/>
      <c r="E28" s="592"/>
      <c r="F28" s="561"/>
      <c r="G28" s="562"/>
      <c r="H28" s="561">
        <f>SUM(H23:H26)</f>
        <v>410733.59403920855</v>
      </c>
      <c r="I28" s="563"/>
      <c r="J28" s="480"/>
      <c r="K28" s="492" t="s">
        <v>315</v>
      </c>
      <c r="L28" s="479"/>
      <c r="M28" s="479"/>
      <c r="N28" s="593">
        <v>0.11</v>
      </c>
      <c r="O28" s="491"/>
      <c r="P28" s="594"/>
      <c r="Q28" s="480">
        <f>N28*Q27</f>
        <v>36295.271225388373</v>
      </c>
      <c r="R28" s="595"/>
      <c r="AG28" s="492" t="s">
        <v>313</v>
      </c>
      <c r="AH28" s="479"/>
      <c r="AI28" s="596">
        <f>'[8]DMH Facil Base Resp FY09UFRData'!$HS$18</f>
        <v>20.56095890410959</v>
      </c>
      <c r="AJ28" s="530"/>
      <c r="AK28" s="479"/>
      <c r="AL28" s="493"/>
    </row>
    <row r="29" spans="2:38" s="491" customFormat="1" ht="15" customHeight="1" thickBot="1">
      <c r="B29" s="492" t="s">
        <v>315</v>
      </c>
      <c r="C29" s="479"/>
      <c r="D29" s="479"/>
      <c r="E29" s="593">
        <v>0.11</v>
      </c>
      <c r="G29" s="594"/>
      <c r="H29" s="480">
        <f>E29*H28</f>
        <v>45180.695344312939</v>
      </c>
      <c r="I29" s="595"/>
      <c r="J29" s="484"/>
      <c r="K29" s="597" t="s">
        <v>203</v>
      </c>
      <c r="L29" s="598"/>
      <c r="M29" s="598"/>
      <c r="N29" s="598"/>
      <c r="O29" s="599"/>
      <c r="P29" s="600"/>
      <c r="Q29" s="601">
        <f>SUM(Q27:Q28)</f>
        <v>366252.28236528271</v>
      </c>
      <c r="R29" s="563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92" t="s">
        <v>407</v>
      </c>
      <c r="AH29" s="479"/>
      <c r="AI29" s="596">
        <f>'[8]DMH Facil Base Resp FY09UFRData'!$HT$18</f>
        <v>10.77351598173516</v>
      </c>
      <c r="AJ29" s="530"/>
      <c r="AK29" s="479"/>
      <c r="AL29" s="602"/>
    </row>
    <row r="30" spans="2:38" s="491" customFormat="1" ht="14.25" thickTop="1" thickBot="1">
      <c r="B30" s="597" t="s">
        <v>203</v>
      </c>
      <c r="C30" s="598"/>
      <c r="D30" s="598"/>
      <c r="E30" s="598"/>
      <c r="F30" s="599"/>
      <c r="G30" s="600"/>
      <c r="H30" s="601">
        <f>SUM(H28:H29)</f>
        <v>455914.28938352148</v>
      </c>
      <c r="I30" s="563"/>
      <c r="J30" s="507"/>
      <c r="K30" s="547"/>
      <c r="L30" s="548"/>
      <c r="M30" s="548"/>
      <c r="N30" s="548"/>
      <c r="O30" s="507"/>
      <c r="P30" s="603"/>
      <c r="Q30" s="484"/>
      <c r="R30" s="563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604" t="s">
        <v>408</v>
      </c>
      <c r="AH30" s="605"/>
      <c r="AI30" s="606">
        <f>SUM(AI28,AI29)</f>
        <v>31.334474885844749</v>
      </c>
      <c r="AJ30" s="530"/>
      <c r="AK30" s="479"/>
      <c r="AL30" s="493"/>
    </row>
    <row r="31" spans="2:38" s="608" customFormat="1" ht="13.5" thickTop="1">
      <c r="B31" s="547"/>
      <c r="C31" s="548"/>
      <c r="D31" s="548"/>
      <c r="E31" s="548"/>
      <c r="F31" s="507"/>
      <c r="G31" s="603"/>
      <c r="H31" s="507"/>
      <c r="I31" s="568"/>
      <c r="J31" s="607"/>
      <c r="K31" s="547"/>
      <c r="L31" s="548"/>
      <c r="M31" s="548"/>
      <c r="N31" s="548"/>
      <c r="O31" s="507"/>
      <c r="P31" s="603"/>
      <c r="Q31" s="507"/>
      <c r="R31" s="568"/>
      <c r="AG31" s="578"/>
      <c r="AH31" s="609"/>
      <c r="AI31" s="610"/>
      <c r="AJ31" s="611"/>
      <c r="AK31" s="564"/>
      <c r="AL31" s="493"/>
    </row>
    <row r="32" spans="2:38" s="608" customFormat="1" ht="13.5" thickBot="1">
      <c r="B32" s="612" t="s">
        <v>318</v>
      </c>
      <c r="C32" s="613"/>
      <c r="D32" s="613"/>
      <c r="E32" s="613"/>
      <c r="F32" s="613"/>
      <c r="G32" s="613"/>
      <c r="H32" s="614">
        <f>H30/H5</f>
        <v>249.81604897727203</v>
      </c>
      <c r="I32" s="615"/>
      <c r="J32" s="607"/>
      <c r="K32" s="612" t="s">
        <v>318</v>
      </c>
      <c r="L32" s="613"/>
      <c r="M32" s="613"/>
      <c r="N32" s="613"/>
      <c r="O32" s="613"/>
      <c r="P32" s="613"/>
      <c r="Q32" s="614">
        <f>Q29/Q5</f>
        <v>200.68618211796311</v>
      </c>
      <c r="R32" s="615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616" t="s">
        <v>201</v>
      </c>
      <c r="AH32" s="617"/>
      <c r="AI32" s="618">
        <v>0.11</v>
      </c>
      <c r="AJ32" s="617"/>
      <c r="AK32" s="617"/>
      <c r="AL32" s="619"/>
    </row>
    <row r="33" spans="2:46" ht="13.5" thickBot="1">
      <c r="B33" s="612" t="s">
        <v>205</v>
      </c>
      <c r="C33" s="613"/>
      <c r="D33" s="613"/>
      <c r="E33" s="590">
        <v>3.27E-2</v>
      </c>
      <c r="G33" s="613"/>
      <c r="H33" s="614"/>
      <c r="I33" s="493" t="s">
        <v>347</v>
      </c>
      <c r="K33" s="612" t="s">
        <v>205</v>
      </c>
      <c r="L33" s="613"/>
      <c r="M33" s="613"/>
      <c r="N33" s="590">
        <v>3.27E-2</v>
      </c>
      <c r="O33" s="477"/>
      <c r="P33" s="613"/>
      <c r="Q33" s="614"/>
      <c r="R33" s="493" t="s">
        <v>347</v>
      </c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F33" s="614"/>
    </row>
    <row r="34" spans="2:46" ht="13.5" thickBot="1">
      <c r="B34" s="620" t="s">
        <v>409</v>
      </c>
      <c r="C34" s="621"/>
      <c r="D34" s="621"/>
      <c r="E34" s="621"/>
      <c r="F34" s="622">
        <v>0.85</v>
      </c>
      <c r="G34" s="623"/>
      <c r="H34" s="624">
        <f>H$30/(H$5*F34)</f>
        <v>293.9012340909083</v>
      </c>
      <c r="I34" s="625">
        <f>H34*(1+E$33)</f>
        <v>303.51180444568098</v>
      </c>
      <c r="J34" s="415"/>
      <c r="K34" s="620" t="s">
        <v>409</v>
      </c>
      <c r="L34" s="621"/>
      <c r="M34" s="621"/>
      <c r="N34" s="621"/>
      <c r="O34" s="622">
        <v>0.85</v>
      </c>
      <c r="P34" s="623"/>
      <c r="Q34" s="624">
        <f>Q$29/(H$5*O34)</f>
        <v>236.10139072701546</v>
      </c>
      <c r="R34" s="625">
        <f>Q34*(1+E$33)</f>
        <v>243.82190620378884</v>
      </c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F34" s="614"/>
    </row>
    <row r="35" spans="2:46" ht="13.5" thickBot="1">
      <c r="B35" s="620" t="s">
        <v>409</v>
      </c>
      <c r="C35" s="621"/>
      <c r="D35" s="621"/>
      <c r="E35" s="621"/>
      <c r="F35" s="626">
        <v>0.95</v>
      </c>
      <c r="G35" s="623"/>
      <c r="H35" s="624">
        <f>H$30/(H$5*F35)</f>
        <v>262.96426208133897</v>
      </c>
      <c r="I35" s="627">
        <f>H35*(1+E$33)</f>
        <v>271.56319345139872</v>
      </c>
      <c r="J35" s="415"/>
      <c r="K35" s="620" t="s">
        <v>409</v>
      </c>
      <c r="L35" s="621"/>
      <c r="M35" s="621"/>
      <c r="N35" s="621"/>
      <c r="O35" s="626">
        <v>0.95</v>
      </c>
      <c r="P35" s="623"/>
      <c r="Q35" s="624">
        <f>Q$29/(H$5*O35)</f>
        <v>211.24861275575066</v>
      </c>
      <c r="R35" s="627">
        <f>Q35*(1+E$33)</f>
        <v>218.15644239286368</v>
      </c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F35" s="614"/>
    </row>
    <row r="36" spans="2:46" ht="13.5" thickBot="1">
      <c r="J36" s="415"/>
      <c r="K36" s="620"/>
      <c r="L36" s="621"/>
      <c r="M36" s="621"/>
      <c r="N36" s="621"/>
      <c r="O36" s="626"/>
      <c r="P36" s="623"/>
      <c r="Q36" s="624"/>
      <c r="R36" s="627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  <c r="AD36" s="614"/>
      <c r="AE36" s="614"/>
      <c r="AF36" s="614"/>
    </row>
    <row r="37" spans="2:46" ht="13.5" thickBot="1">
      <c r="B37" s="3371" t="s">
        <v>410</v>
      </c>
      <c r="C37" s="3372"/>
      <c r="D37" s="3372"/>
      <c r="E37" s="3372"/>
      <c r="F37" s="3372"/>
      <c r="G37" s="3372"/>
      <c r="H37" s="3372"/>
      <c r="I37" s="483"/>
      <c r="J37" s="491"/>
      <c r="K37" s="3371" t="s">
        <v>411</v>
      </c>
      <c r="L37" s="3372"/>
      <c r="M37" s="3372"/>
      <c r="N37" s="3372"/>
      <c r="O37" s="3372"/>
      <c r="P37" s="3372"/>
      <c r="Q37" s="3372"/>
      <c r="R37" s="483"/>
      <c r="S37" s="614"/>
      <c r="T37" s="614"/>
      <c r="U37" s="614"/>
      <c r="V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O37" s="628"/>
      <c r="AP37" s="545"/>
      <c r="AQ37" s="545"/>
      <c r="AR37" s="545"/>
      <c r="AS37" s="545"/>
      <c r="AT37" s="546"/>
    </row>
    <row r="38" spans="2:46" s="491" customFormat="1">
      <c r="B38" s="492"/>
      <c r="C38" s="479"/>
      <c r="D38" s="479"/>
      <c r="E38" s="479"/>
      <c r="F38" s="479"/>
      <c r="G38" s="479"/>
      <c r="H38" s="479"/>
      <c r="I38" s="493"/>
      <c r="J38" s="494"/>
      <c r="K38" s="492"/>
      <c r="L38" s="479"/>
      <c r="M38" s="479"/>
      <c r="N38" s="479"/>
      <c r="O38" s="479"/>
      <c r="P38" s="479"/>
      <c r="Q38" s="479"/>
      <c r="R38" s="493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628" t="s">
        <v>281</v>
      </c>
      <c r="AH38" s="629">
        <v>15</v>
      </c>
      <c r="AI38" s="629">
        <f>AH38*8</f>
        <v>120</v>
      </c>
      <c r="AJ38" s="488"/>
      <c r="AK38" s="630"/>
      <c r="AL38" s="631"/>
      <c r="AO38" s="492" t="s">
        <v>281</v>
      </c>
      <c r="AP38" s="495">
        <v>15</v>
      </c>
      <c r="AQ38" s="495">
        <f>AP38*8</f>
        <v>120</v>
      </c>
      <c r="AR38" s="496"/>
      <c r="AS38" s="497"/>
      <c r="AT38" s="498"/>
    </row>
    <row r="39" spans="2:46" s="491" customFormat="1">
      <c r="B39" s="499" t="s">
        <v>380</v>
      </c>
      <c r="C39" s="500">
        <v>5</v>
      </c>
      <c r="D39" s="500"/>
      <c r="E39" s="500"/>
      <c r="F39" s="501" t="s">
        <v>381</v>
      </c>
      <c r="G39" s="502">
        <v>104</v>
      </c>
      <c r="H39" s="494">
        <f>G39*C39</f>
        <v>520</v>
      </c>
      <c r="I39" s="503"/>
      <c r="J39" s="494"/>
      <c r="K39" s="499" t="s">
        <v>380</v>
      </c>
      <c r="L39" s="500">
        <v>5</v>
      </c>
      <c r="M39" s="500"/>
      <c r="N39" s="500"/>
      <c r="O39" s="501" t="s">
        <v>381</v>
      </c>
      <c r="P39" s="502">
        <v>104</v>
      </c>
      <c r="Q39" s="494">
        <f>P39*L39</f>
        <v>520</v>
      </c>
      <c r="R39" s="503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2" t="s">
        <v>382</v>
      </c>
      <c r="AH39" s="495">
        <v>10</v>
      </c>
      <c r="AI39" s="495">
        <f>AH39*8</f>
        <v>80</v>
      </c>
      <c r="AJ39" s="496"/>
      <c r="AK39" s="497"/>
      <c r="AL39" s="498"/>
      <c r="AO39" s="492" t="s">
        <v>382</v>
      </c>
      <c r="AP39" s="495">
        <v>10</v>
      </c>
      <c r="AQ39" s="495">
        <f>AP39*8</f>
        <v>80</v>
      </c>
      <c r="AR39" s="496"/>
      <c r="AS39" s="497"/>
      <c r="AT39" s="498"/>
    </row>
    <row r="40" spans="2:46" s="491" customFormat="1">
      <c r="B40" s="499"/>
      <c r="C40" s="504"/>
      <c r="D40" s="504"/>
      <c r="E40" s="504"/>
      <c r="F40" s="501"/>
      <c r="G40" s="502"/>
      <c r="H40" s="494"/>
      <c r="I40" s="503"/>
      <c r="J40" s="494"/>
      <c r="K40" s="499"/>
      <c r="L40" s="504"/>
      <c r="M40" s="504"/>
      <c r="N40" s="504"/>
      <c r="O40" s="501"/>
      <c r="P40" s="502"/>
      <c r="Q40" s="494"/>
      <c r="R40" s="503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2" t="s">
        <v>383</v>
      </c>
      <c r="AH40" s="495">
        <v>12</v>
      </c>
      <c r="AI40" s="495">
        <f>AH40*8</f>
        <v>96</v>
      </c>
      <c r="AJ40" s="496"/>
      <c r="AK40" s="480"/>
      <c r="AL40" s="505"/>
      <c r="AO40" s="492" t="s">
        <v>383</v>
      </c>
      <c r="AP40" s="495">
        <v>0</v>
      </c>
      <c r="AQ40" s="495">
        <f>AP40*8</f>
        <v>0</v>
      </c>
      <c r="AR40" s="496"/>
      <c r="AS40" s="480"/>
      <c r="AT40" s="505"/>
    </row>
    <row r="41" spans="2:46" s="491" customFormat="1" ht="13.5" customHeight="1">
      <c r="B41" s="499"/>
      <c r="C41" s="504"/>
      <c r="D41" s="504"/>
      <c r="E41" s="504"/>
      <c r="F41" s="506"/>
      <c r="G41" s="502"/>
      <c r="H41" s="494"/>
      <c r="I41" s="503"/>
      <c r="J41" s="507"/>
      <c r="K41" s="499"/>
      <c r="L41" s="504"/>
      <c r="M41" s="504"/>
      <c r="N41" s="504"/>
      <c r="O41" s="506"/>
      <c r="P41" s="502"/>
      <c r="Q41" s="494"/>
      <c r="R41" s="503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8"/>
      <c r="AH41" s="509"/>
      <c r="AI41" s="509"/>
      <c r="AJ41" s="496"/>
      <c r="AK41" s="510"/>
      <c r="AL41" s="511"/>
      <c r="AO41" s="508"/>
      <c r="AP41" s="509"/>
      <c r="AQ41" s="509"/>
      <c r="AR41" s="496"/>
      <c r="AS41" s="510"/>
      <c r="AT41" s="511"/>
    </row>
    <row r="42" spans="2:46" s="512" customFormat="1" ht="38.25">
      <c r="B42" s="547"/>
      <c r="C42" s="514" t="s">
        <v>384</v>
      </c>
      <c r="D42" s="514" t="s">
        <v>385</v>
      </c>
      <c r="E42" s="548" t="s">
        <v>386</v>
      </c>
      <c r="F42" s="507" t="s">
        <v>342</v>
      </c>
      <c r="G42" s="567" t="s">
        <v>190</v>
      </c>
      <c r="H42" s="507" t="s">
        <v>343</v>
      </c>
      <c r="I42" s="568"/>
      <c r="J42" s="518"/>
      <c r="K42" s="547"/>
      <c r="L42" s="514" t="s">
        <v>384</v>
      </c>
      <c r="M42" s="514" t="s">
        <v>385</v>
      </c>
      <c r="N42" s="548" t="s">
        <v>386</v>
      </c>
      <c r="O42" s="507" t="s">
        <v>342</v>
      </c>
      <c r="P42" s="567" t="s">
        <v>190</v>
      </c>
      <c r="Q42" s="507" t="s">
        <v>343</v>
      </c>
      <c r="R42" s="56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9"/>
      <c r="AH42" s="520" t="s">
        <v>387</v>
      </c>
      <c r="AI42" s="521">
        <f>SUM(AI38:AI41)</f>
        <v>296</v>
      </c>
      <c r="AJ42" s="522"/>
      <c r="AK42" s="523"/>
      <c r="AL42" s="524"/>
      <c r="AO42" s="519"/>
      <c r="AP42" s="520" t="s">
        <v>387</v>
      </c>
      <c r="AQ42" s="521">
        <f>SUM(AQ38:AQ41)</f>
        <v>200</v>
      </c>
      <c r="AR42" s="522"/>
      <c r="AS42" s="523"/>
      <c r="AT42" s="524"/>
    </row>
    <row r="43" spans="2:46" s="481" customFormat="1" ht="13.5" thickBot="1">
      <c r="B43" s="525" t="s">
        <v>388</v>
      </c>
      <c r="C43" s="528">
        <v>8</v>
      </c>
      <c r="D43" s="527">
        <v>2</v>
      </c>
      <c r="E43" s="528"/>
      <c r="F43" s="529">
        <f>$AJ$16</f>
        <v>42800.446974880258</v>
      </c>
      <c r="G43" s="530">
        <f>(C39/C43)*(2/5)</f>
        <v>0.25</v>
      </c>
      <c r="H43" s="480">
        <f>F43*G43</f>
        <v>10700.111743720065</v>
      </c>
      <c r="I43" s="505"/>
      <c r="J43" s="480"/>
      <c r="K43" s="525" t="s">
        <v>388</v>
      </c>
      <c r="L43" s="528">
        <v>8</v>
      </c>
      <c r="M43" s="527">
        <v>2</v>
      </c>
      <c r="N43" s="528"/>
      <c r="O43" s="529">
        <f>$AJ$16</f>
        <v>42800.446974880258</v>
      </c>
      <c r="P43" s="530">
        <f>(L39/L43)*(2/5)</f>
        <v>0.25</v>
      </c>
      <c r="Q43" s="480">
        <f>O43*P43</f>
        <v>10700.111743720065</v>
      </c>
      <c r="R43" s="505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531"/>
      <c r="AH43" s="532" t="s">
        <v>389</v>
      </c>
      <c r="AI43" s="533">
        <f>AI42/(52*40)</f>
        <v>0.1423076923076923</v>
      </c>
      <c r="AJ43" s="534"/>
      <c r="AK43" s="535"/>
      <c r="AL43" s="536"/>
      <c r="AO43" s="531"/>
      <c r="AP43" s="532" t="s">
        <v>389</v>
      </c>
      <c r="AQ43" s="533">
        <f>AQ42/(52*40)</f>
        <v>9.6153846153846159E-2</v>
      </c>
      <c r="AR43" s="534"/>
      <c r="AS43" s="535"/>
      <c r="AT43" s="536"/>
    </row>
    <row r="44" spans="2:46" s="537" customFormat="1">
      <c r="B44" s="525" t="s">
        <v>412</v>
      </c>
      <c r="C44" s="528">
        <v>2.5</v>
      </c>
      <c r="D44" s="527">
        <v>2</v>
      </c>
      <c r="E44" s="528"/>
      <c r="F44" s="529">
        <f>$AJ$19</f>
        <v>24920.069035224478</v>
      </c>
      <c r="G44" s="530">
        <f>ROUNDUP((C$39/C44),0)*(D44/5)</f>
        <v>0.8</v>
      </c>
      <c r="H44" s="480">
        <f>F44*G44</f>
        <v>19936.055228179583</v>
      </c>
      <c r="I44" s="505"/>
      <c r="J44" s="480"/>
      <c r="K44" s="525" t="s">
        <v>390</v>
      </c>
      <c r="L44" s="528">
        <v>10</v>
      </c>
      <c r="M44" s="527">
        <v>2</v>
      </c>
      <c r="N44" s="528"/>
      <c r="O44" s="529">
        <f>$AJ$18</f>
        <v>56280.624805553671</v>
      </c>
      <c r="P44" s="530">
        <f>(L39/L44)*(2/5)</f>
        <v>0.2</v>
      </c>
      <c r="Q44" s="480">
        <f>O44*P44</f>
        <v>11256.124961110734</v>
      </c>
      <c r="R44" s="505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542"/>
      <c r="AH44" s="543"/>
      <c r="AI44" s="543"/>
      <c r="AJ44" s="544" t="s">
        <v>393</v>
      </c>
      <c r="AK44" s="545"/>
      <c r="AL44" s="546"/>
    </row>
    <row r="45" spans="2:46" s="537" customFormat="1">
      <c r="B45" s="525" t="s">
        <v>413</v>
      </c>
      <c r="C45" s="528">
        <v>2.5</v>
      </c>
      <c r="D45" s="527">
        <v>2</v>
      </c>
      <c r="E45" s="528"/>
      <c r="F45" s="529">
        <f>$AJ$19</f>
        <v>24920.069035224478</v>
      </c>
      <c r="G45" s="530">
        <f>ROUNDUP((C$39/C45),0)*(D45/5)</f>
        <v>0.8</v>
      </c>
      <c r="H45" s="480">
        <f>F45*G45</f>
        <v>19936.055228179583</v>
      </c>
      <c r="I45" s="505"/>
      <c r="J45" s="480"/>
      <c r="K45" s="525" t="s">
        <v>412</v>
      </c>
      <c r="L45" s="528">
        <v>2.5</v>
      </c>
      <c r="M45" s="527">
        <v>2</v>
      </c>
      <c r="N45" s="528"/>
      <c r="O45" s="529">
        <f>$AJ$19</f>
        <v>24920.069035224478</v>
      </c>
      <c r="P45" s="530">
        <f>ROUNDUP((L$39/L45),0)*(M45/5)</f>
        <v>0.8</v>
      </c>
      <c r="Q45" s="480">
        <f>O45*P45</f>
        <v>19936.055228179583</v>
      </c>
      <c r="R45" s="505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80"/>
      <c r="AF45" s="480"/>
      <c r="AG45" s="547"/>
      <c r="AH45" s="548"/>
      <c r="AI45" s="548"/>
      <c r="AJ45" s="549"/>
      <c r="AK45" s="479"/>
      <c r="AL45" s="493"/>
    </row>
    <row r="46" spans="2:46" s="537" customFormat="1">
      <c r="B46" s="525" t="s">
        <v>414</v>
      </c>
      <c r="C46" s="528">
        <v>2.5</v>
      </c>
      <c r="D46" s="527">
        <v>2</v>
      </c>
      <c r="E46" s="528"/>
      <c r="F46" s="529">
        <f>$AJ$19</f>
        <v>24920.069035224478</v>
      </c>
      <c r="G46" s="530">
        <f>ROUNDUP((C$39/C46),0)*(D46/5)</f>
        <v>0.8</v>
      </c>
      <c r="H46" s="480">
        <f>F46*G46</f>
        <v>19936.055228179583</v>
      </c>
      <c r="I46" s="505"/>
      <c r="J46" s="480"/>
      <c r="K46" s="525" t="s">
        <v>413</v>
      </c>
      <c r="L46" s="528">
        <v>2.5</v>
      </c>
      <c r="M46" s="527">
        <v>2</v>
      </c>
      <c r="N46" s="528"/>
      <c r="O46" s="529">
        <f>$AJ$19</f>
        <v>24920.069035224478</v>
      </c>
      <c r="P46" s="530">
        <f>ROUNDUP((L$39/L46),0)*(M46/5)</f>
        <v>0.8</v>
      </c>
      <c r="Q46" s="480">
        <f>O46*P46</f>
        <v>19936.055228179583</v>
      </c>
      <c r="R46" s="505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547"/>
      <c r="AH46" s="548"/>
      <c r="AI46" s="548"/>
      <c r="AJ46" s="549"/>
      <c r="AK46" s="479"/>
      <c r="AL46" s="493"/>
    </row>
    <row r="47" spans="2:46" s="537" customFormat="1">
      <c r="B47" s="525"/>
      <c r="C47" s="528"/>
      <c r="D47" s="527"/>
      <c r="E47" s="528"/>
      <c r="F47" s="529"/>
      <c r="G47" s="530"/>
      <c r="H47" s="480"/>
      <c r="I47" s="505"/>
      <c r="J47" s="480"/>
      <c r="K47" s="525" t="s">
        <v>414</v>
      </c>
      <c r="L47" s="528">
        <v>2.5</v>
      </c>
      <c r="M47" s="527">
        <v>2</v>
      </c>
      <c r="N47" s="528"/>
      <c r="O47" s="529">
        <f>$AJ$19</f>
        <v>24920.069035224478</v>
      </c>
      <c r="P47" s="530">
        <f>ROUNDUP((L$39/L47),0)*(M47/5)</f>
        <v>0.8</v>
      </c>
      <c r="Q47" s="480">
        <f>O47*P47</f>
        <v>19936.055228179583</v>
      </c>
      <c r="R47" s="505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80"/>
      <c r="AF47" s="480"/>
      <c r="AG47" s="547"/>
      <c r="AH47" s="548"/>
      <c r="AI47" s="548"/>
      <c r="AJ47" s="549"/>
      <c r="AK47" s="479"/>
      <c r="AL47" s="493"/>
    </row>
    <row r="48" spans="2:46" s="481" customFormat="1" ht="15">
      <c r="B48" s="525" t="s">
        <v>397</v>
      </c>
      <c r="C48" s="491"/>
      <c r="D48" s="491"/>
      <c r="E48" s="551">
        <f>$AQ$9</f>
        <v>9.6153846153846159E-2</v>
      </c>
      <c r="F48" s="529">
        <f>$AJ$19</f>
        <v>24920.069035224478</v>
      </c>
      <c r="G48" s="530">
        <f>SUM(G44:G46)*E48</f>
        <v>0.23076923076923081</v>
      </c>
      <c r="H48" s="480">
        <f>F48*G48</f>
        <v>5750.7851619748808</v>
      </c>
      <c r="I48" s="505"/>
      <c r="J48" s="480"/>
      <c r="K48" s="525"/>
      <c r="L48" s="528"/>
      <c r="M48" s="527"/>
      <c r="N48" s="528"/>
      <c r="O48" s="529"/>
      <c r="P48" s="530"/>
      <c r="Q48" s="480"/>
      <c r="R48" s="505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525" t="s">
        <v>388</v>
      </c>
      <c r="AH48" s="480"/>
      <c r="AI48" s="552"/>
      <c r="AJ48" s="553">
        <f>'[8]FY 09 UFR Salary Data'!$F$5</f>
        <v>42800.446974880258</v>
      </c>
      <c r="AK48" s="479"/>
      <c r="AL48" s="493"/>
    </row>
    <row r="49" spans="2:38" s="491" customFormat="1">
      <c r="B49" s="525"/>
      <c r="E49" s="551"/>
      <c r="F49" s="529"/>
      <c r="G49" s="530"/>
      <c r="H49" s="480"/>
      <c r="I49" s="505"/>
      <c r="J49" s="480"/>
      <c r="K49" s="525" t="s">
        <v>397</v>
      </c>
      <c r="N49" s="551">
        <f>$AQ$9</f>
        <v>9.6153846153846159E-2</v>
      </c>
      <c r="O49" s="529">
        <f>$AJ$19</f>
        <v>24920.069035224478</v>
      </c>
      <c r="P49" s="530">
        <f>SUM(P45:P47)*N49</f>
        <v>0.23076923076923081</v>
      </c>
      <c r="Q49" s="480">
        <f>O49*P49</f>
        <v>5750.7851619748808</v>
      </c>
      <c r="R49" s="505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434"/>
      <c r="AH49" s="435"/>
      <c r="AI49" s="435"/>
      <c r="AJ49" s="435"/>
      <c r="AK49" s="479"/>
      <c r="AL49" s="493"/>
    </row>
    <row r="50" spans="2:38" s="491" customFormat="1">
      <c r="B50" s="554" t="s">
        <v>399</v>
      </c>
      <c r="C50" s="555">
        <v>25</v>
      </c>
      <c r="D50" s="632">
        <v>2</v>
      </c>
      <c r="E50" s="556"/>
      <c r="F50" s="529">
        <f>$AJ$21</f>
        <v>30133.822673862582</v>
      </c>
      <c r="G50" s="530">
        <f>(C39/C50)*(2/5)</f>
        <v>8.0000000000000016E-2</v>
      </c>
      <c r="H50" s="480">
        <f>F50*G50</f>
        <v>2410.7058139090068</v>
      </c>
      <c r="I50" s="505"/>
      <c r="J50" s="480"/>
      <c r="K50" s="525"/>
      <c r="N50" s="551"/>
      <c r="O50" s="529"/>
      <c r="P50" s="530"/>
      <c r="Q50" s="480"/>
      <c r="R50" s="505"/>
      <c r="S50" s="484"/>
      <c r="T50" s="484"/>
      <c r="U50" s="484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434"/>
      <c r="AH50" s="435"/>
      <c r="AI50" s="435"/>
      <c r="AJ50" s="435"/>
      <c r="AK50" s="479"/>
      <c r="AL50" s="493"/>
    </row>
    <row r="51" spans="2:38" s="491" customFormat="1" ht="15">
      <c r="B51" s="558" t="s">
        <v>194</v>
      </c>
      <c r="C51" s="559"/>
      <c r="D51" s="633"/>
      <c r="E51" s="560"/>
      <c r="F51" s="561"/>
      <c r="G51" s="562">
        <f>SUM(G43:G50)</f>
        <v>2.9607692307692313</v>
      </c>
      <c r="H51" s="561">
        <f>SUM(H43:H50)</f>
        <v>78669.768404142713</v>
      </c>
      <c r="I51" s="563"/>
      <c r="J51" s="484"/>
      <c r="K51" s="554" t="s">
        <v>399</v>
      </c>
      <c r="L51" s="555">
        <v>25</v>
      </c>
      <c r="M51" s="556">
        <v>2</v>
      </c>
      <c r="N51" s="556"/>
      <c r="O51" s="529">
        <f>$AJ$21</f>
        <v>30133.822673862582</v>
      </c>
      <c r="P51" s="530">
        <f>(L39/L51)*(2/5)</f>
        <v>8.0000000000000016E-2</v>
      </c>
      <c r="Q51" s="480">
        <f>O51*P51</f>
        <v>2410.7058139090068</v>
      </c>
      <c r="R51" s="505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525" t="s">
        <v>390</v>
      </c>
      <c r="AH51" s="480"/>
      <c r="AI51" s="564"/>
      <c r="AJ51" s="553">
        <f>'[8]FY 09 UFR Salary Data'!$F$12</f>
        <v>56280.624805553671</v>
      </c>
      <c r="AK51" s="479"/>
      <c r="AL51" s="493"/>
    </row>
    <row r="52" spans="2:38" s="491" customFormat="1" ht="15">
      <c r="B52" s="565"/>
      <c r="C52" s="510"/>
      <c r="D52" s="510"/>
      <c r="E52" s="510"/>
      <c r="F52" s="484"/>
      <c r="G52" s="566"/>
      <c r="H52" s="484"/>
      <c r="I52" s="563"/>
      <c r="J52" s="484"/>
      <c r="K52" s="558" t="s">
        <v>194</v>
      </c>
      <c r="L52" s="559"/>
      <c r="M52" s="510"/>
      <c r="N52" s="560"/>
      <c r="O52" s="561"/>
      <c r="P52" s="562">
        <f>SUM(P43:P51)</f>
        <v>3.1607692307692306</v>
      </c>
      <c r="Q52" s="561">
        <f>SUM(Q43:Q51)</f>
        <v>89925.893365253447</v>
      </c>
      <c r="R52" s="563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07"/>
      <c r="AE52" s="507"/>
      <c r="AF52" s="507"/>
      <c r="AG52" s="525" t="s">
        <v>400</v>
      </c>
      <c r="AH52" s="480"/>
      <c r="AI52" s="564"/>
      <c r="AJ52" s="553">
        <f>'[8]FY 09 UFR Salary Data'!$F$40</f>
        <v>24920.069035224478</v>
      </c>
      <c r="AK52" s="479"/>
      <c r="AL52" s="493"/>
    </row>
    <row r="53" spans="2:38" s="541" customFormat="1" ht="15">
      <c r="B53" s="547" t="s">
        <v>195</v>
      </c>
      <c r="C53" s="548"/>
      <c r="D53" s="548"/>
      <c r="E53" s="548"/>
      <c r="F53" s="507"/>
      <c r="G53" s="567" t="s">
        <v>401</v>
      </c>
      <c r="H53" s="507"/>
      <c r="I53" s="568"/>
      <c r="J53" s="507"/>
      <c r="K53" s="565"/>
      <c r="L53" s="510"/>
      <c r="M53" s="510"/>
      <c r="N53" s="510"/>
      <c r="O53" s="484"/>
      <c r="P53" s="566"/>
      <c r="Q53" s="484"/>
      <c r="R53" s="563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5" t="s">
        <v>402</v>
      </c>
      <c r="AH53" s="480"/>
      <c r="AI53" s="564"/>
      <c r="AJ53" s="553">
        <f>9*40*52</f>
        <v>18720</v>
      </c>
      <c r="AK53" s="479"/>
      <c r="AL53" s="493"/>
    </row>
    <row r="54" spans="2:38" ht="15">
      <c r="B54" s="569" t="s">
        <v>196</v>
      </c>
      <c r="C54" s="538"/>
      <c r="D54" s="538"/>
      <c r="E54" s="570">
        <v>0.22</v>
      </c>
      <c r="G54" s="571"/>
      <c r="H54" s="480">
        <f>E54*H51</f>
        <v>17307.349048911397</v>
      </c>
      <c r="I54" s="572"/>
      <c r="J54" s="529"/>
      <c r="K54" s="547" t="s">
        <v>195</v>
      </c>
      <c r="L54" s="548"/>
      <c r="M54" s="548"/>
      <c r="N54" s="548"/>
      <c r="O54" s="507"/>
      <c r="P54" s="567" t="s">
        <v>401</v>
      </c>
      <c r="Q54" s="507"/>
      <c r="R54" s="568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25" t="s">
        <v>399</v>
      </c>
      <c r="AH54" s="480"/>
      <c r="AI54" s="564"/>
      <c r="AJ54" s="553">
        <f>'[8]FY 09 UFR Salary Data'!$F$45</f>
        <v>30133.822673862582</v>
      </c>
      <c r="AK54" s="479"/>
      <c r="AL54" s="493"/>
    </row>
    <row r="55" spans="2:38">
      <c r="B55" s="573" t="s">
        <v>198</v>
      </c>
      <c r="C55" s="574"/>
      <c r="D55" s="574"/>
      <c r="E55" s="574"/>
      <c r="F55" s="575"/>
      <c r="G55" s="576">
        <f>H55/H39</f>
        <v>184.57137971741176</v>
      </c>
      <c r="H55" s="577">
        <f>H54+H51</f>
        <v>95977.117453054118</v>
      </c>
      <c r="I55" s="505"/>
      <c r="J55" s="480"/>
      <c r="K55" s="569" t="s">
        <v>196</v>
      </c>
      <c r="L55" s="538"/>
      <c r="M55" s="538"/>
      <c r="N55" s="570">
        <v>0.22</v>
      </c>
      <c r="O55" s="477"/>
      <c r="P55" s="571"/>
      <c r="Q55" s="480">
        <f>N55*Q52</f>
        <v>19783.696540355759</v>
      </c>
      <c r="R55" s="572"/>
      <c r="AG55" s="578"/>
      <c r="AH55" s="480"/>
      <c r="AI55" s="579"/>
      <c r="AJ55" s="479"/>
      <c r="AK55" s="479"/>
      <c r="AL55" s="493"/>
    </row>
    <row r="56" spans="2:38">
      <c r="B56" s="492"/>
      <c r="C56" s="479"/>
      <c r="D56" s="479"/>
      <c r="E56" s="479"/>
      <c r="F56" s="480"/>
      <c r="G56" s="580"/>
      <c r="H56" s="480"/>
      <c r="I56" s="505"/>
      <c r="J56" s="480"/>
      <c r="K56" s="573" t="s">
        <v>198</v>
      </c>
      <c r="L56" s="574"/>
      <c r="M56" s="574"/>
      <c r="N56" s="574"/>
      <c r="O56" s="575"/>
      <c r="P56" s="576">
        <f>Q56/Q39</f>
        <v>210.97998058771</v>
      </c>
      <c r="Q56" s="577">
        <f>Q55+Q52</f>
        <v>109709.5899056092</v>
      </c>
      <c r="R56" s="505"/>
      <c r="AG56" s="578"/>
      <c r="AH56" s="480"/>
      <c r="AI56" s="3370" t="s">
        <v>403</v>
      </c>
      <c r="AJ56" s="3370"/>
      <c r="AK56" s="3370"/>
      <c r="AL56" s="581"/>
    </row>
    <row r="57" spans="2:38">
      <c r="B57" s="492" t="s">
        <v>313</v>
      </c>
      <c r="C57" s="479"/>
      <c r="D57" s="479"/>
      <c r="E57" s="479"/>
      <c r="F57" s="480"/>
      <c r="G57" s="530">
        <f>'[8]DMH Facil Base Resp FY09UFRData'!$GW$24</f>
        <v>46.906525641025638</v>
      </c>
      <c r="H57" s="480">
        <f>G57*H39</f>
        <v>24391.393333333333</v>
      </c>
      <c r="I57" s="582"/>
      <c r="J57" s="480"/>
      <c r="K57" s="492"/>
      <c r="L57" s="479"/>
      <c r="M57" s="479"/>
      <c r="N57" s="479"/>
      <c r="P57" s="580"/>
      <c r="R57" s="505"/>
      <c r="S57" s="552"/>
      <c r="T57" s="552"/>
      <c r="U57" s="552"/>
      <c r="V57" s="552"/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65"/>
      <c r="AH57" s="583" t="s">
        <v>404</v>
      </c>
      <c r="AI57" s="584" t="s">
        <v>405</v>
      </c>
      <c r="AJ57" s="585" t="s">
        <v>406</v>
      </c>
      <c r="AK57" s="479"/>
      <c r="AL57" s="586"/>
    </row>
    <row r="58" spans="2:38">
      <c r="B58" s="492" t="s">
        <v>407</v>
      </c>
      <c r="C58" s="479"/>
      <c r="D58" s="479"/>
      <c r="E58" s="479"/>
      <c r="F58" s="480"/>
      <c r="G58" s="530">
        <f>$AI$29</f>
        <v>10.77351598173516</v>
      </c>
      <c r="H58" s="480">
        <f>G58*H39</f>
        <v>5602.2283105022834</v>
      </c>
      <c r="I58" s="505"/>
      <c r="J58" s="480"/>
      <c r="K58" s="492" t="s">
        <v>313</v>
      </c>
      <c r="L58" s="479"/>
      <c r="M58" s="479"/>
      <c r="N58" s="479"/>
      <c r="P58" s="530">
        <f>'[8]DMH Facil Base Resp FY09UFRData'!$GW$24</f>
        <v>46.906525641025638</v>
      </c>
      <c r="Q58" s="480">
        <f>P58*Q39</f>
        <v>24391.393333333333</v>
      </c>
      <c r="R58" s="582"/>
      <c r="AG58" s="547" t="s">
        <v>195</v>
      </c>
      <c r="AH58" s="548"/>
      <c r="AI58" s="480"/>
      <c r="AJ58" s="479"/>
      <c r="AK58" s="479"/>
      <c r="AL58" s="493"/>
    </row>
    <row r="59" spans="2:38">
      <c r="B59" s="492"/>
      <c r="C59" s="479"/>
      <c r="D59" s="479"/>
      <c r="E59" s="479"/>
      <c r="F59" s="480"/>
      <c r="G59" s="587">
        <f>SUM(G57:G58)</f>
        <v>57.680041622760797</v>
      </c>
      <c r="H59" s="480"/>
      <c r="I59" s="505"/>
      <c r="J59" s="480"/>
      <c r="K59" s="492" t="s">
        <v>407</v>
      </c>
      <c r="L59" s="479"/>
      <c r="M59" s="479"/>
      <c r="N59" s="479"/>
      <c r="P59" s="530">
        <f>$AI$29</f>
        <v>10.77351598173516</v>
      </c>
      <c r="Q59" s="480">
        <f>P59*Q39</f>
        <v>5602.2283105022834</v>
      </c>
      <c r="R59" s="505"/>
      <c r="AG59" s="588" t="s">
        <v>196</v>
      </c>
      <c r="AH59" s="479"/>
      <c r="AI59" s="589">
        <v>0.22</v>
      </c>
      <c r="AJ59" s="590"/>
      <c r="AK59" s="479"/>
      <c r="AL59" s="493"/>
    </row>
    <row r="60" spans="2:38">
      <c r="B60" s="591" t="s">
        <v>408</v>
      </c>
      <c r="C60" s="592"/>
      <c r="D60" s="592"/>
      <c r="E60" s="592"/>
      <c r="F60" s="561"/>
      <c r="G60" s="562"/>
      <c r="H60" s="561">
        <f>SUM(H55:H58)</f>
        <v>125970.73909688974</v>
      </c>
      <c r="I60" s="563"/>
      <c r="J60" s="484"/>
      <c r="K60" s="492"/>
      <c r="L60" s="479"/>
      <c r="M60" s="479"/>
      <c r="N60" s="479"/>
      <c r="P60" s="587">
        <f>SUM(P58:P59)</f>
        <v>57.680041622760797</v>
      </c>
      <c r="R60" s="505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588"/>
      <c r="AH60" s="479"/>
      <c r="AI60" s="589"/>
      <c r="AJ60" s="590"/>
      <c r="AK60" s="479"/>
      <c r="AL60" s="493"/>
    </row>
    <row r="61" spans="2:38">
      <c r="B61" s="492" t="s">
        <v>315</v>
      </c>
      <c r="C61" s="479"/>
      <c r="D61" s="479"/>
      <c r="E61" s="593">
        <v>0.11</v>
      </c>
      <c r="F61" s="491"/>
      <c r="G61" s="594"/>
      <c r="H61" s="480">
        <f>E61*H60</f>
        <v>13856.781300657871</v>
      </c>
      <c r="I61" s="595"/>
      <c r="J61" s="480"/>
      <c r="K61" s="591" t="s">
        <v>408</v>
      </c>
      <c r="L61" s="592"/>
      <c r="M61" s="592"/>
      <c r="N61" s="592"/>
      <c r="O61" s="561"/>
      <c r="P61" s="562"/>
      <c r="Q61" s="561">
        <f>SUM(Q56:Q59)</f>
        <v>139703.21154944482</v>
      </c>
      <c r="R61" s="563"/>
      <c r="AG61" s="492" t="s">
        <v>313</v>
      </c>
      <c r="AH61" s="479"/>
      <c r="AI61" s="596">
        <f>'[8]DMH Facil Base Resp FY09UFRData'!$HS$18</f>
        <v>20.56095890410959</v>
      </c>
      <c r="AJ61" s="530"/>
      <c r="AK61" s="479"/>
      <c r="AL61" s="493"/>
    </row>
    <row r="62" spans="2:38" s="491" customFormat="1" ht="15" customHeight="1" thickBot="1">
      <c r="B62" s="597" t="s">
        <v>203</v>
      </c>
      <c r="C62" s="598"/>
      <c r="D62" s="598"/>
      <c r="E62" s="598"/>
      <c r="F62" s="599"/>
      <c r="G62" s="600"/>
      <c r="H62" s="601">
        <f>SUM(H60:H61)</f>
        <v>139827.5203975476</v>
      </c>
      <c r="I62" s="563"/>
      <c r="J62" s="484"/>
      <c r="K62" s="492" t="s">
        <v>315</v>
      </c>
      <c r="L62" s="479"/>
      <c r="M62" s="479"/>
      <c r="N62" s="593">
        <v>0.11</v>
      </c>
      <c r="P62" s="594"/>
      <c r="Q62" s="480">
        <f>N62*Q61</f>
        <v>15367.353270438931</v>
      </c>
      <c r="R62" s="595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92" t="s">
        <v>407</v>
      </c>
      <c r="AH62" s="479"/>
      <c r="AI62" s="596">
        <f>'[8]DMH Facil Base Resp FY09UFRData'!$HT$18</f>
        <v>10.77351598173516</v>
      </c>
      <c r="AJ62" s="530"/>
      <c r="AK62" s="479"/>
      <c r="AL62" s="602"/>
    </row>
    <row r="63" spans="2:38" s="491" customFormat="1" ht="14.25" thickTop="1" thickBot="1">
      <c r="B63" s="547"/>
      <c r="C63" s="548"/>
      <c r="D63" s="548"/>
      <c r="E63" s="548"/>
      <c r="F63" s="507"/>
      <c r="G63" s="603"/>
      <c r="H63" s="484"/>
      <c r="I63" s="563"/>
      <c r="J63" s="507"/>
      <c r="K63" s="597" t="s">
        <v>203</v>
      </c>
      <c r="L63" s="598"/>
      <c r="M63" s="598"/>
      <c r="N63" s="598"/>
      <c r="O63" s="599"/>
      <c r="P63" s="600"/>
      <c r="Q63" s="601">
        <f>SUM(Q61:Q62)</f>
        <v>155070.56481988376</v>
      </c>
      <c r="R63" s="563"/>
      <c r="S63" s="507"/>
      <c r="T63" s="507"/>
      <c r="U63" s="507"/>
      <c r="V63" s="507"/>
      <c r="W63" s="507"/>
      <c r="X63" s="507"/>
      <c r="Y63" s="507"/>
      <c r="Z63" s="507"/>
      <c r="AA63" s="507"/>
      <c r="AB63" s="507"/>
      <c r="AC63" s="507"/>
      <c r="AD63" s="507"/>
      <c r="AE63" s="507"/>
      <c r="AF63" s="507"/>
      <c r="AG63" s="604" t="s">
        <v>408</v>
      </c>
      <c r="AH63" s="605"/>
      <c r="AI63" s="606">
        <f>SUM(AI61,AI62)</f>
        <v>31.334474885844749</v>
      </c>
      <c r="AJ63" s="530"/>
      <c r="AK63" s="479"/>
      <c r="AL63" s="493"/>
    </row>
    <row r="64" spans="2:38" s="608" customFormat="1" ht="13.5" thickTop="1">
      <c r="B64" s="547"/>
      <c r="C64" s="548"/>
      <c r="D64" s="548"/>
      <c r="E64" s="548"/>
      <c r="F64" s="507"/>
      <c r="G64" s="603"/>
      <c r="H64" s="484"/>
      <c r="I64" s="563"/>
      <c r="J64" s="607"/>
      <c r="K64" s="547"/>
      <c r="L64" s="548"/>
      <c r="M64" s="548"/>
      <c r="N64" s="548"/>
      <c r="O64" s="507"/>
      <c r="P64" s="603"/>
      <c r="Q64" s="484"/>
      <c r="R64" s="563"/>
      <c r="AG64" s="578"/>
      <c r="AH64" s="609"/>
      <c r="AI64" s="610"/>
      <c r="AJ64" s="611"/>
      <c r="AK64" s="564"/>
      <c r="AL64" s="493"/>
    </row>
    <row r="65" spans="2:38" s="608" customFormat="1" ht="13.5" thickBot="1">
      <c r="B65" s="612" t="s">
        <v>318</v>
      </c>
      <c r="C65" s="613"/>
      <c r="D65" s="613"/>
      <c r="E65" s="613"/>
      <c r="F65" s="613"/>
      <c r="G65" s="613"/>
      <c r="H65" s="614">
        <f>H62/H39</f>
        <v>268.89907768759156</v>
      </c>
      <c r="I65" s="615"/>
      <c r="J65" s="607"/>
      <c r="K65" s="612" t="s">
        <v>318</v>
      </c>
      <c r="L65" s="613"/>
      <c r="M65" s="613"/>
      <c r="N65" s="613"/>
      <c r="O65" s="613"/>
      <c r="P65" s="613"/>
      <c r="Q65" s="614">
        <f>Q63/Q39</f>
        <v>298.21262465362264</v>
      </c>
      <c r="R65" s="615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616" t="s">
        <v>201</v>
      </c>
      <c r="AH65" s="617"/>
      <c r="AI65" s="618">
        <v>0.11</v>
      </c>
      <c r="AJ65" s="617"/>
      <c r="AK65" s="617"/>
      <c r="AL65" s="619"/>
    </row>
    <row r="66" spans="2:38" ht="13.5" thickBot="1">
      <c r="B66" s="612" t="s">
        <v>205</v>
      </c>
      <c r="C66" s="613"/>
      <c r="D66" s="613"/>
      <c r="E66" s="590">
        <v>3.27E-2</v>
      </c>
      <c r="G66" s="613"/>
      <c r="H66" s="614"/>
      <c r="I66" s="493" t="s">
        <v>347</v>
      </c>
      <c r="K66" s="612" t="s">
        <v>205</v>
      </c>
      <c r="L66" s="613"/>
      <c r="M66" s="613"/>
      <c r="N66" s="590">
        <v>3.27E-2</v>
      </c>
      <c r="O66" s="477"/>
      <c r="P66" s="613"/>
      <c r="Q66" s="614"/>
      <c r="R66" s="493" t="s">
        <v>347</v>
      </c>
      <c r="S66" s="614"/>
      <c r="T66" s="614"/>
      <c r="U66" s="614"/>
      <c r="V66" s="614"/>
      <c r="W66" s="614"/>
      <c r="X66" s="614"/>
      <c r="Y66" s="614"/>
      <c r="Z66" s="614"/>
      <c r="AA66" s="614"/>
      <c r="AB66" s="614"/>
      <c r="AC66" s="614"/>
      <c r="AD66" s="614"/>
      <c r="AE66" s="614"/>
      <c r="AF66" s="614"/>
    </row>
    <row r="67" spans="2:38" ht="13.5" thickBot="1">
      <c r="B67" s="620" t="s">
        <v>409</v>
      </c>
      <c r="C67" s="621"/>
      <c r="D67" s="621"/>
      <c r="E67" s="621"/>
      <c r="F67" s="626">
        <v>0.85</v>
      </c>
      <c r="G67" s="623"/>
      <c r="H67" s="624">
        <f>H$62/(H$39*F67)</f>
        <v>316.35185610304887</v>
      </c>
      <c r="I67" s="634">
        <f>H67*(1+E$66)</f>
        <v>326.69656179761853</v>
      </c>
      <c r="J67" s="415"/>
      <c r="K67" s="620" t="s">
        <v>409</v>
      </c>
      <c r="L67" s="621"/>
      <c r="M67" s="621"/>
      <c r="N67" s="621"/>
      <c r="O67" s="626">
        <v>0.85</v>
      </c>
      <c r="P67" s="623"/>
      <c r="Q67" s="624">
        <f>Q$63/(Q$39*O67)</f>
        <v>350.83838194543836</v>
      </c>
      <c r="R67" s="634">
        <f>Q67*(1+E$66)</f>
        <v>362.31079703505418</v>
      </c>
      <c r="S67" s="614"/>
      <c r="T67" s="614"/>
      <c r="U67" s="614"/>
      <c r="V67" s="614"/>
      <c r="W67" s="614"/>
      <c r="X67" s="614"/>
      <c r="Y67" s="614"/>
      <c r="Z67" s="614"/>
      <c r="AA67" s="614"/>
      <c r="AB67" s="614"/>
      <c r="AC67" s="614"/>
      <c r="AD67" s="614"/>
      <c r="AE67" s="614"/>
      <c r="AF67" s="614"/>
    </row>
    <row r="68" spans="2:38" ht="13.5" thickBot="1">
      <c r="B68" s="620" t="s">
        <v>409</v>
      </c>
      <c r="C68" s="621"/>
      <c r="D68" s="621"/>
      <c r="E68" s="621"/>
      <c r="F68" s="626">
        <v>0.95</v>
      </c>
      <c r="G68" s="623"/>
      <c r="H68" s="624">
        <f>H$62/(H$39*F68)</f>
        <v>283.05166072378057</v>
      </c>
      <c r="I68" s="627">
        <f>H68*(1+E66)</f>
        <v>292.3074500294482</v>
      </c>
      <c r="J68" s="415"/>
      <c r="K68" s="620" t="s">
        <v>409</v>
      </c>
      <c r="L68" s="621"/>
      <c r="M68" s="621"/>
      <c r="N68" s="621"/>
      <c r="O68" s="626">
        <v>0.95</v>
      </c>
      <c r="P68" s="623"/>
      <c r="Q68" s="624">
        <f>Q$63/(Q$39*O68)</f>
        <v>313.90802595118168</v>
      </c>
      <c r="R68" s="627">
        <f>Q68*(1+N66)</f>
        <v>324.17281839978529</v>
      </c>
      <c r="S68" s="614"/>
      <c r="T68" s="614"/>
      <c r="U68" s="614"/>
      <c r="V68" s="614"/>
      <c r="W68" s="614"/>
      <c r="X68" s="614"/>
      <c r="Y68" s="614"/>
      <c r="Z68" s="614"/>
      <c r="AA68" s="614"/>
      <c r="AB68" s="614"/>
      <c r="AC68" s="614"/>
      <c r="AD68" s="614"/>
      <c r="AE68" s="614"/>
      <c r="AF68" s="614"/>
    </row>
    <row r="69" spans="2:38" ht="13.5" thickBot="1">
      <c r="K69" s="613"/>
      <c r="L69" s="613"/>
      <c r="M69" s="613"/>
      <c r="N69" s="613"/>
      <c r="O69" s="635"/>
      <c r="Q69" s="614"/>
      <c r="R69" s="614"/>
    </row>
    <row r="70" spans="2:38">
      <c r="B70" s="636" t="s">
        <v>354</v>
      </c>
      <c r="C70" s="528"/>
      <c r="D70" s="527"/>
      <c r="E70" s="528"/>
      <c r="F70" s="529"/>
      <c r="G70" s="530"/>
      <c r="H70" s="480"/>
      <c r="I70" s="614"/>
      <c r="K70" s="3371" t="s">
        <v>415</v>
      </c>
      <c r="L70" s="3372"/>
      <c r="M70" s="3372"/>
      <c r="N70" s="3372"/>
      <c r="O70" s="3372"/>
      <c r="P70" s="3372"/>
      <c r="Q70" s="3372"/>
      <c r="R70" s="483"/>
    </row>
    <row r="71" spans="2:38">
      <c r="B71" s="636"/>
      <c r="C71" s="528"/>
      <c r="D71" s="527"/>
      <c r="E71" s="528"/>
      <c r="F71" s="529"/>
      <c r="G71" s="530"/>
      <c r="H71" s="480"/>
      <c r="I71" s="614"/>
      <c r="K71" s="492"/>
      <c r="L71" s="479"/>
      <c r="M71" s="479"/>
      <c r="N71" s="479"/>
      <c r="O71" s="479"/>
      <c r="P71" s="479"/>
      <c r="Q71" s="479"/>
      <c r="R71" s="493"/>
    </row>
    <row r="72" spans="2:38">
      <c r="B72" s="636" t="s">
        <v>416</v>
      </c>
      <c r="C72" s="528"/>
      <c r="D72" s="527"/>
      <c r="E72" s="528"/>
      <c r="F72" s="529"/>
      <c r="G72" s="530"/>
      <c r="H72" s="480"/>
      <c r="I72" s="510"/>
      <c r="K72" s="499" t="s">
        <v>380</v>
      </c>
      <c r="L72" s="500">
        <v>5</v>
      </c>
      <c r="M72" s="500"/>
      <c r="N72" s="500"/>
      <c r="O72" s="501" t="s">
        <v>381</v>
      </c>
      <c r="P72" s="502">
        <v>104</v>
      </c>
      <c r="Q72" s="494">
        <f>P72*L72</f>
        <v>520</v>
      </c>
      <c r="R72" s="503"/>
    </row>
    <row r="73" spans="2:38">
      <c r="B73" s="636" t="s">
        <v>417</v>
      </c>
      <c r="C73" s="528"/>
      <c r="D73" s="527"/>
      <c r="E73" s="528"/>
      <c r="F73" s="529"/>
      <c r="G73" s="530"/>
      <c r="H73" s="480"/>
      <c r="I73" s="479"/>
      <c r="K73" s="499"/>
      <c r="L73" s="504"/>
      <c r="M73" s="504"/>
      <c r="N73" s="504"/>
      <c r="O73" s="501"/>
      <c r="P73" s="502"/>
      <c r="Q73" s="494"/>
      <c r="R73" s="503"/>
    </row>
    <row r="74" spans="2:38">
      <c r="K74" s="499"/>
      <c r="L74" s="504"/>
      <c r="M74" s="504"/>
      <c r="N74" s="504"/>
      <c r="O74" s="506"/>
      <c r="P74" s="502"/>
      <c r="Q74" s="494"/>
      <c r="R74" s="503"/>
    </row>
    <row r="75" spans="2:38" ht="38.25">
      <c r="K75" s="547"/>
      <c r="L75" s="514" t="s">
        <v>384</v>
      </c>
      <c r="M75" s="514" t="s">
        <v>385</v>
      </c>
      <c r="N75" s="548" t="s">
        <v>386</v>
      </c>
      <c r="O75" s="507" t="s">
        <v>342</v>
      </c>
      <c r="P75" s="567" t="s">
        <v>190</v>
      </c>
      <c r="Q75" s="507" t="s">
        <v>343</v>
      </c>
      <c r="R75" s="568"/>
    </row>
    <row r="76" spans="2:38">
      <c r="K76" s="525" t="s">
        <v>388</v>
      </c>
      <c r="L76" s="528">
        <v>8</v>
      </c>
      <c r="M76" s="527">
        <v>2</v>
      </c>
      <c r="N76" s="528"/>
      <c r="O76" s="529">
        <f>$AJ$16</f>
        <v>42800.446974880258</v>
      </c>
      <c r="P76" s="530">
        <f>(L72/L76)*(2/5)</f>
        <v>0.25</v>
      </c>
      <c r="Q76" s="480">
        <f>O76*P76</f>
        <v>10700.111743720065</v>
      </c>
      <c r="R76" s="505"/>
    </row>
    <row r="77" spans="2:38">
      <c r="K77" s="525" t="s">
        <v>390</v>
      </c>
      <c r="L77" s="528">
        <v>10</v>
      </c>
      <c r="M77" s="527">
        <v>2</v>
      </c>
      <c r="N77" s="528"/>
      <c r="O77" s="529">
        <f>$AJ$18</f>
        <v>56280.624805553671</v>
      </c>
      <c r="P77" s="530">
        <f>(L72/L77)*(2/5)</f>
        <v>0.2</v>
      </c>
      <c r="Q77" s="480">
        <f>O77*P77</f>
        <v>11256.124961110734</v>
      </c>
      <c r="R77" s="505"/>
    </row>
    <row r="78" spans="2:38">
      <c r="K78" s="525" t="s">
        <v>412</v>
      </c>
      <c r="L78" s="528">
        <v>2</v>
      </c>
      <c r="M78" s="527">
        <v>2</v>
      </c>
      <c r="N78" s="528"/>
      <c r="O78" s="529">
        <f>$AJ$19</f>
        <v>24920.069035224478</v>
      </c>
      <c r="P78" s="530">
        <f>ROUNDUP((L$72/L78),0)*(M78/5)</f>
        <v>1.2000000000000002</v>
      </c>
      <c r="Q78" s="480">
        <f>O78*P78</f>
        <v>29904.082842269378</v>
      </c>
      <c r="R78" s="505"/>
    </row>
    <row r="79" spans="2:38">
      <c r="K79" s="525" t="s">
        <v>413</v>
      </c>
      <c r="L79" s="528">
        <v>2</v>
      </c>
      <c r="M79" s="527">
        <v>2</v>
      </c>
      <c r="N79" s="528"/>
      <c r="O79" s="529">
        <f>$AJ$19</f>
        <v>24920.069035224478</v>
      </c>
      <c r="P79" s="530">
        <f>ROUNDUP((L$72/L79),0)*(M79/5)</f>
        <v>1.2000000000000002</v>
      </c>
      <c r="Q79" s="480">
        <f>O79*P79</f>
        <v>29904.082842269378</v>
      </c>
      <c r="R79" s="505"/>
    </row>
    <row r="80" spans="2:38">
      <c r="K80" s="525" t="s">
        <v>414</v>
      </c>
      <c r="L80" s="528">
        <v>2</v>
      </c>
      <c r="M80" s="527">
        <v>2</v>
      </c>
      <c r="N80" s="528"/>
      <c r="O80" s="529">
        <f>$AJ$19</f>
        <v>24920.069035224478</v>
      </c>
      <c r="P80" s="530">
        <f>ROUNDUP((L$72/L80),0)*(M80/5)</f>
        <v>1.2000000000000002</v>
      </c>
      <c r="Q80" s="480">
        <f>O80*P80</f>
        <v>29904.082842269378</v>
      </c>
      <c r="R80" s="505"/>
    </row>
    <row r="81" spans="11:18">
      <c r="K81" s="525"/>
      <c r="L81" s="528"/>
      <c r="M81" s="527"/>
      <c r="N81" s="528"/>
      <c r="O81" s="529"/>
      <c r="P81" s="530"/>
      <c r="R81" s="505"/>
    </row>
    <row r="82" spans="11:18">
      <c r="K82" s="525" t="s">
        <v>397</v>
      </c>
      <c r="L82" s="491"/>
      <c r="M82" s="491"/>
      <c r="N82" s="551">
        <f>$AQ$9</f>
        <v>9.6153846153846159E-2</v>
      </c>
      <c r="O82" s="529">
        <f>$AJ$19</f>
        <v>24920.069035224478</v>
      </c>
      <c r="P82" s="530">
        <f>SUM(P78:P80)*N82</f>
        <v>0.3461538461538462</v>
      </c>
      <c r="Q82" s="480">
        <f>O82*P82</f>
        <v>8626.1777429623198</v>
      </c>
      <c r="R82" s="505"/>
    </row>
    <row r="83" spans="11:18">
      <c r="K83" s="525"/>
      <c r="L83" s="491"/>
      <c r="M83" s="491"/>
      <c r="N83" s="551"/>
      <c r="O83" s="529"/>
      <c r="P83" s="530"/>
      <c r="R83" s="505"/>
    </row>
    <row r="84" spans="11:18">
      <c r="K84" s="554" t="s">
        <v>399</v>
      </c>
      <c r="L84" s="555">
        <v>25</v>
      </c>
      <c r="M84" s="632">
        <v>2</v>
      </c>
      <c r="N84" s="556"/>
      <c r="O84" s="529">
        <f>$AJ$21</f>
        <v>30133.822673862582</v>
      </c>
      <c r="P84" s="530">
        <f>(L72/L84)*(2/5)</f>
        <v>8.0000000000000016E-2</v>
      </c>
      <c r="Q84" s="480">
        <f>O84*P84</f>
        <v>2410.7058139090068</v>
      </c>
      <c r="R84" s="505"/>
    </row>
    <row r="85" spans="11:18">
      <c r="K85" s="558" t="s">
        <v>194</v>
      </c>
      <c r="L85" s="559"/>
      <c r="M85" s="633"/>
      <c r="N85" s="560"/>
      <c r="O85" s="561"/>
      <c r="P85" s="562">
        <f>SUM(P76:P84)</f>
        <v>4.4761538461538466</v>
      </c>
      <c r="Q85" s="561">
        <f>SUM(Q76:Q84)</f>
        <v>122705.36878851026</v>
      </c>
      <c r="R85" s="563"/>
    </row>
    <row r="86" spans="11:18">
      <c r="K86" s="565"/>
      <c r="L86" s="510"/>
      <c r="M86" s="510"/>
      <c r="N86" s="510"/>
      <c r="O86" s="484"/>
      <c r="P86" s="566"/>
      <c r="Q86" s="484"/>
      <c r="R86" s="563"/>
    </row>
    <row r="87" spans="11:18">
      <c r="K87" s="547" t="s">
        <v>195</v>
      </c>
      <c r="L87" s="548"/>
      <c r="M87" s="548"/>
      <c r="N87" s="548"/>
      <c r="O87" s="507"/>
      <c r="P87" s="567" t="s">
        <v>401</v>
      </c>
      <c r="Q87" s="507"/>
      <c r="R87" s="568"/>
    </row>
    <row r="88" spans="11:18">
      <c r="K88" s="569" t="s">
        <v>196</v>
      </c>
      <c r="L88" s="538"/>
      <c r="M88" s="538"/>
      <c r="N88" s="570">
        <v>0.22</v>
      </c>
      <c r="O88" s="477"/>
      <c r="P88" s="571"/>
      <c r="Q88" s="480">
        <f>N88*Q85</f>
        <v>26995.181133472255</v>
      </c>
      <c r="R88" s="572"/>
    </row>
    <row r="89" spans="11:18">
      <c r="K89" s="573" t="s">
        <v>198</v>
      </c>
      <c r="L89" s="574"/>
      <c r="M89" s="574"/>
      <c r="N89" s="574"/>
      <c r="O89" s="575"/>
      <c r="P89" s="576">
        <f>Q89/Q72</f>
        <v>287.88567292688947</v>
      </c>
      <c r="Q89" s="577">
        <f>Q88+Q85</f>
        <v>149700.54992198251</v>
      </c>
      <c r="R89" s="505"/>
    </row>
    <row r="90" spans="11:18">
      <c r="K90" s="492"/>
      <c r="L90" s="479"/>
      <c r="M90" s="479"/>
      <c r="N90" s="479"/>
      <c r="P90" s="580"/>
      <c r="R90" s="505"/>
    </row>
    <row r="91" spans="11:18">
      <c r="K91" s="492" t="s">
        <v>313</v>
      </c>
      <c r="L91" s="479"/>
      <c r="M91" s="479"/>
      <c r="N91" s="479"/>
      <c r="P91" s="530">
        <f>'[8]DMH Facil Base Resp FY09UFRData'!$GW$24</f>
        <v>46.906525641025638</v>
      </c>
      <c r="Q91" s="480">
        <f>P91*Q72</f>
        <v>24391.393333333333</v>
      </c>
      <c r="R91" s="582"/>
    </row>
    <row r="92" spans="11:18">
      <c r="K92" s="492" t="s">
        <v>407</v>
      </c>
      <c r="L92" s="479"/>
      <c r="M92" s="479"/>
      <c r="N92" s="479"/>
      <c r="P92" s="530">
        <f>$AI$29</f>
        <v>10.77351598173516</v>
      </c>
      <c r="Q92" s="480">
        <f>P92*Q72</f>
        <v>5602.2283105022834</v>
      </c>
      <c r="R92" s="505"/>
    </row>
    <row r="93" spans="11:18">
      <c r="K93" s="492"/>
      <c r="L93" s="479"/>
      <c r="M93" s="479"/>
      <c r="N93" s="479"/>
      <c r="P93" s="587">
        <f>SUM(P91:P92)</f>
        <v>57.680041622760797</v>
      </c>
      <c r="R93" s="505"/>
    </row>
    <row r="94" spans="11:18">
      <c r="K94" s="591" t="s">
        <v>408</v>
      </c>
      <c r="L94" s="592"/>
      <c r="M94" s="592"/>
      <c r="N94" s="592"/>
      <c r="O94" s="561"/>
      <c r="P94" s="562"/>
      <c r="Q94" s="561">
        <f>SUM(Q89:Q92)</f>
        <v>179694.17156581813</v>
      </c>
      <c r="R94" s="563"/>
    </row>
    <row r="95" spans="11:18">
      <c r="K95" s="492" t="s">
        <v>315</v>
      </c>
      <c r="L95" s="479"/>
      <c r="M95" s="479"/>
      <c r="N95" s="593">
        <v>0.11</v>
      </c>
      <c r="O95" s="491"/>
      <c r="P95" s="594"/>
      <c r="Q95" s="480">
        <f>N95*Q94</f>
        <v>19766.358872239995</v>
      </c>
      <c r="R95" s="595"/>
    </row>
    <row r="96" spans="11:18" ht="13.5" thickBot="1">
      <c r="K96" s="597" t="s">
        <v>203</v>
      </c>
      <c r="L96" s="598"/>
      <c r="M96" s="598"/>
      <c r="N96" s="598"/>
      <c r="O96" s="599"/>
      <c r="P96" s="600"/>
      <c r="Q96" s="601">
        <f>SUM(Q94:Q95)</f>
        <v>199460.53043805814</v>
      </c>
      <c r="R96" s="563"/>
    </row>
    <row r="97" spans="11:18" ht="13.5" thickTop="1">
      <c r="K97" s="547"/>
      <c r="L97" s="548"/>
      <c r="M97" s="548"/>
      <c r="N97" s="548"/>
      <c r="O97" s="507"/>
      <c r="P97" s="603"/>
      <c r="Q97" s="484"/>
      <c r="R97" s="563"/>
    </row>
    <row r="98" spans="11:18">
      <c r="K98" s="612" t="s">
        <v>318</v>
      </c>
      <c r="L98" s="613"/>
      <c r="M98" s="613"/>
      <c r="N98" s="613"/>
      <c r="O98" s="613"/>
      <c r="P98" s="613"/>
      <c r="Q98" s="614">
        <f>Q96/Q72</f>
        <v>383.57794315011182</v>
      </c>
      <c r="R98" s="615"/>
    </row>
    <row r="99" spans="11:18" ht="13.5" thickBot="1">
      <c r="K99" s="612" t="s">
        <v>205</v>
      </c>
      <c r="L99" s="613"/>
      <c r="M99" s="613"/>
      <c r="N99" s="590">
        <v>3.27E-2</v>
      </c>
      <c r="O99" s="477"/>
      <c r="P99" s="613"/>
      <c r="Q99" s="614"/>
      <c r="R99" s="493" t="s">
        <v>347</v>
      </c>
    </row>
    <row r="100" spans="11:18" ht="13.5" thickBot="1">
      <c r="K100" s="620" t="s">
        <v>409</v>
      </c>
      <c r="L100" s="621"/>
      <c r="M100" s="621"/>
      <c r="N100" s="621"/>
      <c r="O100" s="626">
        <v>0.85</v>
      </c>
      <c r="P100" s="623"/>
      <c r="Q100" s="624">
        <f>Q96/(Q72*O100)</f>
        <v>451.26816841189623</v>
      </c>
      <c r="R100" s="627">
        <f>Q100*(1+N99)</f>
        <v>466.02463751896522</v>
      </c>
    </row>
    <row r="101" spans="11:18" ht="13.5" thickBot="1">
      <c r="K101" s="620" t="s">
        <v>409</v>
      </c>
      <c r="L101" s="621"/>
      <c r="M101" s="621"/>
      <c r="N101" s="621"/>
      <c r="O101" s="626">
        <v>0.95</v>
      </c>
      <c r="P101" s="623"/>
      <c r="Q101" s="624">
        <f>Q96/(Q72*O101)</f>
        <v>403.76625594748612</v>
      </c>
      <c r="R101" s="627">
        <f>Q101*(1+N99)</f>
        <v>416.96941251696887</v>
      </c>
    </row>
  </sheetData>
  <customSheetViews>
    <customSheetView guid="{4C1AD9FE-DB97-4D30-8CF1-D476DD376A5A}" scale="75" state="hidden">
      <selection activeCell="Y38" sqref="Y38"/>
      <pageMargins left="0.17" right="0.17" top="0.4" bottom="0.49" header="0.34" footer="0.5"/>
      <printOptions gridLines="1"/>
      <pageSetup scale="50" fitToHeight="5" orientation="landscape" r:id="rId1"/>
      <headerFooter alignWithMargins="0">
        <oddHeader>&amp;F</oddHeader>
        <oddFooter>&amp;LDRAFT&amp;RPage 7</oddFooter>
      </headerFooter>
    </customSheetView>
    <customSheetView guid="{6A16E15D-0E79-4250-8AEC-339F57F63027}" scale="75" showPageBreaks="1" printArea="1" state="hidden">
      <selection activeCell="Y38" sqref="Y38"/>
      <pageMargins left="0.17" right="0.17" top="0.4" bottom="0.49" header="0.34" footer="0.5"/>
      <printOptions gridLines="1"/>
      <pageSetup scale="50" fitToHeight="5" orientation="landscape" r:id="rId2"/>
      <headerFooter alignWithMargins="0">
        <oddHeader>&amp;F</oddHeader>
        <oddFooter>&amp;LDRAFT&amp;RPage 7</oddFooter>
      </headerFooter>
    </customSheetView>
  </customSheetViews>
  <mergeCells count="9">
    <mergeCell ref="AI56:AK56"/>
    <mergeCell ref="K70:Q70"/>
    <mergeCell ref="B3:H3"/>
    <mergeCell ref="K3:Q3"/>
    <mergeCell ref="L13:L14"/>
    <mergeCell ref="C14:C15"/>
    <mergeCell ref="AI23:AK23"/>
    <mergeCell ref="B37:H37"/>
    <mergeCell ref="K37:Q37"/>
  </mergeCells>
  <printOptions gridLines="1"/>
  <pageMargins left="0.17" right="0.17" top="0.4" bottom="0.49" header="0.34" footer="0.5"/>
  <pageSetup scale="50" fitToHeight="5" orientation="landscape" r:id="rId3"/>
  <headerFooter alignWithMargins="0">
    <oddHeader>&amp;F</oddHeader>
    <oddFooter>&amp;LDRAFT&amp;RPage 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2:M48"/>
  <sheetViews>
    <sheetView workbookViewId="0">
      <selection activeCell="K35" sqref="K35"/>
    </sheetView>
  </sheetViews>
  <sheetFormatPr defaultRowHeight="15"/>
  <cols>
    <col min="4" max="4" width="4" bestFit="1" customWidth="1"/>
    <col min="5" max="5" width="43" bestFit="1" customWidth="1"/>
    <col min="6" max="6" width="11.5703125" bestFit="1" customWidth="1"/>
    <col min="7" max="7" width="22.140625" bestFit="1" customWidth="1"/>
    <col min="8" max="8" width="11.5703125" bestFit="1" customWidth="1"/>
    <col min="10" max="10" width="22" bestFit="1" customWidth="1"/>
    <col min="11" max="11" width="29" bestFit="1" customWidth="1"/>
    <col min="12" max="12" width="11.5703125" bestFit="1" customWidth="1"/>
    <col min="13" max="13" width="36.7109375" bestFit="1" customWidth="1"/>
  </cols>
  <sheetData>
    <row r="2" spans="4:13" ht="15.75" thickBot="1"/>
    <row r="3" spans="4:13" ht="15.75" thickBot="1">
      <c r="D3" s="3374" t="s">
        <v>733</v>
      </c>
      <c r="E3" s="3375"/>
      <c r="F3" s="3375"/>
      <c r="G3" s="3376"/>
      <c r="J3" s="3377" t="s">
        <v>1133</v>
      </c>
      <c r="K3" s="3378"/>
      <c r="L3" s="3378"/>
      <c r="M3" s="3379"/>
    </row>
    <row r="4" spans="4:13">
      <c r="D4" s="31" t="s">
        <v>661</v>
      </c>
      <c r="E4" s="11" t="s">
        <v>660</v>
      </c>
      <c r="F4" s="1507">
        <v>5155.4902174195804</v>
      </c>
      <c r="G4" s="38" t="s">
        <v>744</v>
      </c>
      <c r="J4" s="31" t="s">
        <v>737</v>
      </c>
      <c r="K4" s="11" t="s">
        <v>233</v>
      </c>
      <c r="L4" s="2039">
        <v>48426.278050541601</v>
      </c>
      <c r="M4" s="38" t="s">
        <v>743</v>
      </c>
    </row>
    <row r="5" spans="4:13">
      <c r="D5" s="31" t="s">
        <v>662</v>
      </c>
      <c r="E5" s="11" t="s">
        <v>663</v>
      </c>
      <c r="F5" s="1507">
        <v>10468.742100319956</v>
      </c>
      <c r="G5" s="38" t="s">
        <v>744</v>
      </c>
      <c r="J5" s="31" t="s">
        <v>737</v>
      </c>
      <c r="K5" s="11" t="s">
        <v>260</v>
      </c>
      <c r="L5" s="2039">
        <v>86225.376123673603</v>
      </c>
      <c r="M5" s="38" t="s">
        <v>743</v>
      </c>
    </row>
    <row r="6" spans="4:13">
      <c r="D6" s="37" t="s">
        <v>664</v>
      </c>
      <c r="E6" s="11" t="s">
        <v>673</v>
      </c>
      <c r="F6" s="1507">
        <v>178.16741415351552</v>
      </c>
      <c r="G6" s="38" t="s">
        <v>744</v>
      </c>
      <c r="J6" s="31" t="s">
        <v>737</v>
      </c>
      <c r="K6" s="11" t="s">
        <v>255</v>
      </c>
      <c r="L6" s="2039">
        <v>61544.592876308947</v>
      </c>
      <c r="M6" s="38" t="s">
        <v>743</v>
      </c>
    </row>
    <row r="7" spans="4:13">
      <c r="D7" s="37" t="s">
        <v>665</v>
      </c>
      <c r="E7" s="11" t="s">
        <v>674</v>
      </c>
      <c r="F7" s="1507">
        <v>1410.7821990248415</v>
      </c>
      <c r="G7" s="38" t="s">
        <v>744</v>
      </c>
      <c r="J7" s="31" t="s">
        <v>739</v>
      </c>
      <c r="K7" s="11" t="s">
        <v>423</v>
      </c>
      <c r="L7" s="2039">
        <v>32853.059256532943</v>
      </c>
      <c r="M7" s="38" t="s">
        <v>743</v>
      </c>
    </row>
    <row r="8" spans="4:13">
      <c r="D8" s="37" t="s">
        <v>666</v>
      </c>
      <c r="E8" s="11" t="s">
        <v>675</v>
      </c>
      <c r="F8" s="1507">
        <v>654.42852569297247</v>
      </c>
      <c r="G8" s="38" t="s">
        <v>744</v>
      </c>
      <c r="J8" s="31" t="s">
        <v>742</v>
      </c>
      <c r="K8" s="11" t="s">
        <v>388</v>
      </c>
      <c r="L8" s="2039">
        <v>47306.268678689732</v>
      </c>
      <c r="M8" s="38" t="s">
        <v>743</v>
      </c>
    </row>
    <row r="9" spans="4:13">
      <c r="D9" s="31" t="s">
        <v>667</v>
      </c>
      <c r="E9" s="11" t="s">
        <v>676</v>
      </c>
      <c r="F9" s="1507">
        <v>596.88798545698035</v>
      </c>
      <c r="G9" s="38" t="s">
        <v>744</v>
      </c>
      <c r="J9" s="31" t="s">
        <v>742</v>
      </c>
      <c r="K9" s="11" t="s">
        <v>399</v>
      </c>
      <c r="L9" s="2039">
        <v>33306.070298122926</v>
      </c>
      <c r="M9" s="38" t="s">
        <v>743</v>
      </c>
    </row>
    <row r="10" spans="4:13">
      <c r="D10" s="31" t="s">
        <v>668</v>
      </c>
      <c r="E10" s="11" t="s">
        <v>677</v>
      </c>
      <c r="F10" s="1507">
        <v>598.37895848380174</v>
      </c>
      <c r="G10" s="38" t="s">
        <v>744</v>
      </c>
      <c r="J10" s="31" t="s">
        <v>738</v>
      </c>
      <c r="K10" s="11" t="s">
        <v>215</v>
      </c>
      <c r="L10" s="2039">
        <v>28319.86713286713</v>
      </c>
      <c r="M10" s="38" t="s">
        <v>743</v>
      </c>
    </row>
    <row r="11" spans="4:13">
      <c r="D11" s="31" t="s">
        <v>669</v>
      </c>
      <c r="E11" s="11" t="s">
        <v>678</v>
      </c>
      <c r="F11" s="1507">
        <v>623.33791443422899</v>
      </c>
      <c r="G11" s="38" t="s">
        <v>744</v>
      </c>
      <c r="J11" s="31" t="s">
        <v>735</v>
      </c>
      <c r="K11" s="11" t="s">
        <v>192</v>
      </c>
      <c r="L11" s="2039">
        <v>42643.341158059469</v>
      </c>
      <c r="M11" s="38" t="s">
        <v>743</v>
      </c>
    </row>
    <row r="12" spans="4:13">
      <c r="D12" s="31" t="s">
        <v>670</v>
      </c>
      <c r="E12" s="11" t="s">
        <v>688</v>
      </c>
      <c r="F12" s="1507">
        <v>124.41845959415669</v>
      </c>
      <c r="G12" s="38" t="s">
        <v>744</v>
      </c>
      <c r="J12" s="31" t="s">
        <v>736</v>
      </c>
      <c r="K12" s="11" t="s">
        <v>192</v>
      </c>
      <c r="L12" s="2039">
        <v>43804.301439528885</v>
      </c>
      <c r="M12" s="38" t="s">
        <v>743</v>
      </c>
    </row>
    <row r="13" spans="4:13">
      <c r="D13" s="31" t="s">
        <v>671</v>
      </c>
      <c r="E13" s="11" t="s">
        <v>679</v>
      </c>
      <c r="F13" s="1507">
        <v>352.76328618725654</v>
      </c>
      <c r="G13" s="38" t="s">
        <v>744</v>
      </c>
      <c r="J13" s="31" t="s">
        <v>740</v>
      </c>
      <c r="K13" s="11" t="s">
        <v>192</v>
      </c>
      <c r="L13" s="2039">
        <v>38927.105263157893</v>
      </c>
      <c r="M13" s="38" t="s">
        <v>743</v>
      </c>
    </row>
    <row r="14" spans="4:13">
      <c r="D14" s="31" t="s">
        <v>672</v>
      </c>
      <c r="E14" s="11" t="s">
        <v>689</v>
      </c>
      <c r="F14" s="1507">
        <v>2679.7882784402441</v>
      </c>
      <c r="G14" s="38" t="s">
        <v>744</v>
      </c>
      <c r="J14" s="31" t="s">
        <v>735</v>
      </c>
      <c r="K14" s="11" t="s">
        <v>312</v>
      </c>
      <c r="L14" s="2039">
        <v>53304.17644757434</v>
      </c>
      <c r="M14" s="38" t="s">
        <v>743</v>
      </c>
    </row>
    <row r="15" spans="4:13">
      <c r="D15" s="31" t="s">
        <v>680</v>
      </c>
      <c r="E15" s="11" t="s">
        <v>690</v>
      </c>
      <c r="F15" s="1507">
        <v>3381.6042463134904</v>
      </c>
      <c r="G15" s="38" t="s">
        <v>744</v>
      </c>
      <c r="J15" s="31" t="s">
        <v>742</v>
      </c>
      <c r="K15" s="11" t="s">
        <v>390</v>
      </c>
      <c r="L15" s="2039">
        <v>62206.325726904674</v>
      </c>
      <c r="M15" s="38" t="s">
        <v>743</v>
      </c>
    </row>
    <row r="16" spans="4:13">
      <c r="D16" s="31" t="s">
        <v>681</v>
      </c>
      <c r="E16" s="11" t="s">
        <v>691</v>
      </c>
      <c r="F16" s="1507">
        <v>92</v>
      </c>
      <c r="G16" s="38" t="s">
        <v>744</v>
      </c>
      <c r="J16" s="31" t="s">
        <v>742</v>
      </c>
      <c r="K16" s="11" t="s">
        <v>400</v>
      </c>
      <c r="L16" s="2039">
        <v>28080</v>
      </c>
      <c r="M16" s="38" t="s">
        <v>743</v>
      </c>
    </row>
    <row r="17" spans="4:13">
      <c r="D17" s="31" t="s">
        <v>682</v>
      </c>
      <c r="E17" s="11" t="s">
        <v>685</v>
      </c>
      <c r="F17" s="1507">
        <v>799.70498223424943</v>
      </c>
      <c r="G17" s="38" t="s">
        <v>744</v>
      </c>
      <c r="J17" s="31" t="s">
        <v>742</v>
      </c>
      <c r="K17" s="11" t="s">
        <v>402</v>
      </c>
      <c r="L17" s="2039">
        <v>28080</v>
      </c>
      <c r="M17" s="38" t="s">
        <v>743</v>
      </c>
    </row>
    <row r="18" spans="4:13">
      <c r="D18" s="31" t="s">
        <v>683</v>
      </c>
      <c r="E18" s="11" t="s">
        <v>686</v>
      </c>
      <c r="F18" s="1507">
        <v>1572.2963237683009</v>
      </c>
      <c r="G18" s="38" t="s">
        <v>744</v>
      </c>
      <c r="J18" s="31" t="s">
        <v>736</v>
      </c>
      <c r="K18" s="11" t="s">
        <v>191</v>
      </c>
      <c r="L18" s="2039">
        <v>54755.376799411111</v>
      </c>
      <c r="M18" s="38" t="s">
        <v>743</v>
      </c>
    </row>
    <row r="19" spans="4:13" ht="15.75" thickBot="1">
      <c r="D19" s="1510" t="s">
        <v>684</v>
      </c>
      <c r="E19" s="1511" t="s">
        <v>687</v>
      </c>
      <c r="F19" s="2040">
        <v>8295.8372684852438</v>
      </c>
      <c r="G19" s="1509" t="s">
        <v>744</v>
      </c>
      <c r="J19" s="31" t="s">
        <v>738</v>
      </c>
      <c r="K19" s="11" t="s">
        <v>191</v>
      </c>
      <c r="L19" s="2039">
        <v>55264.265366212734</v>
      </c>
      <c r="M19" s="38" t="s">
        <v>743</v>
      </c>
    </row>
    <row r="20" spans="4:13">
      <c r="J20" s="31" t="s">
        <v>739</v>
      </c>
      <c r="K20" s="11" t="s">
        <v>191</v>
      </c>
      <c r="L20" s="2039">
        <v>54754.756348914241</v>
      </c>
      <c r="M20" s="38" t="s">
        <v>743</v>
      </c>
    </row>
    <row r="21" spans="4:13">
      <c r="J21" s="31" t="s">
        <v>740</v>
      </c>
      <c r="K21" s="11" t="s">
        <v>191</v>
      </c>
      <c r="L21" s="2039">
        <v>56758.893632683103</v>
      </c>
      <c r="M21" s="38" t="s">
        <v>743</v>
      </c>
    </row>
    <row r="22" spans="4:13">
      <c r="J22" s="31" t="s">
        <v>741</v>
      </c>
      <c r="K22" s="11" t="s">
        <v>191</v>
      </c>
      <c r="L22" s="2039">
        <v>37305.099742362901</v>
      </c>
      <c r="M22" s="38" t="s">
        <v>743</v>
      </c>
    </row>
    <row r="23" spans="4:13" ht="15.75" thickBot="1">
      <c r="J23" s="31" t="s">
        <v>740</v>
      </c>
      <c r="K23" s="11" t="s">
        <v>439</v>
      </c>
      <c r="L23" s="2039">
        <v>46689.927125506074</v>
      </c>
      <c r="M23" s="38" t="s">
        <v>743</v>
      </c>
    </row>
    <row r="24" spans="4:13" ht="15.75" thickBot="1">
      <c r="F24" s="3380" t="s">
        <v>1137</v>
      </c>
      <c r="G24" s="3381"/>
      <c r="J24" s="46" t="s">
        <v>656</v>
      </c>
      <c r="K24" s="47" t="s">
        <v>734</v>
      </c>
      <c r="L24" s="2041">
        <v>28080</v>
      </c>
      <c r="M24" s="1509" t="s">
        <v>743</v>
      </c>
    </row>
    <row r="25" spans="4:13">
      <c r="F25" s="2985" t="s">
        <v>1135</v>
      </c>
      <c r="G25" s="2983">
        <v>0.18442614410359565</v>
      </c>
    </row>
    <row r="26" spans="4:13" ht="15.75" thickBot="1">
      <c r="F26" s="2986" t="s">
        <v>1136</v>
      </c>
      <c r="G26" s="2984">
        <v>0.19609081588468302</v>
      </c>
      <c r="K26" t="s">
        <v>191</v>
      </c>
      <c r="L26" s="2087">
        <f>AVERAGE(L18:L21)</f>
        <v>55383.32303680529</v>
      </c>
      <c r="M26" t="s">
        <v>861</v>
      </c>
    </row>
    <row r="27" spans="4:13" ht="15.75" thickBot="1">
      <c r="K27" t="s">
        <v>831</v>
      </c>
      <c r="L27" s="2088">
        <v>31200</v>
      </c>
      <c r="M27" t="s">
        <v>1134</v>
      </c>
    </row>
    <row r="28" spans="4:13" ht="15.75" thickBot="1">
      <c r="F28" s="3380" t="s">
        <v>1138</v>
      </c>
      <c r="G28" s="3381"/>
      <c r="K28" t="s">
        <v>846</v>
      </c>
      <c r="L28" s="2088">
        <v>40107</v>
      </c>
      <c r="M28" t="s">
        <v>832</v>
      </c>
    </row>
    <row r="29" spans="4:13">
      <c r="F29" s="2985" t="s">
        <v>1135</v>
      </c>
      <c r="G29" s="2983">
        <v>0.12026463743091849</v>
      </c>
    </row>
    <row r="30" spans="4:13" ht="15.75" thickBot="1">
      <c r="F30" s="2986" t="s">
        <v>1136</v>
      </c>
      <c r="G30" s="2984">
        <v>0.11632768287543527</v>
      </c>
    </row>
    <row r="32" spans="4:13">
      <c r="H32" s="11"/>
      <c r="I32" s="11"/>
    </row>
    <row r="33" spans="8:9">
      <c r="H33" s="11"/>
      <c r="I33" s="11"/>
    </row>
    <row r="34" spans="8:9">
      <c r="H34" s="2868"/>
      <c r="I34" s="11"/>
    </row>
    <row r="35" spans="8:9">
      <c r="H35" s="11"/>
      <c r="I35" s="11"/>
    </row>
    <row r="36" spans="8:9">
      <c r="H36" s="11"/>
      <c r="I36" s="11"/>
    </row>
    <row r="37" spans="8:9">
      <c r="H37" s="11"/>
      <c r="I37" s="11"/>
    </row>
    <row r="38" spans="8:9">
      <c r="H38" s="11"/>
      <c r="I38" s="11"/>
    </row>
    <row r="39" spans="8:9">
      <c r="H39" s="11"/>
      <c r="I39" s="11"/>
    </row>
    <row r="40" spans="8:9">
      <c r="H40" s="11"/>
      <c r="I40" s="11"/>
    </row>
    <row r="41" spans="8:9">
      <c r="H41" s="11"/>
      <c r="I41" s="11"/>
    </row>
    <row r="42" spans="8:9">
      <c r="H42" s="11"/>
      <c r="I42" s="11"/>
    </row>
    <row r="43" spans="8:9">
      <c r="H43" s="11"/>
      <c r="I43" s="11"/>
    </row>
    <row r="44" spans="8:9">
      <c r="H44" s="11"/>
      <c r="I44" s="11"/>
    </row>
    <row r="45" spans="8:9">
      <c r="H45" s="11"/>
      <c r="I45" s="11"/>
    </row>
    <row r="46" spans="8:9">
      <c r="H46" s="11"/>
      <c r="I46" s="11"/>
    </row>
    <row r="47" spans="8:9">
      <c r="H47" s="11"/>
      <c r="I47" s="11"/>
    </row>
    <row r="48" spans="8:9">
      <c r="H48" s="11"/>
      <c r="I48" s="11"/>
    </row>
  </sheetData>
  <sortState ref="J4:L24">
    <sortCondition ref="K4:K24"/>
  </sortState>
  <mergeCells count="4">
    <mergeCell ref="D3:G3"/>
    <mergeCell ref="J3:M3"/>
    <mergeCell ref="F24:G24"/>
    <mergeCell ref="F28:G28"/>
  </mergeCells>
  <pageMargins left="0.7" right="0.7" top="0.75" bottom="0.75" header="0.3" footer="0.3"/>
  <pageSetup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zoomScale="85" zoomScaleNormal="85" workbookViewId="0">
      <pane ySplit="2" topLeftCell="A18" activePane="bottomLeft" state="frozen"/>
      <selection activeCell="D34" sqref="D34"/>
      <selection pane="bottomLeft" activeCell="F55" sqref="F42:F55"/>
    </sheetView>
  </sheetViews>
  <sheetFormatPr defaultColWidth="9.140625" defaultRowHeight="15"/>
  <cols>
    <col min="1" max="1" width="5.42578125" style="2060" customWidth="1"/>
    <col min="2" max="2" width="48" style="2070" customWidth="1"/>
    <col min="3" max="3" width="14.7109375" style="2045" customWidth="1"/>
    <col min="4" max="4" width="12.7109375" style="2045" customWidth="1"/>
    <col min="5" max="9" width="16.5703125" style="2045" customWidth="1"/>
    <col min="10" max="10" width="9.140625" style="2045"/>
    <col min="11" max="11" width="36.28515625" style="2045" customWidth="1"/>
    <col min="12" max="16384" width="9.140625" style="2045"/>
  </cols>
  <sheetData>
    <row r="1" spans="1:11">
      <c r="A1" s="2042"/>
      <c r="B1" s="2043"/>
      <c r="C1" s="2044"/>
      <c r="D1" s="2044"/>
      <c r="E1" s="3382" t="s">
        <v>745</v>
      </c>
      <c r="F1" s="3382"/>
      <c r="G1" s="3383"/>
      <c r="H1" s="3383"/>
      <c r="I1" s="3383"/>
      <c r="J1" s="2044"/>
      <c r="K1" s="2044"/>
    </row>
    <row r="2" spans="1:11" ht="30">
      <c r="A2" s="2042"/>
      <c r="B2" s="2043"/>
      <c r="C2" s="2046" t="s">
        <v>746</v>
      </c>
      <c r="D2" s="2047" t="s">
        <v>747</v>
      </c>
      <c r="E2" s="2046" t="s">
        <v>748</v>
      </c>
      <c r="F2" s="2047" t="s">
        <v>749</v>
      </c>
      <c r="G2" s="2046" t="s">
        <v>750</v>
      </c>
      <c r="H2" s="2046" t="s">
        <v>751</v>
      </c>
      <c r="I2" s="2046" t="s">
        <v>752</v>
      </c>
      <c r="J2" s="2044"/>
      <c r="K2" s="2044"/>
    </row>
    <row r="3" spans="1:11" ht="15" customHeight="1">
      <c r="A3" s="2048" t="s">
        <v>640</v>
      </c>
      <c r="B3" s="2043"/>
      <c r="C3" s="2044"/>
      <c r="D3" s="2049"/>
      <c r="E3" s="2044"/>
      <c r="F3" s="2044"/>
      <c r="G3" s="2044"/>
      <c r="H3" s="2044"/>
      <c r="I3" s="2044"/>
      <c r="J3" s="2044"/>
      <c r="K3" s="3384" t="s">
        <v>753</v>
      </c>
    </row>
    <row r="4" spans="1:11">
      <c r="A4" s="2050" t="s">
        <v>754</v>
      </c>
      <c r="B4" s="2051" t="s">
        <v>755</v>
      </c>
      <c r="C4" s="2052" t="e">
        <f>COUNTIF('[10]Raw Data Calcs'!DR8:DR300,"&gt;0") &amp; " out of " &amp; '[10]Raw Data Calcs'!A1</f>
        <v>#VALUE!</v>
      </c>
      <c r="D4" s="2053" t="str">
        <f>IF(ISERROR(AVERAGEIF('[10]Raw Data Calcs'!DQ$8:DQ$300,"&gt;0")),"0.00",AVERAGEIF('[10]Raw Data Calcs'!DQ$8:DQ$300,"&gt;0"))</f>
        <v>0.00</v>
      </c>
      <c r="E4" s="2054">
        <f>'[10]Clean Data'!DR3</f>
        <v>61010.320181580093</v>
      </c>
      <c r="F4" s="2054">
        <f>'[10]Clean Data'!DR4</f>
        <v>58046.8310929172</v>
      </c>
      <c r="G4" s="2054">
        <f>'[10]Clean Data'!DR5</f>
        <v>60191.333333333336</v>
      </c>
      <c r="H4" s="2054">
        <f>'[10]Clean Data'!DR6</f>
        <v>107970</v>
      </c>
      <c r="I4" s="2054">
        <f>'[10]Clean Data'!DR7</f>
        <v>22880</v>
      </c>
      <c r="J4" s="2044"/>
      <c r="K4" s="3384"/>
    </row>
    <row r="5" spans="1:11" ht="15" customHeight="1">
      <c r="A5" s="2050" t="s">
        <v>756</v>
      </c>
      <c r="B5" s="2051" t="s">
        <v>757</v>
      </c>
      <c r="C5" s="2052" t="e">
        <f>COUNTIF('[10]Raw Data Calcs'!DU$8:DU$300,"&gt;0") &amp; " out of " &amp; '[10]Raw Data Calcs'!$A$1</f>
        <v>#VALUE!</v>
      </c>
      <c r="D5" s="2053" t="str">
        <f>IF(ISERROR(AVERAGEIF('[10]Raw Data Calcs'!DT$8:DT$300,"&gt;0")),"0.00",AVERAGEIF('[10]Raw Data Calcs'!DT$8:DT$300,"&gt;0"))</f>
        <v>0.00</v>
      </c>
      <c r="E5" s="2054">
        <f>'[10]Clean Data'!DU3</f>
        <v>76097.27568506448</v>
      </c>
      <c r="F5" s="2054">
        <f>'[10]Clean Data'!DU4</f>
        <v>69776.120507390224</v>
      </c>
      <c r="G5" s="2054">
        <f>'[10]Clean Data'!DU5</f>
        <v>74850</v>
      </c>
      <c r="H5" s="2054">
        <f>'[10]Clean Data'!DU6</f>
        <v>142099.99999999997</v>
      </c>
      <c r="I5" s="2054">
        <f>'[10]Clean Data'!DU7</f>
        <v>22880</v>
      </c>
      <c r="J5" s="2044"/>
      <c r="K5" s="3384"/>
    </row>
    <row r="6" spans="1:11" ht="15" customHeight="1">
      <c r="A6" s="2050" t="s">
        <v>758</v>
      </c>
      <c r="B6" s="2051" t="s">
        <v>759</v>
      </c>
      <c r="C6" s="2052" t="e">
        <f>COUNTIF('[10]Raw Data Calcs'!DX$8:DX$300,"&gt;0") &amp; " out of " &amp; '[10]Raw Data Calcs'!$A$1</f>
        <v>#VALUE!</v>
      </c>
      <c r="D6" s="2053" t="str">
        <f>IF(ISERROR(AVERAGEIF('[10]Raw Data Calcs'!DW$8:DW$300,"&gt;0")),"0.00",AVERAGEIF('[10]Raw Data Calcs'!DW$8:DW$300,"&gt;0"))</f>
        <v>0.00</v>
      </c>
      <c r="E6" s="2054">
        <f>'[10]Clean Data'!DX3</f>
        <v>50876.637640486835</v>
      </c>
      <c r="F6" s="2054">
        <f>'[10]Clean Data'!DX4</f>
        <v>55904.454226395348</v>
      </c>
      <c r="G6" s="2054">
        <f>'[10]Clean Data'!DX5</f>
        <v>49248</v>
      </c>
      <c r="H6" s="2054">
        <f>'[10]Clean Data'!DX6</f>
        <v>80933.333333333343</v>
      </c>
      <c r="I6" s="2054">
        <f>'[10]Clean Data'!DX7</f>
        <v>22880</v>
      </c>
      <c r="J6" s="2044"/>
      <c r="K6" s="3384"/>
    </row>
    <row r="7" spans="1:11">
      <c r="A7" s="2050" t="s">
        <v>760</v>
      </c>
      <c r="B7" s="2051" t="s">
        <v>761</v>
      </c>
      <c r="C7" s="2052" t="e">
        <f>COUNTIF('[10]Raw Data Calcs'!EA$8:EA$300,"&gt;0") &amp; " out of " &amp; '[10]Raw Data Calcs'!$A$1</f>
        <v>#VALUE!</v>
      </c>
      <c r="D7" s="2053" t="str">
        <f>IF(ISERROR(AVERAGEIF('[10]Raw Data Calcs'!DZ$8:DZ$300,"&gt;0")),"0.00",AVERAGEIF('[10]Raw Data Calcs'!DZ$8:DZ$300,"&gt;0"))</f>
        <v>0.00</v>
      </c>
      <c r="E7" s="2054">
        <f>'[10]Clean Data'!EA3</f>
        <v>56164.657265085661</v>
      </c>
      <c r="F7" s="2054">
        <f>'[10]Clean Data'!EA4</f>
        <v>55196.353224621802</v>
      </c>
      <c r="G7" s="2054">
        <f>'[10]Clean Data'!EA5</f>
        <v>50000</v>
      </c>
      <c r="H7" s="2054">
        <f>'[10]Clean Data'!EA6</f>
        <v>91938.271604938273</v>
      </c>
      <c r="I7" s="2054">
        <f>'[10]Clean Data'!EA7</f>
        <v>22880</v>
      </c>
    </row>
    <row r="8" spans="1:11">
      <c r="A8" s="2050" t="s">
        <v>762</v>
      </c>
      <c r="B8" s="2051" t="s">
        <v>763</v>
      </c>
      <c r="C8" s="2052" t="e">
        <f>COUNTIF('[10]Raw Data Calcs'!FN$8:FN$300,"&gt;0") &amp; " out of " &amp; '[10]Raw Data Calcs'!$A$1</f>
        <v>#VALUE!</v>
      </c>
      <c r="D8" s="2053" t="str">
        <f>IF(ISERROR(AVERAGEIF('[10]Raw Data Calcs'!FM$8:FM$300,"&gt;0")),"0.00",AVERAGEIF('[10]Raw Data Calcs'!FM$8:FM$300,"&gt;0"))</f>
        <v>0.00</v>
      </c>
      <c r="E8" s="2054">
        <f>'[10]Clean Data'!FN3</f>
        <v>35334</v>
      </c>
      <c r="F8" s="2054">
        <f>'[10]Clean Data'!FN4</f>
        <v>35334</v>
      </c>
      <c r="G8" s="2054">
        <f>'[10]Clean Data'!FN5</f>
        <v>35334</v>
      </c>
      <c r="H8" s="2054">
        <f>'[10]Clean Data'!FN6</f>
        <v>35334</v>
      </c>
      <c r="I8" s="2054">
        <f>'[10]Clean Data'!FN7</f>
        <v>35334</v>
      </c>
    </row>
    <row r="9" spans="1:11">
      <c r="A9" s="2055"/>
      <c r="B9" s="2056"/>
      <c r="C9" s="2057"/>
      <c r="D9" s="2058"/>
      <c r="E9" s="2059"/>
      <c r="F9" s="2059"/>
      <c r="G9" s="2059"/>
      <c r="H9" s="2059"/>
      <c r="I9" s="2059"/>
    </row>
    <row r="10" spans="1:11">
      <c r="A10" s="2042"/>
      <c r="B10" s="2056"/>
      <c r="C10" s="2060"/>
      <c r="D10" s="2060"/>
      <c r="E10" s="2061"/>
      <c r="F10" s="2061"/>
      <c r="G10" s="2061"/>
      <c r="H10" s="2061"/>
      <c r="I10" s="2061"/>
    </row>
    <row r="11" spans="1:11">
      <c r="A11" s="2048" t="s">
        <v>764</v>
      </c>
      <c r="B11" s="2056"/>
      <c r="C11" s="2060"/>
      <c r="D11" s="2060"/>
      <c r="E11" s="2061"/>
      <c r="F11" s="2061"/>
      <c r="G11" s="2061"/>
      <c r="H11" s="2061"/>
      <c r="I11" s="2061"/>
    </row>
    <row r="12" spans="1:11">
      <c r="A12" s="2050" t="s">
        <v>765</v>
      </c>
      <c r="B12" s="2051" t="s">
        <v>766</v>
      </c>
      <c r="C12" s="2062" t="e">
        <f>COUNTIF('[10]Raw Data Calcs'!ED$8:ED$300,"&gt;0") &amp; " out of " &amp; '[10]Raw Data Calcs'!$A$1</f>
        <v>#VALUE!</v>
      </c>
      <c r="D12" s="2053" t="str">
        <f>IF(ISERROR(AVERAGEIF('[10]Raw Data Calcs'!EC$8:EC$300,"&gt;0")),"0.00",AVERAGEIF('[10]Raw Data Calcs'!EC$8:EC$300,"&gt;0"))</f>
        <v>0.00</v>
      </c>
      <c r="E12" s="2054">
        <f>'[10]Clean Data'!ED3</f>
        <v>211326.08530568847</v>
      </c>
      <c r="F12" s="2054">
        <f>'[10]Clean Data'!ED4</f>
        <v>203118.42872928173</v>
      </c>
      <c r="G12" s="2054">
        <f>'[10]Clean Data'!ED5</f>
        <v>222315.15151515152</v>
      </c>
      <c r="H12" s="2054">
        <f>'[10]Clean Data'!ED6</f>
        <v>340263.15789473685</v>
      </c>
      <c r="I12" s="2054">
        <f>'[10]Clean Data'!ED7</f>
        <v>85050</v>
      </c>
    </row>
    <row r="13" spans="1:11">
      <c r="A13" s="2050" t="s">
        <v>767</v>
      </c>
      <c r="B13" s="2051" t="s">
        <v>768</v>
      </c>
      <c r="C13" s="2062" t="e">
        <f>COUNTIF('[10]Raw Data Calcs'!EG$8:EG$300,"&gt;0") &amp; " out of " &amp; '[10]Raw Data Calcs'!$A$1</f>
        <v>#VALUE!</v>
      </c>
      <c r="D13" s="2053" t="str">
        <f>IF(ISERROR(AVERAGEIF('[10]Raw Data Calcs'!EF$8:EF$300,"&gt;0")),"0.00",AVERAGEIF('[10]Raw Data Calcs'!EF$8:EF$300,"&gt;0"))</f>
        <v>0.00</v>
      </c>
      <c r="E13" s="2054" t="str">
        <f>'[10]Clean Data'!EG3</f>
        <v>-</v>
      </c>
      <c r="F13" s="2054" t="str">
        <f>'[10]Clean Data'!EG4</f>
        <v>-</v>
      </c>
      <c r="G13" s="2054" t="str">
        <f>'[10]Clean Data'!EG5</f>
        <v>-</v>
      </c>
      <c r="H13" s="2054" t="str">
        <f>'[10]Clean Data'!EG6</f>
        <v>-</v>
      </c>
      <c r="I13" s="2054" t="str">
        <f>'[10]Clean Data'!EG7</f>
        <v>-</v>
      </c>
    </row>
    <row r="14" spans="1:11">
      <c r="A14" s="2050" t="s">
        <v>769</v>
      </c>
      <c r="B14" s="2051" t="s">
        <v>770</v>
      </c>
      <c r="C14" s="2062" t="e">
        <f>COUNTIF('[10]Raw Data Calcs'!EJ$8:EJ$300,"&gt;0") &amp; " out of " &amp; '[10]Raw Data Calcs'!$A$1</f>
        <v>#VALUE!</v>
      </c>
      <c r="D14" s="2053" t="str">
        <f>IF(ISERROR(AVERAGEIF('[10]Raw Data Calcs'!EI$8:EI$300,"&gt;0")),"0.00",AVERAGEIF('[10]Raw Data Calcs'!EI8:EI$300,"&gt;0"))</f>
        <v>0.00</v>
      </c>
      <c r="E14" s="2054">
        <f>'[10]Clean Data'!EJ3</f>
        <v>119470.79583333334</v>
      </c>
      <c r="F14" s="2054">
        <f>'[10]Clean Data'!EJ4</f>
        <v>113011.29117647059</v>
      </c>
      <c r="G14" s="2054">
        <f>'[10]Clean Data'!EJ5</f>
        <v>119470.79583333334</v>
      </c>
      <c r="H14" s="2054">
        <f>'[10]Clean Data'!EJ6</f>
        <v>129453.66666666667</v>
      </c>
      <c r="I14" s="2054">
        <f>'[10]Clean Data'!EJ7</f>
        <v>109487.925</v>
      </c>
    </row>
    <row r="15" spans="1:11">
      <c r="A15" s="2050" t="s">
        <v>771</v>
      </c>
      <c r="B15" s="2051" t="s">
        <v>772</v>
      </c>
      <c r="C15" s="2062" t="e">
        <f>COUNTIF('[10]Raw Data Calcs'!EM$8:EM$300,"&gt;0") &amp; " out of " &amp; '[10]Raw Data Calcs'!$A$1</f>
        <v>#VALUE!</v>
      </c>
      <c r="D15" s="2053" t="str">
        <f>IF(ISERROR(AVERAGEIF('[10]Raw Data Calcs'!EL$8:EL$300,"&gt;0")),"0.00",AVERAGEIF('[10]Raw Data Calcs'!EL$8:EL$300,"&gt;0"))</f>
        <v>0.00</v>
      </c>
      <c r="E15" s="2054">
        <f>'[10]Clean Data'!EM3</f>
        <v>61360.01812728223</v>
      </c>
      <c r="F15" s="2054">
        <f>'[10]Clean Data'!EM4</f>
        <v>61177.742642525984</v>
      </c>
      <c r="G15" s="2054">
        <f>'[10]Clean Data'!EM5</f>
        <v>60515.730337078654</v>
      </c>
      <c r="H15" s="2054">
        <f>'[10]Clean Data'!EM6</f>
        <v>91500</v>
      </c>
      <c r="I15" s="2054">
        <f>'[10]Clean Data'!EM7</f>
        <v>37700</v>
      </c>
    </row>
    <row r="16" spans="1:11">
      <c r="A16" s="2050" t="s">
        <v>773</v>
      </c>
      <c r="B16" s="2051" t="s">
        <v>774</v>
      </c>
      <c r="C16" s="2062" t="e">
        <f>COUNTIF('[10]Raw Data Calcs'!EP$8:EP$300,"&gt;0") &amp; " out of " &amp; '[10]Raw Data Calcs'!$A$1</f>
        <v>#VALUE!</v>
      </c>
      <c r="D16" s="2053" t="str">
        <f>IF(ISERROR(AVERAGEIF('[10]Raw Data Calcs'!EO$8:EO$300,"&gt;0")),"0.00",AVERAGEIF('[10]Raw Data Calcs'!EO$8:EO$300,"&gt;0"))</f>
        <v>0.00</v>
      </c>
      <c r="E16" s="2054">
        <f>'[10]Clean Data'!EP3</f>
        <v>47834.571428571428</v>
      </c>
      <c r="F16" s="2054">
        <f>'[10]Clean Data'!EP4</f>
        <v>54031.22362869198</v>
      </c>
      <c r="G16" s="2054">
        <f>'[10]Clean Data'!EP5</f>
        <v>45980</v>
      </c>
      <c r="H16" s="2054">
        <f>'[10]Clean Data'!EP6</f>
        <v>55761.333333333336</v>
      </c>
      <c r="I16" s="2054">
        <f>'[10]Clean Data'!EP7</f>
        <v>36700</v>
      </c>
    </row>
    <row r="17" spans="1:11">
      <c r="A17" s="2050" t="s">
        <v>775</v>
      </c>
      <c r="B17" s="2051" t="s">
        <v>776</v>
      </c>
      <c r="C17" s="2062" t="e">
        <f>COUNTIF('[10]Raw Data Calcs'!ES$8:ES$300,"&gt;0") &amp; " out of " &amp; '[10]Raw Data Calcs'!$A$1</f>
        <v>#VALUE!</v>
      </c>
      <c r="D17" s="2053" t="str">
        <f>IF(ISERROR(AVERAGEIF('[10]Raw Data Calcs'!ER$8:ER$300,"&gt;0")),"0.00",AVERAGEIF('[10]Raw Data Calcs'!ER$8:ER$300,"&gt;0"))</f>
        <v>0.00</v>
      </c>
      <c r="E17" s="2054" t="str">
        <f>'[10]Clean Data'!ES3</f>
        <v>-</v>
      </c>
      <c r="F17" s="2054" t="str">
        <f>'[10]Clean Data'!ES4</f>
        <v>-</v>
      </c>
      <c r="G17" s="2054" t="str">
        <f>'[10]Clean Data'!ES5</f>
        <v>-</v>
      </c>
      <c r="H17" s="2054" t="str">
        <f>'[10]Clean Data'!ES6</f>
        <v>-</v>
      </c>
      <c r="I17" s="2054" t="str">
        <f>'[10]Clean Data'!ES7</f>
        <v>-</v>
      </c>
    </row>
    <row r="18" spans="1:11">
      <c r="A18" s="2050" t="s">
        <v>777</v>
      </c>
      <c r="B18" s="2051" t="s">
        <v>778</v>
      </c>
      <c r="C18" s="2062" t="e">
        <f>COUNTIF('[10]Raw Data Calcs'!EV$8:EV$300,"&gt;0") &amp; " out of " &amp; '[10]Raw Data Calcs'!$A$1</f>
        <v>#VALUE!</v>
      </c>
      <c r="D18" s="2053" t="str">
        <f>IF(ISERROR(AVERAGEIF('[10]Raw Data Calcs'!EU$8:EU$300,"&gt;0")),"0.00",AVERAGEIF('[10]Raw Data Calcs'!EU$8:EU$300,"&gt;0"))</f>
        <v>0.00</v>
      </c>
      <c r="E18" s="2054" t="str">
        <f>'[10]Clean Data'!EV3</f>
        <v>-</v>
      </c>
      <c r="F18" s="2054" t="str">
        <f>'[10]Clean Data'!EV4</f>
        <v>-</v>
      </c>
      <c r="G18" s="2054" t="str">
        <f>'[10]Clean Data'!EV5</f>
        <v>-</v>
      </c>
      <c r="H18" s="2054" t="str">
        <f>'[10]Clean Data'!EV6</f>
        <v>-</v>
      </c>
      <c r="I18" s="2054" t="str">
        <f>'[10]Clean Data'!EV7</f>
        <v>-</v>
      </c>
    </row>
    <row r="19" spans="1:11">
      <c r="A19" s="2050" t="s">
        <v>779</v>
      </c>
      <c r="B19" s="2051" t="s">
        <v>780</v>
      </c>
      <c r="C19" s="2062" t="e">
        <f>COUNTIF('[10]Raw Data Calcs'!EY$8:EY$300,"&gt;0") &amp; " out of " &amp; '[10]Raw Data Calcs'!$A$1</f>
        <v>#VALUE!</v>
      </c>
      <c r="D19" s="2053" t="str">
        <f>IF(ISERROR(AVERAGEIF('[10]Raw Data Calcs'!EX$8:EX$300,"&gt;0")),"0.00",AVERAGEIF('[10]Raw Data Calcs'!EX$8:EX$300,"&gt;0"))</f>
        <v>0.00</v>
      </c>
      <c r="E19" s="2054" t="str">
        <f>'[10]Clean Data'!EY3</f>
        <v>-</v>
      </c>
      <c r="F19" s="2054" t="str">
        <f>'[10]Clean Data'!EY4</f>
        <v>-</v>
      </c>
      <c r="G19" s="2054" t="str">
        <f>'[10]Clean Data'!EY5</f>
        <v>-</v>
      </c>
      <c r="H19" s="2054" t="str">
        <f>'[10]Clean Data'!EY6</f>
        <v>-</v>
      </c>
      <c r="I19" s="2054" t="str">
        <f>'[10]Clean Data'!EY7</f>
        <v>-</v>
      </c>
    </row>
    <row r="20" spans="1:11">
      <c r="A20" s="2050" t="s">
        <v>781</v>
      </c>
      <c r="B20" s="2051" t="s">
        <v>782</v>
      </c>
      <c r="C20" s="2062" t="e">
        <f>COUNTIF('[10]Raw Data Calcs'!FB$8:FB$300,"&gt;0") &amp; " out of " &amp; '[10]Raw Data Calcs'!$A$1</f>
        <v>#VALUE!</v>
      </c>
      <c r="D20" s="2053" t="str">
        <f>IF(ISERROR(AVERAGEIF('[10]Raw Data Calcs'!FA$8:FA$300,"&gt;0")),"0.00",AVERAGEIF('[10]Raw Data Calcs'!FA$8:FA$300,"&gt;0"))</f>
        <v>0.00</v>
      </c>
      <c r="E20" s="2054">
        <f>'[10]Clean Data'!FB3</f>
        <v>136614.28571428571</v>
      </c>
      <c r="F20" s="2054">
        <f>'[10]Clean Data'!FB4</f>
        <v>136614.28571428571</v>
      </c>
      <c r="G20" s="2054">
        <f>'[10]Clean Data'!FB5</f>
        <v>136614.28571428571</v>
      </c>
      <c r="H20" s="2054">
        <f>'[10]Clean Data'!FB6</f>
        <v>136614.28571428571</v>
      </c>
      <c r="I20" s="2054">
        <f>'[10]Clean Data'!FB7</f>
        <v>136614.28571428571</v>
      </c>
    </row>
    <row r="21" spans="1:11">
      <c r="A21" s="2050" t="s">
        <v>783</v>
      </c>
      <c r="B21" s="2051" t="s">
        <v>784</v>
      </c>
      <c r="C21" s="2062" t="e">
        <f>COUNTIF('[10]Raw Data Calcs'!FE$8:FE$300,"&gt;0") &amp; " out of " &amp; '[10]Raw Data Calcs'!$A$1</f>
        <v>#VALUE!</v>
      </c>
      <c r="D21" s="2053" t="str">
        <f>IF(ISERROR(AVERAGEIF('[10]Raw Data Calcs'!FD$8:FD$300,"&gt;0")),"0.00",AVERAGEIF('[10]Raw Data Calcs'!FD$8:FD$300,"&gt;0"))</f>
        <v>0.00</v>
      </c>
      <c r="E21" s="2054" t="str">
        <f>'[10]Clean Data'!FE3</f>
        <v>-</v>
      </c>
      <c r="F21" s="2054" t="str">
        <f>'[10]Clean Data'!FE4</f>
        <v>-</v>
      </c>
      <c r="G21" s="2054" t="str">
        <f>'[10]Clean Data'!FE5</f>
        <v>-</v>
      </c>
      <c r="H21" s="2054" t="str">
        <f>'[10]Clean Data'!FE6</f>
        <v>-</v>
      </c>
      <c r="I21" s="2054" t="str">
        <f>'[10]Clean Data'!FE7</f>
        <v>-</v>
      </c>
    </row>
    <row r="22" spans="1:11">
      <c r="A22" s="2055"/>
      <c r="B22" s="2056"/>
      <c r="C22" s="2063"/>
      <c r="D22" s="2058"/>
      <c r="E22" s="2059"/>
      <c r="F22" s="2059"/>
      <c r="G22" s="2059"/>
      <c r="H22" s="2059"/>
      <c r="I22" s="2059"/>
    </row>
    <row r="23" spans="1:11">
      <c r="A23" s="2055"/>
      <c r="B23" s="2056"/>
      <c r="C23" s="2063"/>
      <c r="D23" s="2058"/>
      <c r="E23" s="2064"/>
      <c r="F23" s="2064"/>
      <c r="G23" s="2064"/>
      <c r="H23" s="2064"/>
      <c r="I23" s="2064"/>
    </row>
    <row r="24" spans="1:11">
      <c r="A24" s="2048" t="s">
        <v>68</v>
      </c>
      <c r="B24" s="2056"/>
      <c r="C24" s="2060"/>
      <c r="D24" s="2060"/>
      <c r="E24" s="2061"/>
      <c r="F24" s="2061"/>
      <c r="G24" s="2061"/>
      <c r="H24" s="2061"/>
      <c r="I24" s="2061"/>
    </row>
    <row r="25" spans="1:11">
      <c r="A25" s="2050" t="s">
        <v>785</v>
      </c>
      <c r="B25" s="2051" t="s">
        <v>786</v>
      </c>
      <c r="C25" s="2062" t="e">
        <f>COUNTIF('[10]Raw Data Calcs'!FZ$8:FZ$300,"&gt;0") &amp; " out of " &amp; '[10]Raw Data Calcs'!$A$1</f>
        <v>#VALUE!</v>
      </c>
      <c r="D25" s="2053" t="str">
        <f>IF(ISERROR(AVERAGEIF('[10]Raw Data Calcs'!FY$8:FY$300,"&gt;0")),"0.00",AVERAGEIF('[10]Raw Data Calcs'!FY$8:FY$300,"&gt;0"))</f>
        <v>0.00</v>
      </c>
      <c r="E25" s="2054">
        <f>'[10]Clean Data'!FZ3</f>
        <v>77092.295635179151</v>
      </c>
      <c r="F25" s="2054">
        <f>'[10]Clean Data'!FZ4</f>
        <v>82198.054621848743</v>
      </c>
      <c r="G25" s="2054">
        <f>'[10]Clean Data'!FZ5</f>
        <v>77092.295635179151</v>
      </c>
      <c r="H25" s="2054">
        <f>'[10]Clean Data'!FZ6</f>
        <v>84184.731270358316</v>
      </c>
      <c r="I25" s="2054">
        <f>'[10]Clean Data'!FZ7</f>
        <v>69999.86</v>
      </c>
    </row>
    <row r="26" spans="1:11">
      <c r="A26" s="2050" t="s">
        <v>787</v>
      </c>
      <c r="B26" s="2051" t="s">
        <v>788</v>
      </c>
      <c r="C26" s="2062" t="e">
        <f>COUNTIF('[10]Raw Data Calcs'!GC$8:GC$300,"&gt;0") &amp; " out of " &amp; '[10]Raw Data Calcs'!$A$1</f>
        <v>#VALUE!</v>
      </c>
      <c r="D26" s="2053" t="str">
        <f>IF(ISERROR(AVERAGEIF('[10]Raw Data Calcs'!GB$8:GB$300,"&gt;0")),"0.00",AVERAGEIF('[10]Raw Data Calcs'!GB$8:GB$300,"&gt;0"))</f>
        <v>0.00</v>
      </c>
      <c r="E26" s="2054">
        <f>'[10]Clean Data'!GC3</f>
        <v>57606.05088107453</v>
      </c>
      <c r="F26" s="2054">
        <f>'[10]Clean Data'!GC4</f>
        <v>49320.037538610981</v>
      </c>
      <c r="G26" s="2054">
        <f>'[10]Clean Data'!GC5</f>
        <v>62189.28571428571</v>
      </c>
      <c r="H26" s="2054">
        <f>'[10]Clean Data'!GC6</f>
        <v>87980</v>
      </c>
      <c r="I26" s="2054">
        <f>'[10]Clean Data'!GC7</f>
        <v>22880</v>
      </c>
    </row>
    <row r="27" spans="1:11">
      <c r="A27" s="2050" t="s">
        <v>789</v>
      </c>
      <c r="B27" s="2051" t="s">
        <v>790</v>
      </c>
      <c r="C27" s="2062" t="e">
        <f>COUNTIF('[10]Raw Data Calcs'!GF$8:GF$300,"&gt;0") &amp; " out of " &amp; '[10]Raw Data Calcs'!$A$1</f>
        <v>#VALUE!</v>
      </c>
      <c r="D27" s="2053" t="str">
        <f>IF(ISERROR(AVERAGEIF('[10]Raw Data Calcs'!GE$8:GE$300,"&gt;0")),"0.00",AVERAGEIF('[10]Raw Data Calcs'!GE$8:GE$300,"&gt;0"))</f>
        <v>0.00</v>
      </c>
      <c r="E27" s="2054">
        <f>'[10]Clean Data'!GF3</f>
        <v>38196.781317628811</v>
      </c>
      <c r="F27" s="2054">
        <f>'[10]Clean Data'!GF4</f>
        <v>48012.170212765952</v>
      </c>
      <c r="G27" s="2054">
        <f>'[10]Clean Data'!GF5</f>
        <v>34650</v>
      </c>
      <c r="H27" s="2054">
        <f>'[10]Clean Data'!GF6</f>
        <v>60545.454545454544</v>
      </c>
      <c r="I27" s="2054">
        <f>'[10]Clean Data'!GF7</f>
        <v>22880</v>
      </c>
    </row>
    <row r="28" spans="1:11">
      <c r="A28" s="2050" t="s">
        <v>791</v>
      </c>
      <c r="B28" s="2051" t="s">
        <v>792</v>
      </c>
      <c r="C28" s="2062" t="e">
        <f>COUNTIF('[10]Raw Data Calcs'!GI$8:GI$300,"&gt;0") &amp; " out of " &amp; '[10]Raw Data Calcs'!$A$1</f>
        <v>#VALUE!</v>
      </c>
      <c r="D28" s="2053" t="str">
        <f>IF(ISERROR(AVERAGEIF('[10]Raw Data Calcs'!GH$8:GH$300,"&gt;0")),"0.00",AVERAGEIF('[10]Raw Data Calcs'!GH$8:GH$300,"&gt;0"))</f>
        <v>0.00</v>
      </c>
      <c r="E28" s="2054">
        <f>'[10]Clean Data'!GI3</f>
        <v>48001.386602029866</v>
      </c>
      <c r="F28" s="2054">
        <f>'[10]Clean Data'!GI4</f>
        <v>49044.243626062322</v>
      </c>
      <c r="G28" s="2054">
        <f>'[10]Clean Data'!GI5</f>
        <v>47319.196988707656</v>
      </c>
      <c r="H28" s="2054">
        <f>'[10]Clean Data'!GI6</f>
        <v>53720.180511182116</v>
      </c>
      <c r="I28" s="2054">
        <f>'[10]Clean Data'!GI7</f>
        <v>41976.040358744402</v>
      </c>
    </row>
    <row r="29" spans="1:11">
      <c r="A29" s="2050" t="s">
        <v>793</v>
      </c>
      <c r="B29" s="2051" t="s">
        <v>794</v>
      </c>
      <c r="C29" s="2062" t="e">
        <f>COUNTIF('[10]Raw Data Calcs'!GL$8:GL$300,"&gt;0") &amp; " out of " &amp; '[10]Raw Data Calcs'!$A$1</f>
        <v>#VALUE!</v>
      </c>
      <c r="D29" s="2053" t="str">
        <f>IF(ISERROR(AVERAGEIF('[10]Raw Data Calcs'!GK$8:GK$300,"&gt;0")),"0.00",AVERAGEIF('[10]Raw Data Calcs'!GK$8:GK$300,"&gt;0"))</f>
        <v>0.00</v>
      </c>
      <c r="E29" s="2054">
        <f>'[10]Clean Data'!GL3</f>
        <v>51776.57060946658</v>
      </c>
      <c r="F29" s="2054">
        <f>'[10]Clean Data'!GL4</f>
        <v>50951.23676880222</v>
      </c>
      <c r="G29" s="2054">
        <f>'[10]Clean Data'!GL5</f>
        <v>51040</v>
      </c>
      <c r="H29" s="2054">
        <f>'[10]Clean Data'!GL6</f>
        <v>65914.28571428571</v>
      </c>
      <c r="I29" s="2054">
        <f>'[10]Clean Data'!GL7</f>
        <v>42460</v>
      </c>
      <c r="J29" s="2065"/>
      <c r="K29" s="2066"/>
    </row>
    <row r="30" spans="1:11">
      <c r="A30" s="2050" t="s">
        <v>795</v>
      </c>
      <c r="B30" s="2051" t="s">
        <v>796</v>
      </c>
      <c r="C30" s="2062" t="e">
        <f>COUNTIF('[10]Raw Data Calcs'!GR$8:GR$300,"&gt;0") &amp; " out of " &amp; '[10]Raw Data Calcs'!$A$1</f>
        <v>#VALUE!</v>
      </c>
      <c r="D30" s="2053" t="str">
        <f>IF(ISERROR(AVERAGEIF('[10]Raw Data Calcs'!GQ$8:GQ$300,"&gt;0")),"0.00",AVERAGEIF('[10]Raw Data Calcs'!GQ$8:GQ$300,"&gt;0"))</f>
        <v>0.00</v>
      </c>
      <c r="E30" s="2054" t="str">
        <f>'[10]Clean Data'!GR3</f>
        <v>-</v>
      </c>
      <c r="F30" s="2054" t="str">
        <f>'[10]Clean Data'!GR4</f>
        <v>-</v>
      </c>
      <c r="G30" s="2054" t="str">
        <f>'[10]Clean Data'!GR5</f>
        <v>-</v>
      </c>
      <c r="H30" s="2054" t="str">
        <f>'[10]Clean Data'!GR6</f>
        <v>-</v>
      </c>
      <c r="I30" s="2054" t="str">
        <f>'[10]Clean Data'!GR7</f>
        <v>-</v>
      </c>
      <c r="J30" s="2065"/>
      <c r="K30" s="2066"/>
    </row>
    <row r="31" spans="1:11">
      <c r="A31" s="2050" t="s">
        <v>797</v>
      </c>
      <c r="B31" s="2051" t="s">
        <v>798</v>
      </c>
      <c r="C31" s="2062" t="e">
        <f>COUNTIF('[10]Raw Data Calcs'!GX$8:GX$300,"&gt;0") &amp; " out of " &amp; '[10]Raw Data Calcs'!$A$1</f>
        <v>#VALUE!</v>
      </c>
      <c r="D31" s="2053" t="str">
        <f>IF(ISERROR(AVERAGEIF('[10]Raw Data Calcs'!GW$8:GW$300,"&gt;0")),"0.00",AVERAGEIF('[10]Raw Data Calcs'!GW$8:GW$300,"&gt;0"))</f>
        <v>0.00</v>
      </c>
      <c r="E31" s="2054">
        <f>'[10]Clean Data'!GX3</f>
        <v>45862.241185961226</v>
      </c>
      <c r="F31" s="2054">
        <f>'[10]Clean Data'!GX4</f>
        <v>45956.198127675154</v>
      </c>
      <c r="G31" s="2054">
        <f>'[10]Clean Data'!GX5</f>
        <v>47475.899877428281</v>
      </c>
      <c r="H31" s="2054">
        <f>'[10]Clean Data'!GX6</f>
        <v>59112.5</v>
      </c>
      <c r="I31" s="2054">
        <f>'[10]Clean Data'!GX7</f>
        <v>32746</v>
      </c>
      <c r="J31" s="2065"/>
      <c r="K31" s="2066"/>
    </row>
    <row r="32" spans="1:11">
      <c r="A32" s="2055"/>
      <c r="B32" s="2056"/>
      <c r="C32" s="2063"/>
      <c r="D32" s="2058"/>
      <c r="E32" s="2059"/>
      <c r="F32" s="2059"/>
      <c r="G32" s="2059"/>
      <c r="H32" s="2059"/>
      <c r="I32" s="2059"/>
      <c r="J32" s="2067"/>
      <c r="K32" s="2066"/>
    </row>
    <row r="33" spans="1:9">
      <c r="A33" s="2042"/>
      <c r="B33" s="2056"/>
      <c r="C33" s="2060"/>
      <c r="D33" s="2068"/>
      <c r="E33" s="2061"/>
      <c r="F33" s="2061"/>
      <c r="G33" s="2061"/>
      <c r="H33" s="2061"/>
      <c r="I33" s="2061"/>
    </row>
    <row r="34" spans="1:9">
      <c r="A34" s="2048" t="s">
        <v>799</v>
      </c>
      <c r="B34" s="2056"/>
      <c r="C34" s="2060"/>
      <c r="D34" s="2068"/>
      <c r="E34" s="2061"/>
      <c r="F34" s="2061"/>
      <c r="G34" s="2061"/>
      <c r="H34" s="2061"/>
      <c r="I34" s="2061"/>
    </row>
    <row r="35" spans="1:9">
      <c r="A35" s="2050" t="s">
        <v>800</v>
      </c>
      <c r="B35" s="2051" t="s">
        <v>801</v>
      </c>
      <c r="C35" s="2062" t="e">
        <f>COUNTIF('[10]Raw Data Calcs'!FH$8:FH$300,"&gt;0") &amp; " out of " &amp; '[10]Raw Data Calcs'!$A$1</f>
        <v>#VALUE!</v>
      </c>
      <c r="D35" s="2053" t="str">
        <f>IF(ISERROR(AVERAGEIF('[10]Raw Data Calcs'!FG$8:FG$300,"&gt;0")),"0.00",AVERAGEIF('[10]Raw Data Calcs'!FG$8:FG$300,"&gt;0"))</f>
        <v>0.00</v>
      </c>
      <c r="E35" s="2054">
        <f>'[10]Clean Data'!FH3</f>
        <v>22880</v>
      </c>
      <c r="F35" s="2054">
        <f>'[10]Clean Data'!FH4</f>
        <v>15000</v>
      </c>
      <c r="G35" s="2054">
        <f>'[10]Clean Data'!FH5</f>
        <v>22880</v>
      </c>
      <c r="H35" s="2054">
        <f>'[10]Clean Data'!FH6</f>
        <v>22880</v>
      </c>
      <c r="I35" s="2054">
        <f>'[10]Clean Data'!FH7</f>
        <v>22880</v>
      </c>
    </row>
    <row r="36" spans="1:9">
      <c r="A36" s="2050" t="s">
        <v>802</v>
      </c>
      <c r="B36" s="2051" t="s">
        <v>803</v>
      </c>
      <c r="C36" s="2062" t="e">
        <f>COUNTIF('[10]Raw Data Calcs'!FK$8:FK$300,"&gt;0") &amp; " out of " &amp; '[10]Raw Data Calcs'!$A$1</f>
        <v>#VALUE!</v>
      </c>
      <c r="D36" s="2053" t="str">
        <f>IF(ISERROR(AVERAGEIF('[10]Raw Data Calcs'!FJ$8:FJ$300,"&gt;0")),"0.00",AVERAGEIF('[10]Raw Data Calcs'!FJ$8:FJ$300,"&gt;0"))</f>
        <v>0.00</v>
      </c>
      <c r="E36" s="2054">
        <f>'[10]Clean Data'!FK3</f>
        <v>44526.25</v>
      </c>
      <c r="F36" s="2054">
        <f>'[10]Clean Data'!FK4</f>
        <v>51447.16981132076</v>
      </c>
      <c r="G36" s="2054">
        <f>'[10]Clean Data'!FK5</f>
        <v>44526.25</v>
      </c>
      <c r="H36" s="2054">
        <f>'[10]Clean Data'!FK6</f>
        <v>54440.000000000007</v>
      </c>
      <c r="I36" s="2054">
        <f>'[10]Clean Data'!FK7</f>
        <v>34612.5</v>
      </c>
    </row>
    <row r="37" spans="1:9">
      <c r="A37" s="2050" t="s">
        <v>804</v>
      </c>
      <c r="B37" s="2051" t="s">
        <v>805</v>
      </c>
      <c r="C37" s="2062" t="e">
        <f>COUNTIF('[10]Raw Data Calcs'!GO$8:GO$300,"&gt;0") &amp; " out of " &amp; '[10]Raw Data Calcs'!$A$1</f>
        <v>#VALUE!</v>
      </c>
      <c r="D37" s="2053" t="str">
        <f>IF(ISERROR(AVERAGEIF('[10]Raw Data Calcs'!GN$8:GN$300,"&gt;0")),"0.00",AVERAGEIF('[10]Raw Data Calcs'!GN$8:GN$300,"&gt;0"))</f>
        <v>0.00</v>
      </c>
      <c r="E37" s="2054">
        <f>'[10]Clean Data'!GO3</f>
        <v>39733.333333333336</v>
      </c>
      <c r="F37" s="2054">
        <f>'[10]Clean Data'!GO4</f>
        <v>39733.333333333336</v>
      </c>
      <c r="G37" s="2054">
        <f>'[10]Clean Data'!GO5</f>
        <v>39733.333333333336</v>
      </c>
      <c r="H37" s="2054">
        <f>'[10]Clean Data'!GO6</f>
        <v>39733.333333333336</v>
      </c>
      <c r="I37" s="2054">
        <f>'[10]Clean Data'!GO7</f>
        <v>39733.333333333336</v>
      </c>
    </row>
    <row r="38" spans="1:9">
      <c r="A38" s="2055"/>
      <c r="B38" s="2056"/>
      <c r="C38" s="2063"/>
      <c r="D38" s="2058"/>
      <c r="E38" s="2059"/>
      <c r="F38" s="2059"/>
      <c r="G38" s="2059"/>
      <c r="H38" s="2059"/>
      <c r="I38" s="2059"/>
    </row>
    <row r="39" spans="1:9">
      <c r="A39" s="2042"/>
      <c r="B39" s="2056"/>
      <c r="C39" s="2060"/>
      <c r="D39" s="2068"/>
      <c r="E39" s="2061"/>
      <c r="F39" s="2061"/>
      <c r="G39" s="2061"/>
      <c r="H39" s="2061"/>
      <c r="I39" s="2061"/>
    </row>
    <row r="40" spans="1:9">
      <c r="A40" s="2048" t="s">
        <v>806</v>
      </c>
      <c r="B40" s="2056"/>
      <c r="C40" s="2060"/>
      <c r="D40" s="2068"/>
      <c r="E40" s="2061"/>
      <c r="F40" s="2061"/>
      <c r="G40" s="2061"/>
      <c r="H40" s="2061"/>
      <c r="I40" s="2061"/>
    </row>
    <row r="41" spans="1:9">
      <c r="A41" s="2050" t="s">
        <v>807</v>
      </c>
      <c r="B41" s="2051" t="s">
        <v>808</v>
      </c>
      <c r="C41" s="2069" t="e">
        <f>COUNTIF('[10]Raw Data Calcs'!FQ$8:FQ$300,"&gt;0") &amp; " out of " &amp; '[10]Raw Data Calcs'!$A$1</f>
        <v>#VALUE!</v>
      </c>
      <c r="D41" s="2053" t="str">
        <f>IF(ISERROR(AVERAGEIF('[10]Raw Data Calcs'!FP$8:FP$300,"&gt;0")),"0.00",AVERAGEIF('[10]Raw Data Calcs'!FP$8:FP$300,"&gt;0"))</f>
        <v>0.00</v>
      </c>
      <c r="E41" s="2054">
        <f>'[10]Clean Data'!FQ3</f>
        <v>29864.912280701756</v>
      </c>
      <c r="F41" s="2054">
        <f>'[10]Clean Data'!FQ4</f>
        <v>29864.912280701756</v>
      </c>
      <c r="G41" s="2054">
        <f>'[10]Clean Data'!FQ5</f>
        <v>29864.912280701756</v>
      </c>
      <c r="H41" s="2054">
        <f>'[10]Clean Data'!FQ6</f>
        <v>29864.912280701756</v>
      </c>
      <c r="I41" s="2054">
        <f>'[10]Clean Data'!FQ7</f>
        <v>29864.912280701756</v>
      </c>
    </row>
    <row r="42" spans="1:9">
      <c r="A42" s="2050" t="s">
        <v>809</v>
      </c>
      <c r="B42" s="2051" t="s">
        <v>810</v>
      </c>
      <c r="C42" s="2062" t="e">
        <f>COUNTIF('[10]Raw Data Calcs'!FT$8:FT$300,"&gt;0") &amp; " out of " &amp; '[10]Raw Data Calcs'!$A$1</f>
        <v>#VALUE!</v>
      </c>
      <c r="D42" s="2053" t="str">
        <f>IF(ISERROR(AVERAGEIF('[10]Raw Data Calcs'!FS$8:FS$300,"&gt;0")),"0.00",AVERAGEIF('[10]Raw Data Calcs'!FS$8:FS$300,"&gt;0"))</f>
        <v>0.00</v>
      </c>
      <c r="E42" s="2054">
        <f>'[10]Clean Data'!FT3</f>
        <v>35819</v>
      </c>
      <c r="F42" s="2054">
        <f>'[10]Clean Data'!FT4</f>
        <v>35819</v>
      </c>
      <c r="G42" s="2054">
        <f>'[10]Clean Data'!FT5</f>
        <v>35819</v>
      </c>
      <c r="H42" s="2054">
        <f>'[10]Clean Data'!FT6</f>
        <v>35819</v>
      </c>
      <c r="I42" s="2054">
        <f>'[10]Clean Data'!FT7</f>
        <v>35819</v>
      </c>
    </row>
    <row r="43" spans="1:9">
      <c r="A43" s="2050" t="s">
        <v>811</v>
      </c>
      <c r="B43" s="2051" t="s">
        <v>812</v>
      </c>
      <c r="C43" s="2062" t="e">
        <f>COUNTIF('[10]Raw Data Calcs'!FW$8:FW$300,"&gt;0") &amp; " out of " &amp; '[10]Raw Data Calcs'!$A$1</f>
        <v>#VALUE!</v>
      </c>
      <c r="D43" s="2053" t="str">
        <f>IF(ISERROR(AVERAGEIF('[10]Raw Data Calcs'!FV$8:FV$300,"&gt;0")),"0.00",AVERAGEIF('[10]Raw Data Calcs'!FV$8:FV$300,"&gt;0"))</f>
        <v>0.00</v>
      </c>
      <c r="E43" s="2054">
        <f>'[10]Clean Data'!FW3</f>
        <v>28958.476617131648</v>
      </c>
      <c r="F43" s="2054">
        <f>'[10]Clean Data'!FW4</f>
        <v>23411.794779328702</v>
      </c>
      <c r="G43" s="2054">
        <f>'[10]Clean Data'!FW5</f>
        <v>24323.1884057971</v>
      </c>
      <c r="H43" s="2054">
        <f>'[10]Clean Data'!FW6</f>
        <v>39672.241445597843</v>
      </c>
      <c r="I43" s="2054">
        <f>'[10]Clean Data'!FW7</f>
        <v>22880</v>
      </c>
    </row>
    <row r="44" spans="1:9">
      <c r="A44" s="2050" t="s">
        <v>813</v>
      </c>
      <c r="B44" s="2051" t="s">
        <v>814</v>
      </c>
      <c r="C44" s="2062" t="e">
        <f>COUNTIF('[10]Raw Data Calcs'!GU$8:GU$300,"&gt;0") &amp; " out of " &amp; '[10]Raw Data Calcs'!$A$1</f>
        <v>#VALUE!</v>
      </c>
      <c r="D44" s="2053" t="str">
        <f>IF(ISERROR(AVERAGEIF('[10]Raw Data Calcs'!GT$8:GT$300,"&gt;0")),"0.00",AVERAGEIF('[10]Raw Data Calcs'!GT$8:GT$300,"&gt;0"))</f>
        <v>0.00</v>
      </c>
      <c r="E44" s="2054">
        <f>'[10]Clean Data'!GU3</f>
        <v>36859.335634644187</v>
      </c>
      <c r="F44" s="2054">
        <f>'[10]Clean Data'!GU4</f>
        <v>37420.781577588605</v>
      </c>
      <c r="G44" s="2054">
        <f>'[10]Clean Data'!GU5</f>
        <v>37462.361111111109</v>
      </c>
      <c r="H44" s="2054">
        <f>'[10]Clean Data'!GU6</f>
        <v>49267.267267267271</v>
      </c>
      <c r="I44" s="2054">
        <f>'[10]Clean Data'!GU7</f>
        <v>23866.666666666668</v>
      </c>
    </row>
    <row r="45" spans="1:9">
      <c r="A45" s="2050" t="s">
        <v>815</v>
      </c>
      <c r="B45" s="2051" t="s">
        <v>816</v>
      </c>
      <c r="C45" s="2062" t="e">
        <f>COUNTIF('[10]Raw Data Calcs'!HA$8:HA$300,"&gt;0") &amp; " out of " &amp; '[10]Raw Data Calcs'!$A$1</f>
        <v>#VALUE!</v>
      </c>
      <c r="D45" s="2053" t="str">
        <f>IF(ISERROR(AVERAGEIF('[10]Raw Data Calcs'!GZ$8:GZ$300,"&gt;0")),"0.00",AVERAGEIF('[10]Raw Data Calcs'!GZ$8:GZ$300,"&gt;0"))</f>
        <v>0.00</v>
      </c>
      <c r="E45" s="2054">
        <f>'[10]Clean Data'!HA3</f>
        <v>39988.697065938359</v>
      </c>
      <c r="F45" s="2054">
        <f>'[10]Clean Data'!HA4</f>
        <v>40107.407362818318</v>
      </c>
      <c r="G45" s="2054">
        <f>'[10]Clean Data'!HA5</f>
        <v>40064.307692307688</v>
      </c>
      <c r="H45" s="2054">
        <f>'[10]Clean Data'!HA6</f>
        <v>54580.000000000007</v>
      </c>
      <c r="I45" s="2054">
        <f>'[10]Clean Data'!HA7</f>
        <v>22880</v>
      </c>
    </row>
    <row r="46" spans="1:9">
      <c r="A46" s="2050" t="s">
        <v>817</v>
      </c>
      <c r="B46" s="2051" t="s">
        <v>818</v>
      </c>
      <c r="C46" s="2062" t="e">
        <f>COUNTIF('[10]Raw Data Calcs'!HD$8:HD$300,"&gt;0") &amp; " out of " &amp; '[10]Raw Data Calcs'!$A$1</f>
        <v>#VALUE!</v>
      </c>
      <c r="D46" s="2053" t="str">
        <f>IF(ISERROR(AVERAGEIF('[10]Raw Data Calcs'!HC$8:HC$300,"&gt;0")),"0.00",AVERAGEIF('[10]Raw Data Calcs'!HC$8:HC$300,"&gt;0"))</f>
        <v>0.00</v>
      </c>
      <c r="E46" s="2054">
        <f>'[10]Clean Data'!HD3</f>
        <v>43678.007412866726</v>
      </c>
      <c r="F46" s="2054">
        <f>'[10]Clean Data'!HD4</f>
        <v>43870.345026278927</v>
      </c>
      <c r="G46" s="2054">
        <f>'[10]Clean Data'!HD5</f>
        <v>44236.100496277912</v>
      </c>
      <c r="H46" s="2054">
        <f>'[10]Clean Data'!HD6</f>
        <v>61551.818181818177</v>
      </c>
      <c r="I46" s="2054">
        <f>'[10]Clean Data'!HD7</f>
        <v>29300</v>
      </c>
    </row>
    <row r="47" spans="1:9">
      <c r="A47" s="2050" t="s">
        <v>819</v>
      </c>
      <c r="B47" s="2051" t="s">
        <v>820</v>
      </c>
      <c r="C47" s="2062" t="e">
        <f>COUNTIF('[10]Raw Data Calcs'!HG$8:HG$300,"&gt;0") &amp; " out of " &amp; '[10]Raw Data Calcs'!$A$1</f>
        <v>#VALUE!</v>
      </c>
      <c r="D47" s="2053" t="str">
        <f>IF(ISERROR(AVERAGEIF('[10]Raw Data Calcs'!HF$8:HF$300,"&gt;0")),"0.00",AVERAGEIF('[10]Raw Data Calcs'!HF$8:HF$300,"&gt;0"))</f>
        <v>0.00</v>
      </c>
      <c r="E47" s="2054">
        <f>'[10]Clean Data'!HG3</f>
        <v>41518.380331094391</v>
      </c>
      <c r="F47" s="2054">
        <f>'[10]Clean Data'!HG4</f>
        <v>35846.028713418003</v>
      </c>
      <c r="G47" s="2054">
        <f>'[10]Clean Data'!HG5</f>
        <v>42081.468652037613</v>
      </c>
      <c r="H47" s="2054">
        <f>'[10]Clean Data'!HG6</f>
        <v>54117.460317460318</v>
      </c>
      <c r="I47" s="2054">
        <f>'[10]Clean Data'!HG7</f>
        <v>30250.113378684808</v>
      </c>
    </row>
    <row r="48" spans="1:9">
      <c r="A48" s="2050" t="s">
        <v>821</v>
      </c>
      <c r="B48" s="2051" t="s">
        <v>822</v>
      </c>
      <c r="C48" s="2062" t="e">
        <f>COUNTIF('[10]Raw Data Calcs'!HJ$8:HJ$300,"&gt;0") &amp; " out of " &amp; '[10]Raw Data Calcs'!$A$1</f>
        <v>#VALUE!</v>
      </c>
      <c r="D48" s="2053" t="str">
        <f>IF(ISERROR(AVERAGEIF('[10]Raw Data Calcs'!HI$8:HI$300,"&gt;0")),"0.00",AVERAGEIF('[10]Raw Data Calcs'!HI$8:HI$300,"&gt;0"))</f>
        <v>0.00</v>
      </c>
      <c r="E48" s="2054">
        <f>'[10]Clean Data'!HJ3</f>
        <v>35456.073732297933</v>
      </c>
      <c r="F48" s="2054">
        <f>'[10]Clean Data'!HJ4</f>
        <v>36908.056204130109</v>
      </c>
      <c r="G48" s="2054">
        <f>'[10]Clean Data'!HJ5</f>
        <v>35159.419354838712</v>
      </c>
      <c r="H48" s="2054">
        <f>'[10]Clean Data'!HJ6</f>
        <v>50745.299999999996</v>
      </c>
      <c r="I48" s="2054">
        <f>'[10]Clean Data'!HJ7</f>
        <v>22880</v>
      </c>
    </row>
    <row r="49" spans="1:9">
      <c r="A49" s="2050" t="s">
        <v>823</v>
      </c>
      <c r="B49" s="2051" t="s">
        <v>824</v>
      </c>
      <c r="C49" s="2062" t="e">
        <f>COUNTIF('[10]Raw Data Calcs'!HM$8:HM$300,"&gt;0") &amp; " out of " &amp; '[10]Raw Data Calcs'!$A$1</f>
        <v>#VALUE!</v>
      </c>
      <c r="D49" s="2053" t="str">
        <f>IF(ISERROR(AVERAGEIF('[10]Raw Data Calcs'!HL$8:HL$300,"&gt;0")),"0.00",AVERAGEIF('[10]Raw Data Calcs'!HL$8:HL$300,"&gt;0"))</f>
        <v>0.00</v>
      </c>
      <c r="E49" s="2054">
        <f>'[10]Clean Data'!HM3</f>
        <v>33506.154205242136</v>
      </c>
      <c r="F49" s="2054">
        <f>'[10]Clean Data'!HM4</f>
        <v>29431.002746345879</v>
      </c>
      <c r="G49" s="2054">
        <f>'[10]Clean Data'!HM5</f>
        <v>30862.5</v>
      </c>
      <c r="H49" s="2054">
        <f>'[10]Clean Data'!HM6</f>
        <v>53166.666666666672</v>
      </c>
      <c r="I49" s="2054">
        <f>'[10]Clean Data'!HM7</f>
        <v>22880</v>
      </c>
    </row>
    <row r="50" spans="1:9">
      <c r="A50" s="2055"/>
      <c r="B50" s="2056"/>
      <c r="C50" s="2063"/>
      <c r="D50" s="2058"/>
      <c r="E50" s="2059"/>
      <c r="F50" s="2059"/>
      <c r="G50" s="2059"/>
      <c r="H50" s="2059"/>
      <c r="I50" s="2059"/>
    </row>
    <row r="51" spans="1:9">
      <c r="A51" s="2042"/>
      <c r="B51" s="2056"/>
      <c r="C51" s="2060"/>
      <c r="D51" s="2068"/>
      <c r="E51" s="2061"/>
      <c r="F51" s="2061"/>
      <c r="G51" s="2061"/>
      <c r="H51" s="2061"/>
      <c r="I51" s="2061"/>
    </row>
    <row r="52" spans="1:9">
      <c r="A52" s="2048" t="s">
        <v>734</v>
      </c>
      <c r="B52" s="2056"/>
      <c r="C52" s="2060"/>
      <c r="D52" s="2068"/>
      <c r="E52" s="2061"/>
      <c r="F52" s="2061"/>
      <c r="G52" s="2061"/>
      <c r="H52" s="2061"/>
      <c r="I52" s="2061"/>
    </row>
    <row r="53" spans="1:9">
      <c r="A53" s="2050" t="s">
        <v>825</v>
      </c>
      <c r="B53" s="2051" t="s">
        <v>826</v>
      </c>
      <c r="C53" s="2062" t="e">
        <f>COUNTIF('[10]Raw Data Calcs'!HP$8:HP$300,"&gt;0") &amp; " out of " &amp; '[10]Raw Data Calcs'!$A$1</f>
        <v>#VALUE!</v>
      </c>
      <c r="D53" s="2053" t="str">
        <f>IF(ISERROR(AVERAGEIF('[10]Raw Data Calcs'!HO$8:HO$300,"&gt;0")),"0.00",AVERAGEIF('[10]Raw Data Calcs'!HO$8:HO$300,"&gt;0"))</f>
        <v>0.00</v>
      </c>
      <c r="E53" s="2054">
        <f>'[10]Clean Data'!HP3</f>
        <v>37584.301726143844</v>
      </c>
      <c r="F53" s="2054">
        <f>'[10]Clean Data'!HP4</f>
        <v>37441.063168085981</v>
      </c>
      <c r="G53" s="2054">
        <f>'[10]Clean Data'!HP5</f>
        <v>36596.951219512193</v>
      </c>
      <c r="H53" s="2054">
        <f>'[10]Clean Data'!HP6</f>
        <v>61100</v>
      </c>
      <c r="I53" s="2054">
        <f>'[10]Clean Data'!HP7</f>
        <v>22880</v>
      </c>
    </row>
    <row r="54" spans="1:9">
      <c r="A54" s="2050" t="s">
        <v>827</v>
      </c>
      <c r="B54" s="2051" t="s">
        <v>828</v>
      </c>
      <c r="C54" s="2062" t="e">
        <f>COUNTIF('[10]Raw Data Calcs'!HS$8:HS$300,"&gt;0") &amp; " out of " &amp; '[10]Raw Data Calcs'!$A$1</f>
        <v>#VALUE!</v>
      </c>
      <c r="D54" s="2053" t="str">
        <f>IF(ISERROR(AVERAGEIF('[10]Raw Data Calcs'!HR$8:HR$300,"&gt;0")),"0.00",AVERAGEIF('[10]Raw Data Calcs'!HR$8:HR$300,"&gt;0"))</f>
        <v>0.00</v>
      </c>
      <c r="E54" s="2054">
        <f>'[10]Clean Data'!HS3</f>
        <v>37541.902968536859</v>
      </c>
      <c r="F54" s="2054">
        <f>'[10]Clean Data'!HS4</f>
        <v>34639.695170802974</v>
      </c>
      <c r="G54" s="2054">
        <f>'[10]Clean Data'!HS5</f>
        <v>38034.782608695648</v>
      </c>
      <c r="H54" s="2054">
        <f>'[10]Clean Data'!HS6</f>
        <v>60053.846153846149</v>
      </c>
      <c r="I54" s="2054">
        <f>'[10]Clean Data'!HS7</f>
        <v>22880</v>
      </c>
    </row>
    <row r="55" spans="1:9">
      <c r="A55" s="2050" t="s">
        <v>829</v>
      </c>
      <c r="B55" s="2051" t="s">
        <v>830</v>
      </c>
      <c r="C55" s="2062" t="e">
        <f>COUNTIF('[10]Raw Data Calcs'!HV$8:HV$300,"&gt;0") &amp; " out of " &amp; '[10]Raw Data Calcs'!$A$1</f>
        <v>#VALUE!</v>
      </c>
      <c r="D55" s="2053" t="str">
        <f>IF(ISERROR(AVERAGEIF('[10]Raw Data Calcs'!HU$8:HU$300,"&gt;0")),"0.00",AVERAGEIF('[10]Raw Data Calcs'!HU$8:HU$300,"&gt;0"))</f>
        <v>0.00</v>
      </c>
      <c r="E55" s="2054">
        <f>'[10]Clean Data'!HV3</f>
        <v>55762.954234084253</v>
      </c>
      <c r="F55" s="2054">
        <f>'[10]Clean Data'!HV4</f>
        <v>40894.878706199459</v>
      </c>
      <c r="G55" s="2054">
        <f>'[10]Clean Data'!HV5</f>
        <v>36200.335570469797</v>
      </c>
      <c r="H55" s="2054">
        <f>'[10]Clean Data'!HV6</f>
        <v>96346.666666666672</v>
      </c>
      <c r="I55" s="2054">
        <f>'[10]Clean Data'!HV7</f>
        <v>34741.860465116282</v>
      </c>
    </row>
    <row r="56" spans="1:9">
      <c r="E56" s="2071"/>
      <c r="F56" s="2071"/>
      <c r="G56" s="2071"/>
      <c r="H56" s="2071"/>
      <c r="I56" s="2071"/>
    </row>
    <row r="57" spans="1:9">
      <c r="E57" s="2071"/>
      <c r="F57" s="2071"/>
      <c r="G57" s="2071"/>
      <c r="H57" s="2071"/>
      <c r="I57" s="2071"/>
    </row>
    <row r="58" spans="1:9">
      <c r="D58" s="2072"/>
      <c r="E58" s="2071"/>
      <c r="F58" s="2071"/>
      <c r="G58" s="2071"/>
      <c r="H58" s="2071"/>
      <c r="I58" s="2071"/>
    </row>
    <row r="59" spans="1:9">
      <c r="D59" s="2072"/>
      <c r="E59" s="2071"/>
      <c r="F59" s="2071"/>
      <c r="G59" s="2071"/>
      <c r="H59" s="2071"/>
      <c r="I59" s="2071"/>
    </row>
    <row r="60" spans="1:9">
      <c r="D60" s="2072"/>
      <c r="E60" s="2071"/>
      <c r="G60" s="2071"/>
      <c r="H60" s="2071"/>
      <c r="I60" s="2071"/>
    </row>
    <row r="62" spans="1:9">
      <c r="E62" s="2045">
        <v>330241</v>
      </c>
      <c r="F62" s="2073">
        <f>310292</f>
        <v>310292</v>
      </c>
    </row>
    <row r="63" spans="1:9">
      <c r="E63" s="2045">
        <f>E62/9</f>
        <v>36693.444444444445</v>
      </c>
      <c r="F63" s="2074">
        <f>F62/9</f>
        <v>34476.888888888891</v>
      </c>
    </row>
    <row r="64" spans="1:9">
      <c r="E64" s="2045">
        <f>E63/2080</f>
        <v>17.64107905982906</v>
      </c>
      <c r="F64" s="2074">
        <f>F63/2080</f>
        <v>16.575427350427351</v>
      </c>
    </row>
    <row r="74" spans="7:7">
      <c r="G74" s="2045">
        <f>50518*0.0063</f>
        <v>318.26339999999999</v>
      </c>
    </row>
    <row r="75" spans="7:7">
      <c r="G75" s="2045">
        <f>G74*1.0142</f>
        <v>322.78274027999998</v>
      </c>
    </row>
  </sheetData>
  <sheetProtection password="DF97" sheet="1" objects="1" scenarios="1"/>
  <mergeCells count="2">
    <mergeCell ref="E1:I1"/>
    <mergeCell ref="K3:K6"/>
  </mergeCells>
  <pageMargins left="0.7" right="0.7" top="0.75" bottom="0.75" header="0.3" footer="0.3"/>
  <pageSetup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31"/>
  <sheetViews>
    <sheetView zoomScaleNormal="100" workbookViewId="0">
      <selection activeCell="C39" sqref="C39"/>
    </sheetView>
  </sheetViews>
  <sheetFormatPr defaultRowHeight="12.75"/>
  <cols>
    <col min="1" max="1" width="24.7109375" style="6" customWidth="1"/>
    <col min="2" max="2" width="16.140625" style="406" customWidth="1"/>
    <col min="3" max="3" width="10.140625" style="6" customWidth="1"/>
    <col min="4" max="4" width="13.85546875" style="412" customWidth="1"/>
    <col min="5" max="5" width="12.85546875" style="413" customWidth="1"/>
    <col min="6" max="6" width="10" style="6" bestFit="1" customWidth="1"/>
    <col min="7" max="7" width="36.85546875" style="6" customWidth="1"/>
    <col min="8" max="8" width="12.140625" style="6" customWidth="1"/>
    <col min="9" max="9" width="25" style="6" bestFit="1" customWidth="1"/>
    <col min="10" max="10" width="9.140625" style="6"/>
    <col min="11" max="11" width="15.7109375" style="6" customWidth="1"/>
    <col min="12" max="256" width="9.140625" style="6"/>
    <col min="257" max="257" width="24.7109375" style="6" customWidth="1"/>
    <col min="258" max="258" width="16.140625" style="6" customWidth="1"/>
    <col min="259" max="259" width="10.140625" style="6" customWidth="1"/>
    <col min="260" max="260" width="12.28515625" style="6" customWidth="1"/>
    <col min="261" max="261" width="12" style="6" customWidth="1"/>
    <col min="262" max="262" width="8.7109375" style="6" customWidth="1"/>
    <col min="263" max="263" width="9.5703125" style="6" customWidth="1"/>
    <col min="264" max="264" width="12.140625" style="6" customWidth="1"/>
    <col min="265" max="512" width="9.140625" style="6"/>
    <col min="513" max="513" width="24.7109375" style="6" customWidth="1"/>
    <col min="514" max="514" width="16.140625" style="6" customWidth="1"/>
    <col min="515" max="515" width="10.140625" style="6" customWidth="1"/>
    <col min="516" max="516" width="12.28515625" style="6" customWidth="1"/>
    <col min="517" max="517" width="12" style="6" customWidth="1"/>
    <col min="518" max="518" width="8.7109375" style="6" customWidth="1"/>
    <col min="519" max="519" width="9.5703125" style="6" customWidth="1"/>
    <col min="520" max="520" width="12.140625" style="6" customWidth="1"/>
    <col min="521" max="768" width="9.140625" style="6"/>
    <col min="769" max="769" width="24.7109375" style="6" customWidth="1"/>
    <col min="770" max="770" width="16.140625" style="6" customWidth="1"/>
    <col min="771" max="771" width="10.140625" style="6" customWidth="1"/>
    <col min="772" max="772" width="12.28515625" style="6" customWidth="1"/>
    <col min="773" max="773" width="12" style="6" customWidth="1"/>
    <col min="774" max="774" width="8.7109375" style="6" customWidth="1"/>
    <col min="775" max="775" width="9.5703125" style="6" customWidth="1"/>
    <col min="776" max="776" width="12.140625" style="6" customWidth="1"/>
    <col min="777" max="1024" width="9.140625" style="6"/>
    <col min="1025" max="1025" width="24.7109375" style="6" customWidth="1"/>
    <col min="1026" max="1026" width="16.140625" style="6" customWidth="1"/>
    <col min="1027" max="1027" width="10.140625" style="6" customWidth="1"/>
    <col min="1028" max="1028" width="12.28515625" style="6" customWidth="1"/>
    <col min="1029" max="1029" width="12" style="6" customWidth="1"/>
    <col min="1030" max="1030" width="8.7109375" style="6" customWidth="1"/>
    <col min="1031" max="1031" width="9.5703125" style="6" customWidth="1"/>
    <col min="1032" max="1032" width="12.140625" style="6" customWidth="1"/>
    <col min="1033" max="1280" width="9.140625" style="6"/>
    <col min="1281" max="1281" width="24.7109375" style="6" customWidth="1"/>
    <col min="1282" max="1282" width="16.140625" style="6" customWidth="1"/>
    <col min="1283" max="1283" width="10.140625" style="6" customWidth="1"/>
    <col min="1284" max="1284" width="12.28515625" style="6" customWidth="1"/>
    <col min="1285" max="1285" width="12" style="6" customWidth="1"/>
    <col min="1286" max="1286" width="8.7109375" style="6" customWidth="1"/>
    <col min="1287" max="1287" width="9.5703125" style="6" customWidth="1"/>
    <col min="1288" max="1288" width="12.140625" style="6" customWidth="1"/>
    <col min="1289" max="1536" width="9.140625" style="6"/>
    <col min="1537" max="1537" width="24.7109375" style="6" customWidth="1"/>
    <col min="1538" max="1538" width="16.140625" style="6" customWidth="1"/>
    <col min="1539" max="1539" width="10.140625" style="6" customWidth="1"/>
    <col min="1540" max="1540" width="12.28515625" style="6" customWidth="1"/>
    <col min="1541" max="1541" width="12" style="6" customWidth="1"/>
    <col min="1542" max="1542" width="8.7109375" style="6" customWidth="1"/>
    <col min="1543" max="1543" width="9.5703125" style="6" customWidth="1"/>
    <col min="1544" max="1544" width="12.140625" style="6" customWidth="1"/>
    <col min="1545" max="1792" width="9.140625" style="6"/>
    <col min="1793" max="1793" width="24.7109375" style="6" customWidth="1"/>
    <col min="1794" max="1794" width="16.140625" style="6" customWidth="1"/>
    <col min="1795" max="1795" width="10.140625" style="6" customWidth="1"/>
    <col min="1796" max="1796" width="12.28515625" style="6" customWidth="1"/>
    <col min="1797" max="1797" width="12" style="6" customWidth="1"/>
    <col min="1798" max="1798" width="8.7109375" style="6" customWidth="1"/>
    <col min="1799" max="1799" width="9.5703125" style="6" customWidth="1"/>
    <col min="1800" max="1800" width="12.140625" style="6" customWidth="1"/>
    <col min="1801" max="2048" width="9.140625" style="6"/>
    <col min="2049" max="2049" width="24.7109375" style="6" customWidth="1"/>
    <col min="2050" max="2050" width="16.140625" style="6" customWidth="1"/>
    <col min="2051" max="2051" width="10.140625" style="6" customWidth="1"/>
    <col min="2052" max="2052" width="12.28515625" style="6" customWidth="1"/>
    <col min="2053" max="2053" width="12" style="6" customWidth="1"/>
    <col min="2054" max="2054" width="8.7109375" style="6" customWidth="1"/>
    <col min="2055" max="2055" width="9.5703125" style="6" customWidth="1"/>
    <col min="2056" max="2056" width="12.140625" style="6" customWidth="1"/>
    <col min="2057" max="2304" width="9.140625" style="6"/>
    <col min="2305" max="2305" width="24.7109375" style="6" customWidth="1"/>
    <col min="2306" max="2306" width="16.140625" style="6" customWidth="1"/>
    <col min="2307" max="2307" width="10.140625" style="6" customWidth="1"/>
    <col min="2308" max="2308" width="12.28515625" style="6" customWidth="1"/>
    <col min="2309" max="2309" width="12" style="6" customWidth="1"/>
    <col min="2310" max="2310" width="8.7109375" style="6" customWidth="1"/>
    <col min="2311" max="2311" width="9.5703125" style="6" customWidth="1"/>
    <col min="2312" max="2312" width="12.140625" style="6" customWidth="1"/>
    <col min="2313" max="2560" width="9.140625" style="6"/>
    <col min="2561" max="2561" width="24.7109375" style="6" customWidth="1"/>
    <col min="2562" max="2562" width="16.140625" style="6" customWidth="1"/>
    <col min="2563" max="2563" width="10.140625" style="6" customWidth="1"/>
    <col min="2564" max="2564" width="12.28515625" style="6" customWidth="1"/>
    <col min="2565" max="2565" width="12" style="6" customWidth="1"/>
    <col min="2566" max="2566" width="8.7109375" style="6" customWidth="1"/>
    <col min="2567" max="2567" width="9.5703125" style="6" customWidth="1"/>
    <col min="2568" max="2568" width="12.140625" style="6" customWidth="1"/>
    <col min="2569" max="2816" width="9.140625" style="6"/>
    <col min="2817" max="2817" width="24.7109375" style="6" customWidth="1"/>
    <col min="2818" max="2818" width="16.140625" style="6" customWidth="1"/>
    <col min="2819" max="2819" width="10.140625" style="6" customWidth="1"/>
    <col min="2820" max="2820" width="12.28515625" style="6" customWidth="1"/>
    <col min="2821" max="2821" width="12" style="6" customWidth="1"/>
    <col min="2822" max="2822" width="8.7109375" style="6" customWidth="1"/>
    <col min="2823" max="2823" width="9.5703125" style="6" customWidth="1"/>
    <col min="2824" max="2824" width="12.140625" style="6" customWidth="1"/>
    <col min="2825" max="3072" width="9.140625" style="6"/>
    <col min="3073" max="3073" width="24.7109375" style="6" customWidth="1"/>
    <col min="3074" max="3074" width="16.140625" style="6" customWidth="1"/>
    <col min="3075" max="3075" width="10.140625" style="6" customWidth="1"/>
    <col min="3076" max="3076" width="12.28515625" style="6" customWidth="1"/>
    <col min="3077" max="3077" width="12" style="6" customWidth="1"/>
    <col min="3078" max="3078" width="8.7109375" style="6" customWidth="1"/>
    <col min="3079" max="3079" width="9.5703125" style="6" customWidth="1"/>
    <col min="3080" max="3080" width="12.140625" style="6" customWidth="1"/>
    <col min="3081" max="3328" width="9.140625" style="6"/>
    <col min="3329" max="3329" width="24.7109375" style="6" customWidth="1"/>
    <col min="3330" max="3330" width="16.140625" style="6" customWidth="1"/>
    <col min="3331" max="3331" width="10.140625" style="6" customWidth="1"/>
    <col min="3332" max="3332" width="12.28515625" style="6" customWidth="1"/>
    <col min="3333" max="3333" width="12" style="6" customWidth="1"/>
    <col min="3334" max="3334" width="8.7109375" style="6" customWidth="1"/>
    <col min="3335" max="3335" width="9.5703125" style="6" customWidth="1"/>
    <col min="3336" max="3336" width="12.140625" style="6" customWidth="1"/>
    <col min="3337" max="3584" width="9.140625" style="6"/>
    <col min="3585" max="3585" width="24.7109375" style="6" customWidth="1"/>
    <col min="3586" max="3586" width="16.140625" style="6" customWidth="1"/>
    <col min="3587" max="3587" width="10.140625" style="6" customWidth="1"/>
    <col min="3588" max="3588" width="12.28515625" style="6" customWidth="1"/>
    <col min="3589" max="3589" width="12" style="6" customWidth="1"/>
    <col min="3590" max="3590" width="8.7109375" style="6" customWidth="1"/>
    <col min="3591" max="3591" width="9.5703125" style="6" customWidth="1"/>
    <col min="3592" max="3592" width="12.140625" style="6" customWidth="1"/>
    <col min="3593" max="3840" width="9.140625" style="6"/>
    <col min="3841" max="3841" width="24.7109375" style="6" customWidth="1"/>
    <col min="3842" max="3842" width="16.140625" style="6" customWidth="1"/>
    <col min="3843" max="3843" width="10.140625" style="6" customWidth="1"/>
    <col min="3844" max="3844" width="12.28515625" style="6" customWidth="1"/>
    <col min="3845" max="3845" width="12" style="6" customWidth="1"/>
    <col min="3846" max="3846" width="8.7109375" style="6" customWidth="1"/>
    <col min="3847" max="3847" width="9.5703125" style="6" customWidth="1"/>
    <col min="3848" max="3848" width="12.140625" style="6" customWidth="1"/>
    <col min="3849" max="4096" width="9.140625" style="6"/>
    <col min="4097" max="4097" width="24.7109375" style="6" customWidth="1"/>
    <col min="4098" max="4098" width="16.140625" style="6" customWidth="1"/>
    <col min="4099" max="4099" width="10.140625" style="6" customWidth="1"/>
    <col min="4100" max="4100" width="12.28515625" style="6" customWidth="1"/>
    <col min="4101" max="4101" width="12" style="6" customWidth="1"/>
    <col min="4102" max="4102" width="8.7109375" style="6" customWidth="1"/>
    <col min="4103" max="4103" width="9.5703125" style="6" customWidth="1"/>
    <col min="4104" max="4104" width="12.140625" style="6" customWidth="1"/>
    <col min="4105" max="4352" width="9.140625" style="6"/>
    <col min="4353" max="4353" width="24.7109375" style="6" customWidth="1"/>
    <col min="4354" max="4354" width="16.140625" style="6" customWidth="1"/>
    <col min="4355" max="4355" width="10.140625" style="6" customWidth="1"/>
    <col min="4356" max="4356" width="12.28515625" style="6" customWidth="1"/>
    <col min="4357" max="4357" width="12" style="6" customWidth="1"/>
    <col min="4358" max="4358" width="8.7109375" style="6" customWidth="1"/>
    <col min="4359" max="4359" width="9.5703125" style="6" customWidth="1"/>
    <col min="4360" max="4360" width="12.140625" style="6" customWidth="1"/>
    <col min="4361" max="4608" width="9.140625" style="6"/>
    <col min="4609" max="4609" width="24.7109375" style="6" customWidth="1"/>
    <col min="4610" max="4610" width="16.140625" style="6" customWidth="1"/>
    <col min="4611" max="4611" width="10.140625" style="6" customWidth="1"/>
    <col min="4612" max="4612" width="12.28515625" style="6" customWidth="1"/>
    <col min="4613" max="4613" width="12" style="6" customWidth="1"/>
    <col min="4614" max="4614" width="8.7109375" style="6" customWidth="1"/>
    <col min="4615" max="4615" width="9.5703125" style="6" customWidth="1"/>
    <col min="4616" max="4616" width="12.140625" style="6" customWidth="1"/>
    <col min="4617" max="4864" width="9.140625" style="6"/>
    <col min="4865" max="4865" width="24.7109375" style="6" customWidth="1"/>
    <col min="4866" max="4866" width="16.140625" style="6" customWidth="1"/>
    <col min="4867" max="4867" width="10.140625" style="6" customWidth="1"/>
    <col min="4868" max="4868" width="12.28515625" style="6" customWidth="1"/>
    <col min="4869" max="4869" width="12" style="6" customWidth="1"/>
    <col min="4870" max="4870" width="8.7109375" style="6" customWidth="1"/>
    <col min="4871" max="4871" width="9.5703125" style="6" customWidth="1"/>
    <col min="4872" max="4872" width="12.140625" style="6" customWidth="1"/>
    <col min="4873" max="5120" width="9.140625" style="6"/>
    <col min="5121" max="5121" width="24.7109375" style="6" customWidth="1"/>
    <col min="5122" max="5122" width="16.140625" style="6" customWidth="1"/>
    <col min="5123" max="5123" width="10.140625" style="6" customWidth="1"/>
    <col min="5124" max="5124" width="12.28515625" style="6" customWidth="1"/>
    <col min="5125" max="5125" width="12" style="6" customWidth="1"/>
    <col min="5126" max="5126" width="8.7109375" style="6" customWidth="1"/>
    <col min="5127" max="5127" width="9.5703125" style="6" customWidth="1"/>
    <col min="5128" max="5128" width="12.140625" style="6" customWidth="1"/>
    <col min="5129" max="5376" width="9.140625" style="6"/>
    <col min="5377" max="5377" width="24.7109375" style="6" customWidth="1"/>
    <col min="5378" max="5378" width="16.140625" style="6" customWidth="1"/>
    <col min="5379" max="5379" width="10.140625" style="6" customWidth="1"/>
    <col min="5380" max="5380" width="12.28515625" style="6" customWidth="1"/>
    <col min="5381" max="5381" width="12" style="6" customWidth="1"/>
    <col min="5382" max="5382" width="8.7109375" style="6" customWidth="1"/>
    <col min="5383" max="5383" width="9.5703125" style="6" customWidth="1"/>
    <col min="5384" max="5384" width="12.140625" style="6" customWidth="1"/>
    <col min="5385" max="5632" width="9.140625" style="6"/>
    <col min="5633" max="5633" width="24.7109375" style="6" customWidth="1"/>
    <col min="5634" max="5634" width="16.140625" style="6" customWidth="1"/>
    <col min="5635" max="5635" width="10.140625" style="6" customWidth="1"/>
    <col min="5636" max="5636" width="12.28515625" style="6" customWidth="1"/>
    <col min="5637" max="5637" width="12" style="6" customWidth="1"/>
    <col min="5638" max="5638" width="8.7109375" style="6" customWidth="1"/>
    <col min="5639" max="5639" width="9.5703125" style="6" customWidth="1"/>
    <col min="5640" max="5640" width="12.140625" style="6" customWidth="1"/>
    <col min="5641" max="5888" width="9.140625" style="6"/>
    <col min="5889" max="5889" width="24.7109375" style="6" customWidth="1"/>
    <col min="5890" max="5890" width="16.140625" style="6" customWidth="1"/>
    <col min="5891" max="5891" width="10.140625" style="6" customWidth="1"/>
    <col min="5892" max="5892" width="12.28515625" style="6" customWidth="1"/>
    <col min="5893" max="5893" width="12" style="6" customWidth="1"/>
    <col min="5894" max="5894" width="8.7109375" style="6" customWidth="1"/>
    <col min="5895" max="5895" width="9.5703125" style="6" customWidth="1"/>
    <col min="5896" max="5896" width="12.140625" style="6" customWidth="1"/>
    <col min="5897" max="6144" width="9.140625" style="6"/>
    <col min="6145" max="6145" width="24.7109375" style="6" customWidth="1"/>
    <col min="6146" max="6146" width="16.140625" style="6" customWidth="1"/>
    <col min="6147" max="6147" width="10.140625" style="6" customWidth="1"/>
    <col min="6148" max="6148" width="12.28515625" style="6" customWidth="1"/>
    <col min="6149" max="6149" width="12" style="6" customWidth="1"/>
    <col min="6150" max="6150" width="8.7109375" style="6" customWidth="1"/>
    <col min="6151" max="6151" width="9.5703125" style="6" customWidth="1"/>
    <col min="6152" max="6152" width="12.140625" style="6" customWidth="1"/>
    <col min="6153" max="6400" width="9.140625" style="6"/>
    <col min="6401" max="6401" width="24.7109375" style="6" customWidth="1"/>
    <col min="6402" max="6402" width="16.140625" style="6" customWidth="1"/>
    <col min="6403" max="6403" width="10.140625" style="6" customWidth="1"/>
    <col min="6404" max="6404" width="12.28515625" style="6" customWidth="1"/>
    <col min="6405" max="6405" width="12" style="6" customWidth="1"/>
    <col min="6406" max="6406" width="8.7109375" style="6" customWidth="1"/>
    <col min="6407" max="6407" width="9.5703125" style="6" customWidth="1"/>
    <col min="6408" max="6408" width="12.140625" style="6" customWidth="1"/>
    <col min="6409" max="6656" width="9.140625" style="6"/>
    <col min="6657" max="6657" width="24.7109375" style="6" customWidth="1"/>
    <col min="6658" max="6658" width="16.140625" style="6" customWidth="1"/>
    <col min="6659" max="6659" width="10.140625" style="6" customWidth="1"/>
    <col min="6660" max="6660" width="12.28515625" style="6" customWidth="1"/>
    <col min="6661" max="6661" width="12" style="6" customWidth="1"/>
    <col min="6662" max="6662" width="8.7109375" style="6" customWidth="1"/>
    <col min="6663" max="6663" width="9.5703125" style="6" customWidth="1"/>
    <col min="6664" max="6664" width="12.140625" style="6" customWidth="1"/>
    <col min="6665" max="6912" width="9.140625" style="6"/>
    <col min="6913" max="6913" width="24.7109375" style="6" customWidth="1"/>
    <col min="6914" max="6914" width="16.140625" style="6" customWidth="1"/>
    <col min="6915" max="6915" width="10.140625" style="6" customWidth="1"/>
    <col min="6916" max="6916" width="12.28515625" style="6" customWidth="1"/>
    <col min="6917" max="6917" width="12" style="6" customWidth="1"/>
    <col min="6918" max="6918" width="8.7109375" style="6" customWidth="1"/>
    <col min="6919" max="6919" width="9.5703125" style="6" customWidth="1"/>
    <col min="6920" max="6920" width="12.140625" style="6" customWidth="1"/>
    <col min="6921" max="7168" width="9.140625" style="6"/>
    <col min="7169" max="7169" width="24.7109375" style="6" customWidth="1"/>
    <col min="7170" max="7170" width="16.140625" style="6" customWidth="1"/>
    <col min="7171" max="7171" width="10.140625" style="6" customWidth="1"/>
    <col min="7172" max="7172" width="12.28515625" style="6" customWidth="1"/>
    <col min="7173" max="7173" width="12" style="6" customWidth="1"/>
    <col min="7174" max="7174" width="8.7109375" style="6" customWidth="1"/>
    <col min="7175" max="7175" width="9.5703125" style="6" customWidth="1"/>
    <col min="7176" max="7176" width="12.140625" style="6" customWidth="1"/>
    <col min="7177" max="7424" width="9.140625" style="6"/>
    <col min="7425" max="7425" width="24.7109375" style="6" customWidth="1"/>
    <col min="7426" max="7426" width="16.140625" style="6" customWidth="1"/>
    <col min="7427" max="7427" width="10.140625" style="6" customWidth="1"/>
    <col min="7428" max="7428" width="12.28515625" style="6" customWidth="1"/>
    <col min="7429" max="7429" width="12" style="6" customWidth="1"/>
    <col min="7430" max="7430" width="8.7109375" style="6" customWidth="1"/>
    <col min="7431" max="7431" width="9.5703125" style="6" customWidth="1"/>
    <col min="7432" max="7432" width="12.140625" style="6" customWidth="1"/>
    <col min="7433" max="7680" width="9.140625" style="6"/>
    <col min="7681" max="7681" width="24.7109375" style="6" customWidth="1"/>
    <col min="7682" max="7682" width="16.140625" style="6" customWidth="1"/>
    <col min="7683" max="7683" width="10.140625" style="6" customWidth="1"/>
    <col min="7684" max="7684" width="12.28515625" style="6" customWidth="1"/>
    <col min="7685" max="7685" width="12" style="6" customWidth="1"/>
    <col min="7686" max="7686" width="8.7109375" style="6" customWidth="1"/>
    <col min="7687" max="7687" width="9.5703125" style="6" customWidth="1"/>
    <col min="7688" max="7688" width="12.140625" style="6" customWidth="1"/>
    <col min="7689" max="7936" width="9.140625" style="6"/>
    <col min="7937" max="7937" width="24.7109375" style="6" customWidth="1"/>
    <col min="7938" max="7938" width="16.140625" style="6" customWidth="1"/>
    <col min="7939" max="7939" width="10.140625" style="6" customWidth="1"/>
    <col min="7940" max="7940" width="12.28515625" style="6" customWidth="1"/>
    <col min="7941" max="7941" width="12" style="6" customWidth="1"/>
    <col min="7942" max="7942" width="8.7109375" style="6" customWidth="1"/>
    <col min="7943" max="7943" width="9.5703125" style="6" customWidth="1"/>
    <col min="7944" max="7944" width="12.140625" style="6" customWidth="1"/>
    <col min="7945" max="8192" width="9.140625" style="6"/>
    <col min="8193" max="8193" width="24.7109375" style="6" customWidth="1"/>
    <col min="8194" max="8194" width="16.140625" style="6" customWidth="1"/>
    <col min="8195" max="8195" width="10.140625" style="6" customWidth="1"/>
    <col min="8196" max="8196" width="12.28515625" style="6" customWidth="1"/>
    <col min="8197" max="8197" width="12" style="6" customWidth="1"/>
    <col min="8198" max="8198" width="8.7109375" style="6" customWidth="1"/>
    <col min="8199" max="8199" width="9.5703125" style="6" customWidth="1"/>
    <col min="8200" max="8200" width="12.140625" style="6" customWidth="1"/>
    <col min="8201" max="8448" width="9.140625" style="6"/>
    <col min="8449" max="8449" width="24.7109375" style="6" customWidth="1"/>
    <col min="8450" max="8450" width="16.140625" style="6" customWidth="1"/>
    <col min="8451" max="8451" width="10.140625" style="6" customWidth="1"/>
    <col min="8452" max="8452" width="12.28515625" style="6" customWidth="1"/>
    <col min="8453" max="8453" width="12" style="6" customWidth="1"/>
    <col min="8454" max="8454" width="8.7109375" style="6" customWidth="1"/>
    <col min="8455" max="8455" width="9.5703125" style="6" customWidth="1"/>
    <col min="8456" max="8456" width="12.140625" style="6" customWidth="1"/>
    <col min="8457" max="8704" width="9.140625" style="6"/>
    <col min="8705" max="8705" width="24.7109375" style="6" customWidth="1"/>
    <col min="8706" max="8706" width="16.140625" style="6" customWidth="1"/>
    <col min="8707" max="8707" width="10.140625" style="6" customWidth="1"/>
    <col min="8708" max="8708" width="12.28515625" style="6" customWidth="1"/>
    <col min="8709" max="8709" width="12" style="6" customWidth="1"/>
    <col min="8710" max="8710" width="8.7109375" style="6" customWidth="1"/>
    <col min="8711" max="8711" width="9.5703125" style="6" customWidth="1"/>
    <col min="8712" max="8712" width="12.140625" style="6" customWidth="1"/>
    <col min="8713" max="8960" width="9.140625" style="6"/>
    <col min="8961" max="8961" width="24.7109375" style="6" customWidth="1"/>
    <col min="8962" max="8962" width="16.140625" style="6" customWidth="1"/>
    <col min="8963" max="8963" width="10.140625" style="6" customWidth="1"/>
    <col min="8964" max="8964" width="12.28515625" style="6" customWidth="1"/>
    <col min="8965" max="8965" width="12" style="6" customWidth="1"/>
    <col min="8966" max="8966" width="8.7109375" style="6" customWidth="1"/>
    <col min="8967" max="8967" width="9.5703125" style="6" customWidth="1"/>
    <col min="8968" max="8968" width="12.140625" style="6" customWidth="1"/>
    <col min="8969" max="9216" width="9.140625" style="6"/>
    <col min="9217" max="9217" width="24.7109375" style="6" customWidth="1"/>
    <col min="9218" max="9218" width="16.140625" style="6" customWidth="1"/>
    <col min="9219" max="9219" width="10.140625" style="6" customWidth="1"/>
    <col min="9220" max="9220" width="12.28515625" style="6" customWidth="1"/>
    <col min="9221" max="9221" width="12" style="6" customWidth="1"/>
    <col min="9222" max="9222" width="8.7109375" style="6" customWidth="1"/>
    <col min="9223" max="9223" width="9.5703125" style="6" customWidth="1"/>
    <col min="9224" max="9224" width="12.140625" style="6" customWidth="1"/>
    <col min="9225" max="9472" width="9.140625" style="6"/>
    <col min="9473" max="9473" width="24.7109375" style="6" customWidth="1"/>
    <col min="9474" max="9474" width="16.140625" style="6" customWidth="1"/>
    <col min="9475" max="9475" width="10.140625" style="6" customWidth="1"/>
    <col min="9476" max="9476" width="12.28515625" style="6" customWidth="1"/>
    <col min="9477" max="9477" width="12" style="6" customWidth="1"/>
    <col min="9478" max="9478" width="8.7109375" style="6" customWidth="1"/>
    <col min="9479" max="9479" width="9.5703125" style="6" customWidth="1"/>
    <col min="9480" max="9480" width="12.140625" style="6" customWidth="1"/>
    <col min="9481" max="9728" width="9.140625" style="6"/>
    <col min="9729" max="9729" width="24.7109375" style="6" customWidth="1"/>
    <col min="9730" max="9730" width="16.140625" style="6" customWidth="1"/>
    <col min="9731" max="9731" width="10.140625" style="6" customWidth="1"/>
    <col min="9732" max="9732" width="12.28515625" style="6" customWidth="1"/>
    <col min="9733" max="9733" width="12" style="6" customWidth="1"/>
    <col min="9734" max="9734" width="8.7109375" style="6" customWidth="1"/>
    <col min="9735" max="9735" width="9.5703125" style="6" customWidth="1"/>
    <col min="9736" max="9736" width="12.140625" style="6" customWidth="1"/>
    <col min="9737" max="9984" width="9.140625" style="6"/>
    <col min="9985" max="9985" width="24.7109375" style="6" customWidth="1"/>
    <col min="9986" max="9986" width="16.140625" style="6" customWidth="1"/>
    <col min="9987" max="9987" width="10.140625" style="6" customWidth="1"/>
    <col min="9988" max="9988" width="12.28515625" style="6" customWidth="1"/>
    <col min="9989" max="9989" width="12" style="6" customWidth="1"/>
    <col min="9990" max="9990" width="8.7109375" style="6" customWidth="1"/>
    <col min="9991" max="9991" width="9.5703125" style="6" customWidth="1"/>
    <col min="9992" max="9992" width="12.140625" style="6" customWidth="1"/>
    <col min="9993" max="10240" width="9.140625" style="6"/>
    <col min="10241" max="10241" width="24.7109375" style="6" customWidth="1"/>
    <col min="10242" max="10242" width="16.140625" style="6" customWidth="1"/>
    <col min="10243" max="10243" width="10.140625" style="6" customWidth="1"/>
    <col min="10244" max="10244" width="12.28515625" style="6" customWidth="1"/>
    <col min="10245" max="10245" width="12" style="6" customWidth="1"/>
    <col min="10246" max="10246" width="8.7109375" style="6" customWidth="1"/>
    <col min="10247" max="10247" width="9.5703125" style="6" customWidth="1"/>
    <col min="10248" max="10248" width="12.140625" style="6" customWidth="1"/>
    <col min="10249" max="10496" width="9.140625" style="6"/>
    <col min="10497" max="10497" width="24.7109375" style="6" customWidth="1"/>
    <col min="10498" max="10498" width="16.140625" style="6" customWidth="1"/>
    <col min="10499" max="10499" width="10.140625" style="6" customWidth="1"/>
    <col min="10500" max="10500" width="12.28515625" style="6" customWidth="1"/>
    <col min="10501" max="10501" width="12" style="6" customWidth="1"/>
    <col min="10502" max="10502" width="8.7109375" style="6" customWidth="1"/>
    <col min="10503" max="10503" width="9.5703125" style="6" customWidth="1"/>
    <col min="10504" max="10504" width="12.140625" style="6" customWidth="1"/>
    <col min="10505" max="10752" width="9.140625" style="6"/>
    <col min="10753" max="10753" width="24.7109375" style="6" customWidth="1"/>
    <col min="10754" max="10754" width="16.140625" style="6" customWidth="1"/>
    <col min="10755" max="10755" width="10.140625" style="6" customWidth="1"/>
    <col min="10756" max="10756" width="12.28515625" style="6" customWidth="1"/>
    <col min="10757" max="10757" width="12" style="6" customWidth="1"/>
    <col min="10758" max="10758" width="8.7109375" style="6" customWidth="1"/>
    <col min="10759" max="10759" width="9.5703125" style="6" customWidth="1"/>
    <col min="10760" max="10760" width="12.140625" style="6" customWidth="1"/>
    <col min="10761" max="11008" width="9.140625" style="6"/>
    <col min="11009" max="11009" width="24.7109375" style="6" customWidth="1"/>
    <col min="11010" max="11010" width="16.140625" style="6" customWidth="1"/>
    <col min="11011" max="11011" width="10.140625" style="6" customWidth="1"/>
    <col min="11012" max="11012" width="12.28515625" style="6" customWidth="1"/>
    <col min="11013" max="11013" width="12" style="6" customWidth="1"/>
    <col min="11014" max="11014" width="8.7109375" style="6" customWidth="1"/>
    <col min="11015" max="11015" width="9.5703125" style="6" customWidth="1"/>
    <col min="11016" max="11016" width="12.140625" style="6" customWidth="1"/>
    <col min="11017" max="11264" width="9.140625" style="6"/>
    <col min="11265" max="11265" width="24.7109375" style="6" customWidth="1"/>
    <col min="11266" max="11266" width="16.140625" style="6" customWidth="1"/>
    <col min="11267" max="11267" width="10.140625" style="6" customWidth="1"/>
    <col min="11268" max="11268" width="12.28515625" style="6" customWidth="1"/>
    <col min="11269" max="11269" width="12" style="6" customWidth="1"/>
    <col min="11270" max="11270" width="8.7109375" style="6" customWidth="1"/>
    <col min="11271" max="11271" width="9.5703125" style="6" customWidth="1"/>
    <col min="11272" max="11272" width="12.140625" style="6" customWidth="1"/>
    <col min="11273" max="11520" width="9.140625" style="6"/>
    <col min="11521" max="11521" width="24.7109375" style="6" customWidth="1"/>
    <col min="11522" max="11522" width="16.140625" style="6" customWidth="1"/>
    <col min="11523" max="11523" width="10.140625" style="6" customWidth="1"/>
    <col min="11524" max="11524" width="12.28515625" style="6" customWidth="1"/>
    <col min="11525" max="11525" width="12" style="6" customWidth="1"/>
    <col min="11526" max="11526" width="8.7109375" style="6" customWidth="1"/>
    <col min="11527" max="11527" width="9.5703125" style="6" customWidth="1"/>
    <col min="11528" max="11528" width="12.140625" style="6" customWidth="1"/>
    <col min="11529" max="11776" width="9.140625" style="6"/>
    <col min="11777" max="11777" width="24.7109375" style="6" customWidth="1"/>
    <col min="11778" max="11778" width="16.140625" style="6" customWidth="1"/>
    <col min="11779" max="11779" width="10.140625" style="6" customWidth="1"/>
    <col min="11780" max="11780" width="12.28515625" style="6" customWidth="1"/>
    <col min="11781" max="11781" width="12" style="6" customWidth="1"/>
    <col min="11782" max="11782" width="8.7109375" style="6" customWidth="1"/>
    <col min="11783" max="11783" width="9.5703125" style="6" customWidth="1"/>
    <col min="11784" max="11784" width="12.140625" style="6" customWidth="1"/>
    <col min="11785" max="12032" width="9.140625" style="6"/>
    <col min="12033" max="12033" width="24.7109375" style="6" customWidth="1"/>
    <col min="12034" max="12034" width="16.140625" style="6" customWidth="1"/>
    <col min="12035" max="12035" width="10.140625" style="6" customWidth="1"/>
    <col min="12036" max="12036" width="12.28515625" style="6" customWidth="1"/>
    <col min="12037" max="12037" width="12" style="6" customWidth="1"/>
    <col min="12038" max="12038" width="8.7109375" style="6" customWidth="1"/>
    <col min="12039" max="12039" width="9.5703125" style="6" customWidth="1"/>
    <col min="12040" max="12040" width="12.140625" style="6" customWidth="1"/>
    <col min="12041" max="12288" width="9.140625" style="6"/>
    <col min="12289" max="12289" width="24.7109375" style="6" customWidth="1"/>
    <col min="12290" max="12290" width="16.140625" style="6" customWidth="1"/>
    <col min="12291" max="12291" width="10.140625" style="6" customWidth="1"/>
    <col min="12292" max="12292" width="12.28515625" style="6" customWidth="1"/>
    <col min="12293" max="12293" width="12" style="6" customWidth="1"/>
    <col min="12294" max="12294" width="8.7109375" style="6" customWidth="1"/>
    <col min="12295" max="12295" width="9.5703125" style="6" customWidth="1"/>
    <col min="12296" max="12296" width="12.140625" style="6" customWidth="1"/>
    <col min="12297" max="12544" width="9.140625" style="6"/>
    <col min="12545" max="12545" width="24.7109375" style="6" customWidth="1"/>
    <col min="12546" max="12546" width="16.140625" style="6" customWidth="1"/>
    <col min="12547" max="12547" width="10.140625" style="6" customWidth="1"/>
    <col min="12548" max="12548" width="12.28515625" style="6" customWidth="1"/>
    <col min="12549" max="12549" width="12" style="6" customWidth="1"/>
    <col min="12550" max="12550" width="8.7109375" style="6" customWidth="1"/>
    <col min="12551" max="12551" width="9.5703125" style="6" customWidth="1"/>
    <col min="12552" max="12552" width="12.140625" style="6" customWidth="1"/>
    <col min="12553" max="12800" width="9.140625" style="6"/>
    <col min="12801" max="12801" width="24.7109375" style="6" customWidth="1"/>
    <col min="12802" max="12802" width="16.140625" style="6" customWidth="1"/>
    <col min="12803" max="12803" width="10.140625" style="6" customWidth="1"/>
    <col min="12804" max="12804" width="12.28515625" style="6" customWidth="1"/>
    <col min="12805" max="12805" width="12" style="6" customWidth="1"/>
    <col min="12806" max="12806" width="8.7109375" style="6" customWidth="1"/>
    <col min="12807" max="12807" width="9.5703125" style="6" customWidth="1"/>
    <col min="12808" max="12808" width="12.140625" style="6" customWidth="1"/>
    <col min="12809" max="13056" width="9.140625" style="6"/>
    <col min="13057" max="13057" width="24.7109375" style="6" customWidth="1"/>
    <col min="13058" max="13058" width="16.140625" style="6" customWidth="1"/>
    <col min="13059" max="13059" width="10.140625" style="6" customWidth="1"/>
    <col min="13060" max="13060" width="12.28515625" style="6" customWidth="1"/>
    <col min="13061" max="13061" width="12" style="6" customWidth="1"/>
    <col min="13062" max="13062" width="8.7109375" style="6" customWidth="1"/>
    <col min="13063" max="13063" width="9.5703125" style="6" customWidth="1"/>
    <col min="13064" max="13064" width="12.140625" style="6" customWidth="1"/>
    <col min="13065" max="13312" width="9.140625" style="6"/>
    <col min="13313" max="13313" width="24.7109375" style="6" customWidth="1"/>
    <col min="13314" max="13314" width="16.140625" style="6" customWidth="1"/>
    <col min="13315" max="13315" width="10.140625" style="6" customWidth="1"/>
    <col min="13316" max="13316" width="12.28515625" style="6" customWidth="1"/>
    <col min="13317" max="13317" width="12" style="6" customWidth="1"/>
    <col min="13318" max="13318" width="8.7109375" style="6" customWidth="1"/>
    <col min="13319" max="13319" width="9.5703125" style="6" customWidth="1"/>
    <col min="13320" max="13320" width="12.140625" style="6" customWidth="1"/>
    <col min="13321" max="13568" width="9.140625" style="6"/>
    <col min="13569" max="13569" width="24.7109375" style="6" customWidth="1"/>
    <col min="13570" max="13570" width="16.140625" style="6" customWidth="1"/>
    <col min="13571" max="13571" width="10.140625" style="6" customWidth="1"/>
    <col min="13572" max="13572" width="12.28515625" style="6" customWidth="1"/>
    <col min="13573" max="13573" width="12" style="6" customWidth="1"/>
    <col min="13574" max="13574" width="8.7109375" style="6" customWidth="1"/>
    <col min="13575" max="13575" width="9.5703125" style="6" customWidth="1"/>
    <col min="13576" max="13576" width="12.140625" style="6" customWidth="1"/>
    <col min="13577" max="13824" width="9.140625" style="6"/>
    <col min="13825" max="13825" width="24.7109375" style="6" customWidth="1"/>
    <col min="13826" max="13826" width="16.140625" style="6" customWidth="1"/>
    <col min="13827" max="13827" width="10.140625" style="6" customWidth="1"/>
    <col min="13828" max="13828" width="12.28515625" style="6" customWidth="1"/>
    <col min="13829" max="13829" width="12" style="6" customWidth="1"/>
    <col min="13830" max="13830" width="8.7109375" style="6" customWidth="1"/>
    <col min="13831" max="13831" width="9.5703125" style="6" customWidth="1"/>
    <col min="13832" max="13832" width="12.140625" style="6" customWidth="1"/>
    <col min="13833" max="14080" width="9.140625" style="6"/>
    <col min="14081" max="14081" width="24.7109375" style="6" customWidth="1"/>
    <col min="14082" max="14082" width="16.140625" style="6" customWidth="1"/>
    <col min="14083" max="14083" width="10.140625" style="6" customWidth="1"/>
    <col min="14084" max="14084" width="12.28515625" style="6" customWidth="1"/>
    <col min="14085" max="14085" width="12" style="6" customWidth="1"/>
    <col min="14086" max="14086" width="8.7109375" style="6" customWidth="1"/>
    <col min="14087" max="14087" width="9.5703125" style="6" customWidth="1"/>
    <col min="14088" max="14088" width="12.140625" style="6" customWidth="1"/>
    <col min="14089" max="14336" width="9.140625" style="6"/>
    <col min="14337" max="14337" width="24.7109375" style="6" customWidth="1"/>
    <col min="14338" max="14338" width="16.140625" style="6" customWidth="1"/>
    <col min="14339" max="14339" width="10.140625" style="6" customWidth="1"/>
    <col min="14340" max="14340" width="12.28515625" style="6" customWidth="1"/>
    <col min="14341" max="14341" width="12" style="6" customWidth="1"/>
    <col min="14342" max="14342" width="8.7109375" style="6" customWidth="1"/>
    <col min="14343" max="14343" width="9.5703125" style="6" customWidth="1"/>
    <col min="14344" max="14344" width="12.140625" style="6" customWidth="1"/>
    <col min="14345" max="14592" width="9.140625" style="6"/>
    <col min="14593" max="14593" width="24.7109375" style="6" customWidth="1"/>
    <col min="14594" max="14594" width="16.140625" style="6" customWidth="1"/>
    <col min="14595" max="14595" width="10.140625" style="6" customWidth="1"/>
    <col min="14596" max="14596" width="12.28515625" style="6" customWidth="1"/>
    <col min="14597" max="14597" width="12" style="6" customWidth="1"/>
    <col min="14598" max="14598" width="8.7109375" style="6" customWidth="1"/>
    <col min="14599" max="14599" width="9.5703125" style="6" customWidth="1"/>
    <col min="14600" max="14600" width="12.140625" style="6" customWidth="1"/>
    <col min="14601" max="14848" width="9.140625" style="6"/>
    <col min="14849" max="14849" width="24.7109375" style="6" customWidth="1"/>
    <col min="14850" max="14850" width="16.140625" style="6" customWidth="1"/>
    <col min="14851" max="14851" width="10.140625" style="6" customWidth="1"/>
    <col min="14852" max="14852" width="12.28515625" style="6" customWidth="1"/>
    <col min="14853" max="14853" width="12" style="6" customWidth="1"/>
    <col min="14854" max="14854" width="8.7109375" style="6" customWidth="1"/>
    <col min="14855" max="14855" width="9.5703125" style="6" customWidth="1"/>
    <col min="14856" max="14856" width="12.140625" style="6" customWidth="1"/>
    <col min="14857" max="15104" width="9.140625" style="6"/>
    <col min="15105" max="15105" width="24.7109375" style="6" customWidth="1"/>
    <col min="15106" max="15106" width="16.140625" style="6" customWidth="1"/>
    <col min="15107" max="15107" width="10.140625" style="6" customWidth="1"/>
    <col min="15108" max="15108" width="12.28515625" style="6" customWidth="1"/>
    <col min="15109" max="15109" width="12" style="6" customWidth="1"/>
    <col min="15110" max="15110" width="8.7109375" style="6" customWidth="1"/>
    <col min="15111" max="15111" width="9.5703125" style="6" customWidth="1"/>
    <col min="15112" max="15112" width="12.140625" style="6" customWidth="1"/>
    <col min="15113" max="15360" width="9.140625" style="6"/>
    <col min="15361" max="15361" width="24.7109375" style="6" customWidth="1"/>
    <col min="15362" max="15362" width="16.140625" style="6" customWidth="1"/>
    <col min="15363" max="15363" width="10.140625" style="6" customWidth="1"/>
    <col min="15364" max="15364" width="12.28515625" style="6" customWidth="1"/>
    <col min="15365" max="15365" width="12" style="6" customWidth="1"/>
    <col min="15366" max="15366" width="8.7109375" style="6" customWidth="1"/>
    <col min="15367" max="15367" width="9.5703125" style="6" customWidth="1"/>
    <col min="15368" max="15368" width="12.140625" style="6" customWidth="1"/>
    <col min="15369" max="15616" width="9.140625" style="6"/>
    <col min="15617" max="15617" width="24.7109375" style="6" customWidth="1"/>
    <col min="15618" max="15618" width="16.140625" style="6" customWidth="1"/>
    <col min="15619" max="15619" width="10.140625" style="6" customWidth="1"/>
    <col min="15620" max="15620" width="12.28515625" style="6" customWidth="1"/>
    <col min="15621" max="15621" width="12" style="6" customWidth="1"/>
    <col min="15622" max="15622" width="8.7109375" style="6" customWidth="1"/>
    <col min="15623" max="15623" width="9.5703125" style="6" customWidth="1"/>
    <col min="15624" max="15624" width="12.140625" style="6" customWidth="1"/>
    <col min="15625" max="15872" width="9.140625" style="6"/>
    <col min="15873" max="15873" width="24.7109375" style="6" customWidth="1"/>
    <col min="15874" max="15874" width="16.140625" style="6" customWidth="1"/>
    <col min="15875" max="15875" width="10.140625" style="6" customWidth="1"/>
    <col min="15876" max="15876" width="12.28515625" style="6" customWidth="1"/>
    <col min="15877" max="15877" width="12" style="6" customWidth="1"/>
    <col min="15878" max="15878" width="8.7109375" style="6" customWidth="1"/>
    <col min="15879" max="15879" width="9.5703125" style="6" customWidth="1"/>
    <col min="15880" max="15880" width="12.140625" style="6" customWidth="1"/>
    <col min="15881" max="16128" width="9.140625" style="6"/>
    <col min="16129" max="16129" width="24.7109375" style="6" customWidth="1"/>
    <col min="16130" max="16130" width="16.140625" style="6" customWidth="1"/>
    <col min="16131" max="16131" width="10.140625" style="6" customWidth="1"/>
    <col min="16132" max="16132" width="12.28515625" style="6" customWidth="1"/>
    <col min="16133" max="16133" width="12" style="6" customWidth="1"/>
    <col min="16134" max="16134" width="8.7109375" style="6" customWidth="1"/>
    <col min="16135" max="16135" width="9.5703125" style="6" customWidth="1"/>
    <col min="16136" max="16136" width="12.140625" style="6" customWidth="1"/>
    <col min="16137" max="16384" width="9.140625" style="6"/>
  </cols>
  <sheetData>
    <row r="1" spans="1:12" s="401" customFormat="1" ht="20.25">
      <c r="A1" s="397" t="s">
        <v>335</v>
      </c>
      <c r="B1" s="398"/>
      <c r="C1" s="397"/>
      <c r="D1" s="399"/>
      <c r="E1" s="400" t="s">
        <v>512</v>
      </c>
      <c r="F1" s="929">
        <f>'CAF Spring17'!BK27</f>
        <v>2.7235921972764018E-2</v>
      </c>
    </row>
    <row r="2" spans="1:12" s="4" customFormat="1" ht="15.75">
      <c r="A2" s="402" t="s">
        <v>336</v>
      </c>
    </row>
    <row r="3" spans="1:12" ht="27" customHeight="1">
      <c r="A3" s="403" t="s">
        <v>337</v>
      </c>
      <c r="B3" s="404">
        <v>5.07</v>
      </c>
      <c r="C3" s="405"/>
      <c r="D3" s="6"/>
      <c r="E3" s="6"/>
    </row>
    <row r="4" spans="1:12" s="933" customFormat="1" ht="31.5">
      <c r="A4" s="403"/>
      <c r="B4" s="930"/>
      <c r="C4" s="931"/>
      <c r="D4" s="932" t="s">
        <v>5</v>
      </c>
      <c r="E4" s="935" t="s">
        <v>6</v>
      </c>
    </row>
    <row r="5" spans="1:12" ht="40.5" customHeight="1">
      <c r="A5" s="407" t="s">
        <v>338</v>
      </c>
      <c r="B5" s="407" t="s">
        <v>339</v>
      </c>
      <c r="C5" s="408" t="s">
        <v>340</v>
      </c>
      <c r="D5" s="409" t="s">
        <v>513</v>
      </c>
      <c r="E5" s="936" t="s">
        <v>513</v>
      </c>
    </row>
    <row r="6" spans="1:12" ht="15">
      <c r="A6" s="410">
        <v>1</v>
      </c>
      <c r="B6" s="410">
        <v>6.34</v>
      </c>
      <c r="C6" s="411">
        <v>2</v>
      </c>
      <c r="D6" s="934">
        <f>B6/C6</f>
        <v>3.17</v>
      </c>
      <c r="E6" s="937">
        <f>D6*($F$1+1)</f>
        <v>3.256337872653662</v>
      </c>
      <c r="F6" s="412"/>
      <c r="G6" s="413"/>
    </row>
    <row r="7" spans="1:12" ht="15">
      <c r="A7" s="410">
        <v>1</v>
      </c>
      <c r="B7" s="410">
        <v>6.31</v>
      </c>
      <c r="C7" s="411">
        <v>3</v>
      </c>
      <c r="D7" s="934">
        <f>B7/C7</f>
        <v>2.1033333333333331</v>
      </c>
      <c r="E7" s="937">
        <f>D7*($F$1+1)</f>
        <v>2.1606195558827133</v>
      </c>
      <c r="F7" s="412"/>
      <c r="G7" s="413"/>
    </row>
    <row r="8" spans="1:12" ht="15">
      <c r="A8" s="410">
        <v>1</v>
      </c>
      <c r="B8" s="410">
        <v>5.03</v>
      </c>
      <c r="C8" s="411">
        <v>1</v>
      </c>
      <c r="D8" s="934">
        <f>B8/C8</f>
        <v>5.03</v>
      </c>
      <c r="E8" s="937">
        <f>D8*($F$1+1)</f>
        <v>5.1669966875230031</v>
      </c>
    </row>
    <row r="9" spans="1:12">
      <c r="J9" s="1477"/>
    </row>
    <row r="10" spans="1:12">
      <c r="J10" s="1478"/>
    </row>
    <row r="11" spans="1:12">
      <c r="J11" s="1478"/>
    </row>
    <row r="13" spans="1:12" ht="13.5" thickBot="1"/>
    <row r="14" spans="1:12" ht="15.75" customHeight="1" thickBot="1">
      <c r="D14" s="3124" t="s">
        <v>223</v>
      </c>
      <c r="E14" s="3125"/>
      <c r="F14" s="3125"/>
      <c r="G14" s="3126"/>
      <c r="I14" s="3121" t="s">
        <v>224</v>
      </c>
      <c r="J14" s="3122"/>
      <c r="K14" s="3122"/>
      <c r="L14" s="3123"/>
    </row>
    <row r="15" spans="1:12" ht="15" customHeight="1">
      <c r="D15" s="3139" t="s">
        <v>227</v>
      </c>
      <c r="E15" s="3140"/>
      <c r="F15" s="3141"/>
      <c r="G15" s="1484" t="s">
        <v>228</v>
      </c>
      <c r="I15" s="1036" t="s">
        <v>229</v>
      </c>
      <c r="J15" s="3"/>
      <c r="K15" s="3"/>
      <c r="L15" s="63">
        <v>1144</v>
      </c>
    </row>
    <row r="16" spans="1:12" ht="15" customHeight="1">
      <c r="D16" s="3127" t="s">
        <v>233</v>
      </c>
      <c r="E16" s="3128"/>
      <c r="F16" s="1479">
        <v>47142.313673708915</v>
      </c>
      <c r="G16" s="70" t="s">
        <v>540</v>
      </c>
      <c r="I16" s="71" t="s">
        <v>234</v>
      </c>
      <c r="J16" s="72" t="s">
        <v>209</v>
      </c>
      <c r="K16" s="73" t="s">
        <v>235</v>
      </c>
      <c r="L16" s="74" t="s">
        <v>210</v>
      </c>
    </row>
    <row r="17" spans="4:12">
      <c r="D17" s="1481"/>
      <c r="E17" s="1482"/>
      <c r="F17" s="1483"/>
      <c r="G17" s="82"/>
      <c r="I17" s="83" t="str">
        <f>D16</f>
        <v>Behavioral Support - Bachelor's</v>
      </c>
      <c r="J17" s="1038">
        <f>F16</f>
        <v>47142.313673708915</v>
      </c>
      <c r="K17" s="85">
        <v>0.32850000000000001</v>
      </c>
      <c r="L17" s="1039">
        <f>J17*K17</f>
        <v>15486.250041813379</v>
      </c>
    </row>
    <row r="18" spans="4:12" ht="15" customHeight="1">
      <c r="D18" s="3137" t="s">
        <v>233</v>
      </c>
      <c r="E18" s="3138"/>
      <c r="F18" s="1480">
        <v>1</v>
      </c>
      <c r="G18" s="88" t="s">
        <v>238</v>
      </c>
      <c r="I18" s="89"/>
      <c r="J18" s="90"/>
      <c r="K18" s="85"/>
      <c r="L18" s="91"/>
    </row>
    <row r="19" spans="4:12" ht="15.75" customHeight="1" thickBot="1">
      <c r="D19" s="3135" t="s">
        <v>240</v>
      </c>
      <c r="E19" s="3136"/>
      <c r="F19" s="1034"/>
      <c r="G19" s="94"/>
      <c r="I19" s="95" t="s">
        <v>220</v>
      </c>
      <c r="J19" s="96">
        <f>F20</f>
        <v>0.22</v>
      </c>
      <c r="K19" s="97"/>
      <c r="L19" s="1040">
        <f>J19*L17</f>
        <v>3406.9750091989431</v>
      </c>
    </row>
    <row r="20" spans="4:12" ht="16.5" customHeight="1" thickTop="1" thickBot="1">
      <c r="D20" s="3133" t="s">
        <v>196</v>
      </c>
      <c r="E20" s="3134"/>
      <c r="F20" s="100">
        <v>0.22</v>
      </c>
      <c r="G20" s="70" t="s">
        <v>242</v>
      </c>
      <c r="I20" s="101" t="s">
        <v>243</v>
      </c>
      <c r="J20" s="102"/>
      <c r="K20" s="102"/>
      <c r="L20" s="1041">
        <f>SUM(L17:L19)</f>
        <v>18893.225051012323</v>
      </c>
    </row>
    <row r="21" spans="4:12" ht="15.75" customHeight="1" thickTop="1">
      <c r="D21" s="3131" t="s">
        <v>245</v>
      </c>
      <c r="E21" s="3132"/>
      <c r="F21" s="100">
        <v>0.12</v>
      </c>
      <c r="G21" s="70" t="s">
        <v>242</v>
      </c>
      <c r="I21" s="89"/>
      <c r="J21" s="90"/>
      <c r="K21" s="90"/>
      <c r="L21" s="91"/>
    </row>
    <row r="22" spans="4:12" ht="15.75" customHeight="1" thickBot="1">
      <c r="D22" s="3129" t="s">
        <v>247</v>
      </c>
      <c r="E22" s="3130"/>
      <c r="F22" s="166">
        <v>0.11</v>
      </c>
      <c r="G22" s="82" t="s">
        <v>242</v>
      </c>
      <c r="I22" s="89" t="str">
        <f>D21</f>
        <v>Other Direct Cost (% of salary)</v>
      </c>
      <c r="J22" s="75">
        <f>F21</f>
        <v>0.12</v>
      </c>
      <c r="K22" s="90"/>
      <c r="L22" s="1042">
        <f>L17*J22</f>
        <v>1858.3500050176053</v>
      </c>
    </row>
    <row r="23" spans="4:12" ht="15.75" customHeight="1" thickBot="1">
      <c r="D23" s="3129" t="s">
        <v>537</v>
      </c>
      <c r="E23" s="3130"/>
      <c r="F23" s="1035">
        <f>F1</f>
        <v>2.7235921972764018E-2</v>
      </c>
      <c r="G23" s="1037" t="s">
        <v>539</v>
      </c>
      <c r="I23" s="114" t="s">
        <v>249</v>
      </c>
      <c r="J23" s="115"/>
      <c r="K23" s="115"/>
      <c r="L23" s="1043">
        <f>SUM(L20:L22)</f>
        <v>20751.575056029928</v>
      </c>
    </row>
    <row r="24" spans="4:12">
      <c r="I24" s="89"/>
      <c r="J24" s="90"/>
      <c r="K24" s="90"/>
      <c r="L24" s="91"/>
    </row>
    <row r="25" spans="4:12">
      <c r="I25" s="89" t="s">
        <v>247</v>
      </c>
      <c r="J25" s="75">
        <f>F22</f>
        <v>0.11</v>
      </c>
      <c r="K25" s="90"/>
      <c r="L25" s="1042">
        <f>J25*L23</f>
        <v>2282.6732561632921</v>
      </c>
    </row>
    <row r="26" spans="4:12" ht="13.5" thickBot="1">
      <c r="I26" s="101" t="s">
        <v>203</v>
      </c>
      <c r="J26" s="102"/>
      <c r="K26" s="102"/>
      <c r="L26" s="1041">
        <f>SUM(L23:L25)</f>
        <v>23034.24831219322</v>
      </c>
    </row>
    <row r="27" spans="4:12" ht="13.5" thickTop="1">
      <c r="I27" s="89"/>
      <c r="J27" s="133"/>
      <c r="K27" s="1"/>
      <c r="L27" s="134"/>
    </row>
    <row r="28" spans="4:12">
      <c r="I28" s="137" t="s">
        <v>205</v>
      </c>
      <c r="J28" s="138">
        <f>F1</f>
        <v>2.7235921972764018E-2</v>
      </c>
      <c r="K28" s="139"/>
      <c r="L28" s="1039">
        <f>L26*(1+J28)</f>
        <v>23661.607301925385</v>
      </c>
    </row>
    <row r="29" spans="4:12">
      <c r="I29" s="89"/>
      <c r="J29" s="1"/>
      <c r="K29" s="1"/>
      <c r="L29" s="140"/>
    </row>
    <row r="30" spans="4:12" ht="13.5" thickBot="1">
      <c r="I30" s="141" t="s">
        <v>301</v>
      </c>
      <c r="J30" s="142"/>
      <c r="K30" s="143"/>
      <c r="L30" s="1044">
        <f>L28/L15</f>
        <v>20.683223166018692</v>
      </c>
    </row>
    <row r="31" spans="4:12" ht="13.5" thickBot="1">
      <c r="I31" s="151" t="s">
        <v>257</v>
      </c>
      <c r="J31" s="152"/>
      <c r="K31" s="153"/>
      <c r="L31" s="336">
        <f>L30*0.25</f>
        <v>5.170805791504673</v>
      </c>
    </row>
  </sheetData>
  <customSheetViews>
    <customSheetView guid="{4C1AD9FE-DB97-4D30-8CF1-D476DD376A5A}" fitToPage="1">
      <selection activeCell="J5" sqref="J5"/>
      <pageMargins left="0.75" right="0.75" top="1" bottom="1" header="0.5" footer="0.5"/>
      <printOptions gridLines="1"/>
      <pageSetup orientation="landscape" verticalDpi="300" r:id="rId1"/>
      <headerFooter alignWithMargins="0">
        <oddHeader>&amp;F</oddHeader>
        <oddFooter>&amp;L&amp;"Arial,Bold"DHCFP DRAFT&amp;R3</oddFooter>
      </headerFooter>
    </customSheetView>
    <customSheetView guid="{6A16E15D-0E79-4250-8AEC-339F57F63027}" fitToPage="1">
      <selection activeCell="I13" sqref="I13"/>
      <pageMargins left="0.75" right="0.75" top="1" bottom="1" header="0.5" footer="0.5"/>
      <printOptions gridLines="1"/>
      <pageSetup orientation="landscape" verticalDpi="300" r:id="rId2"/>
      <headerFooter alignWithMargins="0">
        <oddHeader>&amp;F</oddHeader>
        <oddFooter>&amp;L&amp;"Arial,Bold"DHCFP DRAFT&amp;R3</oddFooter>
      </headerFooter>
    </customSheetView>
  </customSheetViews>
  <mergeCells count="10">
    <mergeCell ref="I14:L14"/>
    <mergeCell ref="D14:G14"/>
    <mergeCell ref="D16:E16"/>
    <mergeCell ref="D23:E23"/>
    <mergeCell ref="D22:E22"/>
    <mergeCell ref="D21:E21"/>
    <mergeCell ref="D20:E20"/>
    <mergeCell ref="D19:E19"/>
    <mergeCell ref="D18:E18"/>
    <mergeCell ref="D15:F15"/>
  </mergeCells>
  <pageMargins left="0.75" right="0.75" top="1" bottom="1" header="0.5" footer="0.5"/>
  <pageSetup orientation="landscape" verticalDpi="300" r:id="rId3"/>
  <headerFooter alignWithMargins="0">
    <oddHeader>&amp;C&amp;F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topLeftCell="A10" workbookViewId="0">
      <selection activeCell="E44" sqref="E44"/>
    </sheetView>
  </sheetViews>
  <sheetFormatPr defaultRowHeight="15"/>
  <cols>
    <col min="2" max="2" width="3.85546875" customWidth="1"/>
    <col min="3" max="3" width="49.140625" bestFit="1" customWidth="1"/>
    <col min="4" max="4" width="13.7109375" customWidth="1"/>
    <col min="5" max="5" width="14" customWidth="1"/>
  </cols>
  <sheetData>
    <row r="2" spans="2:5" ht="42" customHeight="1" thickBot="1"/>
    <row r="3" spans="2:5" ht="19.5" customHeight="1">
      <c r="B3" s="2443"/>
      <c r="C3" s="2444"/>
      <c r="D3" s="2445" t="s">
        <v>849</v>
      </c>
      <c r="E3" s="2446" t="s">
        <v>848</v>
      </c>
    </row>
    <row r="4" spans="2:5">
      <c r="B4" s="3385" t="s">
        <v>640</v>
      </c>
      <c r="C4" s="3386"/>
      <c r="D4" s="2447"/>
      <c r="E4" s="2448"/>
    </row>
    <row r="5" spans="2:5">
      <c r="B5" s="89" t="s">
        <v>754</v>
      </c>
      <c r="C5" s="1" t="s">
        <v>755</v>
      </c>
      <c r="D5" s="2449">
        <v>61010.320181580093</v>
      </c>
      <c r="E5" s="2448">
        <v>58046.8310929172</v>
      </c>
    </row>
    <row r="6" spans="2:5">
      <c r="B6" s="89" t="s">
        <v>756</v>
      </c>
      <c r="C6" s="1" t="s">
        <v>757</v>
      </c>
      <c r="D6" s="2449">
        <v>76097.27568506448</v>
      </c>
      <c r="E6" s="2448">
        <v>69776.120507390224</v>
      </c>
    </row>
    <row r="7" spans="2:5">
      <c r="B7" s="89" t="s">
        <v>758</v>
      </c>
      <c r="C7" s="1" t="s">
        <v>759</v>
      </c>
      <c r="D7" s="2449">
        <v>50876.637640486835</v>
      </c>
      <c r="E7" s="2448">
        <v>55904.454226395348</v>
      </c>
    </row>
    <row r="8" spans="2:5">
      <c r="B8" s="89" t="s">
        <v>760</v>
      </c>
      <c r="C8" s="1" t="s">
        <v>761</v>
      </c>
      <c r="D8" s="2449">
        <v>56164.657265085661</v>
      </c>
      <c r="E8" s="2448">
        <v>55196.353224621802</v>
      </c>
    </row>
    <row r="9" spans="2:5">
      <c r="B9" s="89" t="s">
        <v>762</v>
      </c>
      <c r="C9" s="1" t="s">
        <v>763</v>
      </c>
      <c r="D9" s="2449">
        <v>35334</v>
      </c>
      <c r="E9" s="2448">
        <v>35334</v>
      </c>
    </row>
    <row r="10" spans="2:5">
      <c r="B10" s="89"/>
      <c r="C10" s="1"/>
      <c r="D10" s="2449"/>
      <c r="E10" s="2448"/>
    </row>
    <row r="11" spans="2:5">
      <c r="B11" s="3385" t="s">
        <v>764</v>
      </c>
      <c r="C11" s="3386"/>
      <c r="D11" s="2449"/>
      <c r="E11" s="2450"/>
    </row>
    <row r="12" spans="2:5">
      <c r="B12" s="89" t="s">
        <v>765</v>
      </c>
      <c r="C12" s="1" t="s">
        <v>766</v>
      </c>
      <c r="D12" s="2449">
        <v>211326.08530568847</v>
      </c>
      <c r="E12" s="2450">
        <v>203118.42872928173</v>
      </c>
    </row>
    <row r="13" spans="2:5">
      <c r="B13" s="89" t="s">
        <v>769</v>
      </c>
      <c r="C13" s="1" t="s">
        <v>770</v>
      </c>
      <c r="D13" s="2449">
        <v>119470.79583333334</v>
      </c>
      <c r="E13" s="2450">
        <v>113011.29117647059</v>
      </c>
    </row>
    <row r="14" spans="2:5">
      <c r="B14" s="89" t="s">
        <v>771</v>
      </c>
      <c r="C14" s="1" t="s">
        <v>772</v>
      </c>
      <c r="D14" s="2449">
        <v>61360.01812728223</v>
      </c>
      <c r="E14" s="2450">
        <v>61177.742642525984</v>
      </c>
    </row>
    <row r="15" spans="2:5">
      <c r="B15" s="89" t="s">
        <v>773</v>
      </c>
      <c r="C15" s="1" t="s">
        <v>774</v>
      </c>
      <c r="D15" s="2449">
        <v>47834.571428571428</v>
      </c>
      <c r="E15" s="2450">
        <v>54031.22362869198</v>
      </c>
    </row>
    <row r="16" spans="2:5">
      <c r="B16" s="89" t="s">
        <v>781</v>
      </c>
      <c r="C16" s="1" t="s">
        <v>782</v>
      </c>
      <c r="D16" s="2449">
        <v>136614.28571428571</v>
      </c>
      <c r="E16" s="2450">
        <v>136614.28571428571</v>
      </c>
    </row>
    <row r="17" spans="2:5">
      <c r="B17" s="89" t="s">
        <v>783</v>
      </c>
      <c r="C17" s="1" t="s">
        <v>784</v>
      </c>
      <c r="D17" s="2449" t="s">
        <v>847</v>
      </c>
      <c r="E17" s="2450" t="s">
        <v>847</v>
      </c>
    </row>
    <row r="18" spans="2:5">
      <c r="B18" s="89"/>
      <c r="C18" s="1"/>
      <c r="D18" s="2449"/>
      <c r="E18" s="2450"/>
    </row>
    <row r="19" spans="2:5">
      <c r="B19" s="3385" t="s">
        <v>68</v>
      </c>
      <c r="C19" s="3386"/>
      <c r="D19" s="2451"/>
      <c r="E19" s="2450"/>
    </row>
    <row r="20" spans="2:5">
      <c r="B20" s="89" t="s">
        <v>785</v>
      </c>
      <c r="C20" s="1" t="s">
        <v>786</v>
      </c>
      <c r="D20" s="2451">
        <v>77092.295635179151</v>
      </c>
      <c r="E20" s="2450">
        <v>82198.054621848743</v>
      </c>
    </row>
    <row r="21" spans="2:5">
      <c r="B21" s="89" t="s">
        <v>787</v>
      </c>
      <c r="C21" s="1" t="s">
        <v>788</v>
      </c>
      <c r="D21" s="2451">
        <v>57606.05088107453</v>
      </c>
      <c r="E21" s="2450">
        <v>49320.037538610981</v>
      </c>
    </row>
    <row r="22" spans="2:5">
      <c r="B22" s="89" t="s">
        <v>789</v>
      </c>
      <c r="C22" s="1" t="s">
        <v>790</v>
      </c>
      <c r="D22" s="2451">
        <v>38196.781317628811</v>
      </c>
      <c r="E22" s="2450">
        <v>48012.170212765952</v>
      </c>
    </row>
    <row r="23" spans="2:5">
      <c r="B23" s="89" t="s">
        <v>791</v>
      </c>
      <c r="C23" s="1" t="s">
        <v>792</v>
      </c>
      <c r="D23" s="2451">
        <v>48001.386602029866</v>
      </c>
      <c r="E23" s="2450">
        <v>49044.243626062322</v>
      </c>
    </row>
    <row r="24" spans="2:5">
      <c r="B24" s="89" t="s">
        <v>793</v>
      </c>
      <c r="C24" s="1" t="s">
        <v>794</v>
      </c>
      <c r="D24" s="2451">
        <v>51776.57060946658</v>
      </c>
      <c r="E24" s="2450">
        <v>50951.23676880222</v>
      </c>
    </row>
    <row r="25" spans="2:5">
      <c r="B25" s="89" t="s">
        <v>797</v>
      </c>
      <c r="C25" s="1" t="s">
        <v>798</v>
      </c>
      <c r="D25" s="2451">
        <v>45862.241185961226</v>
      </c>
      <c r="E25" s="2563">
        <v>45956.198127675154</v>
      </c>
    </row>
    <row r="26" spans="2:5">
      <c r="B26" s="89"/>
      <c r="C26" s="1"/>
      <c r="D26" s="2451"/>
      <c r="E26" s="2450"/>
    </row>
    <row r="27" spans="2:5">
      <c r="B27" s="3385" t="s">
        <v>799</v>
      </c>
      <c r="C27" s="3386"/>
      <c r="D27" s="2451"/>
      <c r="E27" s="2450"/>
    </row>
    <row r="28" spans="2:5">
      <c r="B28" s="89" t="s">
        <v>800</v>
      </c>
      <c r="C28" s="1" t="s">
        <v>801</v>
      </c>
      <c r="D28" s="2451">
        <v>22880</v>
      </c>
      <c r="E28" s="2450">
        <v>15000</v>
      </c>
    </row>
    <row r="29" spans="2:5">
      <c r="B29" s="89" t="s">
        <v>802</v>
      </c>
      <c r="C29" s="1" t="s">
        <v>803</v>
      </c>
      <c r="D29" s="2451">
        <v>44526.25</v>
      </c>
      <c r="E29" s="2450">
        <v>51447.16981132076</v>
      </c>
    </row>
    <row r="30" spans="2:5">
      <c r="B30" s="89" t="s">
        <v>804</v>
      </c>
      <c r="C30" s="1" t="s">
        <v>805</v>
      </c>
      <c r="D30" s="2451">
        <v>39733.333333333336</v>
      </c>
      <c r="E30" s="2450">
        <v>39733.333333333336</v>
      </c>
    </row>
    <row r="31" spans="2:5">
      <c r="B31" s="89"/>
      <c r="C31" s="1"/>
      <c r="D31" s="2451"/>
      <c r="E31" s="2450"/>
    </row>
    <row r="32" spans="2:5">
      <c r="B32" s="3385" t="s">
        <v>806</v>
      </c>
      <c r="C32" s="3386"/>
      <c r="D32" s="2451"/>
      <c r="E32" s="2450"/>
    </row>
    <row r="33" spans="2:5">
      <c r="B33" s="89" t="s">
        <v>807</v>
      </c>
      <c r="C33" s="1" t="s">
        <v>808</v>
      </c>
      <c r="D33" s="2451">
        <v>29864.912280701756</v>
      </c>
      <c r="E33" s="2450">
        <v>29864.912280701756</v>
      </c>
    </row>
    <row r="34" spans="2:5">
      <c r="B34" s="89" t="s">
        <v>809</v>
      </c>
      <c r="C34" s="1" t="s">
        <v>810</v>
      </c>
      <c r="D34" s="2451">
        <v>35819</v>
      </c>
      <c r="E34" s="2450">
        <v>35819</v>
      </c>
    </row>
    <row r="35" spans="2:5">
      <c r="B35" s="89" t="s">
        <v>811</v>
      </c>
      <c r="C35" s="1" t="s">
        <v>812</v>
      </c>
      <c r="D35" s="2451">
        <v>28958.476617131648</v>
      </c>
      <c r="E35" s="2450">
        <v>23411.794779328702</v>
      </c>
    </row>
    <row r="36" spans="2:5">
      <c r="B36" s="89" t="s">
        <v>813</v>
      </c>
      <c r="C36" s="1" t="s">
        <v>814</v>
      </c>
      <c r="D36" s="2451">
        <v>36859.335634644187</v>
      </c>
      <c r="E36" s="2450">
        <v>37420.781577588605</v>
      </c>
    </row>
    <row r="37" spans="2:5">
      <c r="B37" s="89" t="s">
        <v>815</v>
      </c>
      <c r="C37" s="1" t="s">
        <v>816</v>
      </c>
      <c r="D37" s="2451">
        <v>39988.697065938359</v>
      </c>
      <c r="E37" s="2563">
        <v>40107.407362818318</v>
      </c>
    </row>
    <row r="38" spans="2:5">
      <c r="B38" s="89" t="s">
        <v>817</v>
      </c>
      <c r="C38" s="1" t="s">
        <v>818</v>
      </c>
      <c r="D38" s="2451">
        <v>43678.007412866726</v>
      </c>
      <c r="E38" s="2450">
        <v>43870.345026278927</v>
      </c>
    </row>
    <row r="39" spans="2:5">
      <c r="B39" s="89" t="s">
        <v>819</v>
      </c>
      <c r="C39" s="1" t="s">
        <v>820</v>
      </c>
      <c r="D39" s="2451">
        <v>41518.380331094391</v>
      </c>
      <c r="E39" s="2450">
        <v>35846.028713418003</v>
      </c>
    </row>
    <row r="40" spans="2:5">
      <c r="B40" s="89" t="s">
        <v>821</v>
      </c>
      <c r="C40" s="1" t="s">
        <v>822</v>
      </c>
      <c r="D40" s="2451">
        <v>35456.073732297933</v>
      </c>
      <c r="E40" s="2450">
        <v>36908.056204130109</v>
      </c>
    </row>
    <row r="41" spans="2:5">
      <c r="B41" s="89" t="s">
        <v>823</v>
      </c>
      <c r="C41" s="1" t="s">
        <v>824</v>
      </c>
      <c r="D41" s="2451">
        <v>33506.154205242136</v>
      </c>
      <c r="E41" s="2450">
        <v>29431.002746345879</v>
      </c>
    </row>
    <row r="42" spans="2:5">
      <c r="B42" s="89"/>
      <c r="C42" s="1"/>
      <c r="D42" s="2451"/>
      <c r="E42" s="2450"/>
    </row>
    <row r="43" spans="2:5">
      <c r="B43" s="3385" t="s">
        <v>734</v>
      </c>
      <c r="C43" s="3386"/>
      <c r="D43" s="2451"/>
      <c r="E43" s="2450"/>
    </row>
    <row r="44" spans="2:5">
      <c r="B44" s="89" t="s">
        <v>825</v>
      </c>
      <c r="C44" s="1" t="s">
        <v>826</v>
      </c>
      <c r="D44" s="2451">
        <v>37584.301726143844</v>
      </c>
      <c r="E44" s="2450">
        <v>37441.063168085981</v>
      </c>
    </row>
    <row r="45" spans="2:5">
      <c r="B45" s="89" t="s">
        <v>827</v>
      </c>
      <c r="C45" s="1" t="s">
        <v>828</v>
      </c>
      <c r="D45" s="2451">
        <v>37541.902968536859</v>
      </c>
      <c r="E45" s="2450">
        <v>34639.695170802974</v>
      </c>
    </row>
    <row r="46" spans="2:5" ht="15.75" thickBot="1">
      <c r="B46" s="2452" t="s">
        <v>829</v>
      </c>
      <c r="C46" s="2453" t="s">
        <v>830</v>
      </c>
      <c r="D46" s="2454">
        <v>55762.954234084253</v>
      </c>
      <c r="E46" s="2455">
        <v>40894.878706199459</v>
      </c>
    </row>
  </sheetData>
  <mergeCells count="6">
    <mergeCell ref="B43:C43"/>
    <mergeCell ref="B4:C4"/>
    <mergeCell ref="B11:C11"/>
    <mergeCell ref="B19:C19"/>
    <mergeCell ref="B27:C27"/>
    <mergeCell ref="B32:C32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workbookViewId="0">
      <selection activeCell="H7" sqref="H7"/>
    </sheetView>
  </sheetViews>
  <sheetFormatPr defaultColWidth="18" defaultRowHeight="15" customHeight="1"/>
  <cols>
    <col min="1" max="1" width="5.85546875" style="1195" customWidth="1"/>
    <col min="2" max="2" width="5.28515625" style="1195" bestFit="1" customWidth="1"/>
    <col min="3" max="3" width="5.7109375" style="337" bestFit="1" customWidth="1"/>
    <col min="4" max="4" width="46" style="1195" bestFit="1" customWidth="1"/>
    <col min="5" max="5" width="0" style="1195" hidden="1" customWidth="1"/>
    <col min="6" max="6" width="18" style="1195"/>
    <col min="7" max="7" width="14" style="1195" customWidth="1"/>
    <col min="8" max="8" width="15.28515625" style="1195" customWidth="1"/>
    <col min="9" max="9" width="13.28515625" style="1195" customWidth="1"/>
    <col min="10" max="10" width="14.140625" style="1195" customWidth="1"/>
    <col min="11" max="11" width="49.7109375" style="1195" customWidth="1"/>
    <col min="12" max="12" width="6.7109375" style="1195" customWidth="1"/>
    <col min="13" max="13" width="20.28515625" style="1195" customWidth="1"/>
    <col min="14" max="14" width="15.28515625" style="1195" customWidth="1"/>
    <col min="15" max="17" width="6.7109375" style="1195" customWidth="1"/>
    <col min="18" max="19" width="6.7109375" style="1195" hidden="1" customWidth="1"/>
    <col min="20" max="20" width="10.28515625" style="1195" hidden="1" customWidth="1"/>
    <col min="21" max="21" width="46" style="1195" hidden="1" customWidth="1"/>
    <col min="22" max="22" width="14.140625" style="1195" hidden="1" customWidth="1"/>
    <col min="23" max="23" width="36.5703125" style="1195" hidden="1" customWidth="1"/>
    <col min="24" max="24" width="0" style="1195" hidden="1" customWidth="1"/>
    <col min="25" max="16384" width="18" style="1195"/>
  </cols>
  <sheetData>
    <row r="1" spans="2:23" ht="15" customHeight="1" thickBot="1">
      <c r="S1" s="1195">
        <v>2</v>
      </c>
    </row>
    <row r="2" spans="2:23" ht="15" customHeight="1">
      <c r="B2" s="3400" t="s">
        <v>1057</v>
      </c>
      <c r="C2" s="3390" t="s">
        <v>1058</v>
      </c>
      <c r="D2" s="3390" t="s">
        <v>900</v>
      </c>
      <c r="E2" s="2444"/>
      <c r="F2" s="3390" t="s">
        <v>1117</v>
      </c>
      <c r="G2" s="3392" t="s">
        <v>1186</v>
      </c>
      <c r="H2" s="3392" t="s">
        <v>1056</v>
      </c>
      <c r="I2" s="3390" t="s">
        <v>1062</v>
      </c>
      <c r="J2" s="3404" t="s">
        <v>1184</v>
      </c>
    </row>
    <row r="3" spans="2:23" s="2874" customFormat="1" ht="15" customHeight="1" thickBot="1">
      <c r="B3" s="3401"/>
      <c r="C3" s="3391"/>
      <c r="D3" s="3391"/>
      <c r="E3" s="2990" t="s">
        <v>1059</v>
      </c>
      <c r="F3" s="3391"/>
      <c r="G3" s="3393"/>
      <c r="H3" s="3393"/>
      <c r="I3" s="3391"/>
      <c r="J3" s="3405"/>
    </row>
    <row r="4" spans="2:23" ht="15" customHeight="1" thickBot="1">
      <c r="B4" s="3387" t="s">
        <v>7</v>
      </c>
      <c r="C4" s="2875">
        <v>3700</v>
      </c>
      <c r="D4" s="2876" t="s">
        <v>1063</v>
      </c>
      <c r="E4" s="2877">
        <v>1711174</v>
      </c>
      <c r="F4" s="2991">
        <f>V8</f>
        <v>1567040.4200000002</v>
      </c>
      <c r="G4" s="3027" t="e">
        <f>'AWC Admin - Family Nav'!#REF!</f>
        <v>#REF!</v>
      </c>
      <c r="H4" s="2878" t="e">
        <f>F4*(1+G4)</f>
        <v>#REF!</v>
      </c>
      <c r="I4" s="2878" t="e">
        <f>H4-F4</f>
        <v>#REF!</v>
      </c>
      <c r="J4" s="3051" t="e">
        <f>I4/$S$1</f>
        <v>#REF!</v>
      </c>
      <c r="M4" s="2649"/>
      <c r="N4" s="3062"/>
      <c r="T4" s="2443"/>
      <c r="U4" s="2444" t="s">
        <v>1171</v>
      </c>
      <c r="V4" s="2444"/>
      <c r="W4" s="2992"/>
    </row>
    <row r="5" spans="2:23" ht="15" customHeight="1" thickBot="1">
      <c r="B5" s="3388"/>
      <c r="C5" s="2879">
        <v>3701</v>
      </c>
      <c r="D5" s="2880" t="s">
        <v>1064</v>
      </c>
      <c r="E5" s="2881">
        <v>8841</v>
      </c>
      <c r="F5" s="2991">
        <f>V9</f>
        <v>5762.88</v>
      </c>
      <c r="G5" s="3027">
        <f>'Respite '!V20</f>
        <v>0</v>
      </c>
      <c r="H5" s="2878">
        <f t="shared" ref="H5:H22" si="0">F5*(1+G5)</f>
        <v>5762.88</v>
      </c>
      <c r="I5" s="2878">
        <f t="shared" ref="I5:I21" si="1">H5-F5</f>
        <v>0</v>
      </c>
      <c r="J5" s="2910">
        <f t="shared" ref="J5:J22" si="2">I5/$S$1</f>
        <v>0</v>
      </c>
      <c r="M5" s="2649"/>
      <c r="N5" s="3062"/>
      <c r="T5" s="89" t="s">
        <v>1084</v>
      </c>
      <c r="U5" s="1"/>
      <c r="V5" s="1">
        <v>2019</v>
      </c>
      <c r="W5" s="134"/>
    </row>
    <row r="6" spans="2:23" ht="15" customHeight="1" thickBot="1">
      <c r="B6" s="3388"/>
      <c r="C6" s="2879">
        <v>3702</v>
      </c>
      <c r="D6" s="2880" t="s">
        <v>1065</v>
      </c>
      <c r="E6" s="2881">
        <v>163185</v>
      </c>
      <c r="F6" s="2991">
        <v>90648.72</v>
      </c>
      <c r="G6" s="3049" t="e">
        <f>AVERAGE('Respite Caregiver Home'!O45,'Respite Caregiver Home'!T45,'Respite Caregiver Home'!Y45)</f>
        <v>#DIV/0!</v>
      </c>
      <c r="H6" s="2878" t="e">
        <f>(F6*G6)+F6</f>
        <v>#DIV/0!</v>
      </c>
      <c r="I6" s="2878" t="e">
        <f t="shared" si="1"/>
        <v>#DIV/0!</v>
      </c>
      <c r="J6" s="2910" t="e">
        <f t="shared" si="2"/>
        <v>#DIV/0!</v>
      </c>
      <c r="M6" s="2649"/>
      <c r="N6" s="3062"/>
      <c r="T6" s="89" t="s">
        <v>1085</v>
      </c>
      <c r="U6" s="1"/>
      <c r="V6" s="1" t="s">
        <v>1086</v>
      </c>
      <c r="W6" s="134" t="s">
        <v>1157</v>
      </c>
    </row>
    <row r="7" spans="2:23" ht="15" customHeight="1" thickBot="1">
      <c r="B7" s="3388"/>
      <c r="C7" s="2879">
        <v>3707</v>
      </c>
      <c r="D7" s="2880" t="s">
        <v>656</v>
      </c>
      <c r="E7" s="2881">
        <v>2023895</v>
      </c>
      <c r="F7" s="2991">
        <f t="shared" ref="F7:F14" si="3">V12</f>
        <v>1708856.6099999999</v>
      </c>
      <c r="G7" s="3027" t="str">
        <f>AdultCompanion!L40</f>
        <v xml:space="preserve"> </v>
      </c>
      <c r="H7" s="2878" t="e">
        <f t="shared" si="0"/>
        <v>#VALUE!</v>
      </c>
      <c r="I7" s="2878" t="e">
        <f t="shared" si="1"/>
        <v>#VALUE!</v>
      </c>
      <c r="J7" s="2910" t="e">
        <f t="shared" si="2"/>
        <v>#VALUE!</v>
      </c>
      <c r="M7" s="2649"/>
      <c r="N7" s="3062"/>
      <c r="T7" s="89" t="s">
        <v>1087</v>
      </c>
      <c r="U7" s="1"/>
      <c r="V7" s="2451"/>
      <c r="W7" s="134"/>
    </row>
    <row r="8" spans="2:23" ht="15" customHeight="1" thickBot="1">
      <c r="B8" s="3388"/>
      <c r="C8" s="2879">
        <v>3709</v>
      </c>
      <c r="D8" s="2880" t="s">
        <v>1066</v>
      </c>
      <c r="E8" s="2881">
        <v>6566</v>
      </c>
      <c r="F8" s="2991">
        <f t="shared" si="3"/>
        <v>21876.84</v>
      </c>
      <c r="G8" s="3035">
        <f>'Family Train '!U24</f>
        <v>0</v>
      </c>
      <c r="H8" s="2878">
        <f t="shared" si="0"/>
        <v>21876.84</v>
      </c>
      <c r="I8" s="2878">
        <f t="shared" si="1"/>
        <v>0</v>
      </c>
      <c r="J8" s="2910">
        <f t="shared" si="2"/>
        <v>0</v>
      </c>
      <c r="M8" s="2649"/>
      <c r="N8" s="3062"/>
      <c r="T8" s="89" t="s">
        <v>1088</v>
      </c>
      <c r="U8" s="1" t="s">
        <v>1063</v>
      </c>
      <c r="V8" s="2920">
        <v>1567040.4200000002</v>
      </c>
      <c r="W8" s="134" t="s">
        <v>16</v>
      </c>
    </row>
    <row r="9" spans="2:23" ht="15" customHeight="1" thickBot="1">
      <c r="B9" s="3388"/>
      <c r="C9" s="2879">
        <v>3710</v>
      </c>
      <c r="D9" s="2880" t="s">
        <v>1067</v>
      </c>
      <c r="E9" s="2881">
        <v>60275</v>
      </c>
      <c r="F9" s="2991">
        <f t="shared" si="3"/>
        <v>298019.16000000003</v>
      </c>
      <c r="G9" s="3027">
        <f>BehavioralSupport!J62</f>
        <v>0</v>
      </c>
      <c r="H9" s="2878">
        <f t="shared" si="0"/>
        <v>298019.16000000003</v>
      </c>
      <c r="I9" s="2878">
        <f t="shared" si="1"/>
        <v>0</v>
      </c>
      <c r="J9" s="2910">
        <f t="shared" si="2"/>
        <v>0</v>
      </c>
      <c r="M9" s="2649"/>
      <c r="N9" s="3062"/>
      <c r="T9" s="89" t="s">
        <v>1089</v>
      </c>
      <c r="U9" s="1" t="s">
        <v>1142</v>
      </c>
      <c r="V9" s="2920">
        <v>5762.88</v>
      </c>
      <c r="W9" s="134" t="s">
        <v>36</v>
      </c>
    </row>
    <row r="10" spans="2:23" ht="15" customHeight="1" thickBot="1">
      <c r="B10" s="3388"/>
      <c r="C10" s="2879">
        <v>3712</v>
      </c>
      <c r="D10" s="2880" t="s">
        <v>1068</v>
      </c>
      <c r="E10" s="2881">
        <v>413819</v>
      </c>
      <c r="F10" s="2991">
        <f t="shared" si="3"/>
        <v>362186.26</v>
      </c>
      <c r="G10" s="3049">
        <f>I10/F10</f>
        <v>7.9311098107366113E-2</v>
      </c>
      <c r="H10" s="2878">
        <v>390911.65</v>
      </c>
      <c r="I10" s="2878">
        <f t="shared" si="1"/>
        <v>28725.390000000014</v>
      </c>
      <c r="J10" s="2910">
        <f t="shared" si="2"/>
        <v>14362.695000000007</v>
      </c>
      <c r="M10" s="2649"/>
      <c r="N10" s="3062"/>
      <c r="T10" s="89" t="s">
        <v>1090</v>
      </c>
      <c r="U10" s="1" t="s">
        <v>1065</v>
      </c>
      <c r="V10" s="2920">
        <v>90648.72</v>
      </c>
      <c r="W10" s="134" t="s">
        <v>1158</v>
      </c>
    </row>
    <row r="11" spans="2:23" ht="15" customHeight="1" thickBot="1">
      <c r="B11" s="3388"/>
      <c r="C11" s="2882">
        <v>3716</v>
      </c>
      <c r="D11" s="2883" t="s">
        <v>1069</v>
      </c>
      <c r="E11" s="2884">
        <v>198234</v>
      </c>
      <c r="F11" s="2991">
        <f t="shared" si="3"/>
        <v>417404.14</v>
      </c>
      <c r="G11" s="3027">
        <f>'Peer Suppt'!L24</f>
        <v>0</v>
      </c>
      <c r="H11" s="2878">
        <f t="shared" si="0"/>
        <v>417404.14</v>
      </c>
      <c r="I11" s="2878">
        <f t="shared" si="1"/>
        <v>0</v>
      </c>
      <c r="J11" s="2910">
        <f t="shared" si="2"/>
        <v>0</v>
      </c>
      <c r="M11" s="2649"/>
      <c r="N11" s="3062"/>
      <c r="T11" s="2993" t="s">
        <v>1091</v>
      </c>
      <c r="U11" s="2994" t="s">
        <v>1143</v>
      </c>
      <c r="V11" s="2995">
        <v>5648753.6600000011</v>
      </c>
      <c r="W11" s="2996" t="s">
        <v>1159</v>
      </c>
    </row>
    <row r="12" spans="2:23" ht="15" customHeight="1" thickBot="1">
      <c r="B12" s="3388"/>
      <c r="C12" s="2882">
        <v>3731</v>
      </c>
      <c r="D12" s="2883" t="s">
        <v>1070</v>
      </c>
      <c r="E12" s="2884">
        <v>1935012</v>
      </c>
      <c r="F12" s="2991">
        <f t="shared" si="3"/>
        <v>2877862.38</v>
      </c>
      <c r="G12" s="3027">
        <f>I12/F12</f>
        <v>2.0776830892101358E-2</v>
      </c>
      <c r="H12" s="2878">
        <v>2937655.24</v>
      </c>
      <c r="I12" s="2878">
        <f t="shared" si="1"/>
        <v>59792.860000000335</v>
      </c>
      <c r="J12" s="2910">
        <f t="shared" si="2"/>
        <v>29896.430000000168</v>
      </c>
      <c r="M12" s="2649"/>
      <c r="N12" s="3062"/>
      <c r="T12" s="89" t="s">
        <v>1092</v>
      </c>
      <c r="U12" s="1" t="s">
        <v>656</v>
      </c>
      <c r="V12" s="2920">
        <v>1708856.6099999999</v>
      </c>
      <c r="W12" s="134" t="s">
        <v>1160</v>
      </c>
    </row>
    <row r="13" spans="2:23" ht="15" customHeight="1" thickBot="1">
      <c r="B13" s="3388"/>
      <c r="C13" s="2879">
        <v>3735</v>
      </c>
      <c r="D13" s="2880" t="s">
        <v>1071</v>
      </c>
      <c r="E13" s="2881">
        <v>192267</v>
      </c>
      <c r="F13" s="2991">
        <f t="shared" si="3"/>
        <v>34609.800000000003</v>
      </c>
      <c r="G13" s="3049">
        <f>I13/F13</f>
        <v>3.3921317083600445E-2</v>
      </c>
      <c r="H13" s="2878">
        <v>35783.81</v>
      </c>
      <c r="I13" s="2878">
        <f t="shared" si="1"/>
        <v>1174.0099999999948</v>
      </c>
      <c r="J13" s="2910">
        <f t="shared" si="2"/>
        <v>587.00499999999738</v>
      </c>
      <c r="M13" s="2649"/>
      <c r="N13" s="3062"/>
      <c r="T13" s="89" t="s">
        <v>1093</v>
      </c>
      <c r="U13" s="1" t="s">
        <v>1066</v>
      </c>
      <c r="V13" s="2920">
        <v>21876.84</v>
      </c>
      <c r="W13" s="134" t="s">
        <v>1161</v>
      </c>
    </row>
    <row r="14" spans="2:23" ht="15" customHeight="1" thickBot="1">
      <c r="B14" s="3388"/>
      <c r="C14" s="3028">
        <v>3759</v>
      </c>
      <c r="D14" s="3029" t="s">
        <v>1072</v>
      </c>
      <c r="E14" s="3030">
        <v>460672</v>
      </c>
      <c r="F14" s="3031">
        <f t="shared" si="3"/>
        <v>407449.27999999997</v>
      </c>
      <c r="G14" s="3050">
        <f>'Site Based Respite'!I28</f>
        <v>0</v>
      </c>
      <c r="H14" s="3032">
        <f t="shared" si="0"/>
        <v>407449.27999999997</v>
      </c>
      <c r="I14" s="3032">
        <f t="shared" si="1"/>
        <v>0</v>
      </c>
      <c r="J14" s="3051">
        <f t="shared" si="2"/>
        <v>0</v>
      </c>
      <c r="M14" s="2649"/>
      <c r="N14" s="3062"/>
      <c r="T14" s="89" t="s">
        <v>1094</v>
      </c>
      <c r="U14" s="1" t="s">
        <v>1144</v>
      </c>
      <c r="V14" s="2920">
        <v>298019.16000000003</v>
      </c>
      <c r="W14" s="134" t="s">
        <v>1162</v>
      </c>
    </row>
    <row r="15" spans="2:23" ht="15" customHeight="1" thickBot="1">
      <c r="B15" s="3388"/>
      <c r="C15" s="3045">
        <v>3770</v>
      </c>
      <c r="D15" s="3038" t="s">
        <v>1147</v>
      </c>
      <c r="E15" s="3054">
        <v>10310519</v>
      </c>
      <c r="F15" s="3057"/>
      <c r="G15" s="3394">
        <v>4.2599999999999999E-2</v>
      </c>
      <c r="H15" s="3058"/>
      <c r="I15" s="3058"/>
      <c r="J15" s="3063"/>
      <c r="M15" s="2649"/>
      <c r="N15" s="3062"/>
      <c r="T15" s="89" t="s">
        <v>1095</v>
      </c>
      <c r="U15" s="1" t="s">
        <v>1068</v>
      </c>
      <c r="V15" s="2920">
        <v>362186.26</v>
      </c>
      <c r="W15" s="134" t="s">
        <v>1163</v>
      </c>
    </row>
    <row r="16" spans="2:23" ht="15" customHeight="1" thickBot="1">
      <c r="B16" s="3388"/>
      <c r="C16" s="2879">
        <v>3771</v>
      </c>
      <c r="D16" s="2880" t="s">
        <v>1170</v>
      </c>
      <c r="E16" s="3055">
        <v>1012176</v>
      </c>
      <c r="F16" s="3059">
        <v>16789868.159999996</v>
      </c>
      <c r="G16" s="3395"/>
      <c r="H16" s="3053">
        <f>F16*(1+G15)</f>
        <v>17505116.543615997</v>
      </c>
      <c r="I16" s="3053">
        <f t="shared" si="1"/>
        <v>715248.38361600041</v>
      </c>
      <c r="J16" s="1042">
        <f t="shared" si="2"/>
        <v>357624.19180800021</v>
      </c>
      <c r="M16" s="2649"/>
      <c r="N16" s="3062"/>
      <c r="T16" s="89" t="s">
        <v>1096</v>
      </c>
      <c r="U16" s="1" t="s">
        <v>1069</v>
      </c>
      <c r="V16" s="2920">
        <v>417404.14</v>
      </c>
      <c r="W16" s="134" t="s">
        <v>1164</v>
      </c>
    </row>
    <row r="17" spans="1:23" ht="15" customHeight="1" thickBot="1">
      <c r="B17" s="3388"/>
      <c r="C17" s="3046">
        <v>3772</v>
      </c>
      <c r="D17" s="3039" t="s">
        <v>1149</v>
      </c>
      <c r="E17" s="3056">
        <v>2401196</v>
      </c>
      <c r="F17" s="3060"/>
      <c r="G17" s="3396"/>
      <c r="H17" s="3061"/>
      <c r="I17" s="3061"/>
      <c r="J17" s="3064"/>
      <c r="M17" s="2649"/>
      <c r="N17" s="3062"/>
      <c r="T17" s="89" t="s">
        <v>1097</v>
      </c>
      <c r="U17" s="1" t="s">
        <v>1145</v>
      </c>
      <c r="V17" s="2920">
        <v>2877862.38</v>
      </c>
      <c r="W17" s="134" t="s">
        <v>1165</v>
      </c>
    </row>
    <row r="18" spans="1:23" ht="15" customHeight="1" thickBot="1">
      <c r="B18" s="3388"/>
      <c r="C18" s="2879">
        <v>3773</v>
      </c>
      <c r="D18" s="2880" t="s">
        <v>24</v>
      </c>
      <c r="E18" s="2881">
        <v>2185320</v>
      </c>
      <c r="F18" s="3033">
        <f>V24</f>
        <v>2751298.7800000003</v>
      </c>
      <c r="G18" s="3037">
        <f>IFFS!O25</f>
        <v>0</v>
      </c>
      <c r="H18" s="3034">
        <f t="shared" si="0"/>
        <v>2751298.7800000003</v>
      </c>
      <c r="I18" s="3034">
        <f t="shared" si="1"/>
        <v>0</v>
      </c>
      <c r="J18" s="3052">
        <f t="shared" si="2"/>
        <v>0</v>
      </c>
      <c r="M18" s="2649"/>
      <c r="N18" s="3062"/>
      <c r="T18" s="89" t="s">
        <v>1098</v>
      </c>
      <c r="U18" s="1" t="s">
        <v>1071</v>
      </c>
      <c r="V18" s="2920">
        <v>34609.800000000003</v>
      </c>
      <c r="W18" s="134"/>
    </row>
    <row r="19" spans="1:23" ht="15" customHeight="1" thickBot="1">
      <c r="B19" s="3388"/>
      <c r="C19" s="2879">
        <v>3774</v>
      </c>
      <c r="D19" s="2880" t="s">
        <v>26</v>
      </c>
      <c r="E19" s="2881">
        <v>710161</v>
      </c>
      <c r="F19" s="2991">
        <f>V26</f>
        <v>746950.2</v>
      </c>
      <c r="G19" s="3027">
        <f>'Med Complex '!G26</f>
        <v>0</v>
      </c>
      <c r="H19" s="2878">
        <f t="shared" si="0"/>
        <v>746950.2</v>
      </c>
      <c r="I19" s="2878">
        <f t="shared" si="1"/>
        <v>0</v>
      </c>
      <c r="J19" s="2910">
        <f t="shared" si="2"/>
        <v>0</v>
      </c>
      <c r="M19" s="2649"/>
      <c r="N19" s="3062"/>
      <c r="T19" s="89" t="s">
        <v>1099</v>
      </c>
      <c r="U19" s="1" t="s">
        <v>1072</v>
      </c>
      <c r="V19" s="2920">
        <v>407449.27999999997</v>
      </c>
      <c r="W19" s="134" t="s">
        <v>1166</v>
      </c>
    </row>
    <row r="20" spans="1:23" ht="15" customHeight="1" thickBot="1">
      <c r="B20" s="3388"/>
      <c r="C20" s="2879">
        <v>3775</v>
      </c>
      <c r="D20" s="2880" t="s">
        <v>1073</v>
      </c>
      <c r="E20" s="2881">
        <v>220778</v>
      </c>
      <c r="F20" s="2991">
        <f>V27</f>
        <v>93770.64</v>
      </c>
      <c r="G20" s="3027">
        <f>I20/F20</f>
        <v>3.3968094917556355E-2</v>
      </c>
      <c r="H20" s="2878">
        <v>96955.85</v>
      </c>
      <c r="I20" s="2878">
        <f t="shared" si="1"/>
        <v>3185.2100000000064</v>
      </c>
      <c r="J20" s="2910">
        <f t="shared" si="2"/>
        <v>1592.6050000000032</v>
      </c>
      <c r="M20" s="2649"/>
      <c r="N20" s="3062"/>
      <c r="T20" s="89" t="s">
        <v>1100</v>
      </c>
      <c r="U20" s="1" t="s">
        <v>1146</v>
      </c>
      <c r="V20" s="2451">
        <v>140215.94</v>
      </c>
      <c r="W20" s="134"/>
    </row>
    <row r="21" spans="1:23" ht="15" customHeight="1" thickBot="1">
      <c r="B21" s="3388"/>
      <c r="C21" s="2879">
        <v>3781</v>
      </c>
      <c r="D21" s="2880" t="s">
        <v>1074</v>
      </c>
      <c r="E21" s="2881">
        <v>269056</v>
      </c>
      <c r="F21" s="2878">
        <v>105000</v>
      </c>
      <c r="G21" s="3027">
        <f>'Fin. Assistance Admin'!M20</f>
        <v>0</v>
      </c>
      <c r="H21" s="2878">
        <f t="shared" si="0"/>
        <v>105000</v>
      </c>
      <c r="I21" s="2878">
        <f t="shared" si="1"/>
        <v>0</v>
      </c>
      <c r="J21" s="2910">
        <f t="shared" si="2"/>
        <v>0</v>
      </c>
      <c r="M21" s="2649"/>
      <c r="N21" s="3062"/>
      <c r="T21" s="89" t="s">
        <v>1101</v>
      </c>
      <c r="U21" s="1" t="s">
        <v>1147</v>
      </c>
      <c r="V21" s="2920">
        <v>12297710.529999999</v>
      </c>
      <c r="W21" s="134" t="s">
        <v>1167</v>
      </c>
    </row>
    <row r="22" spans="1:23" ht="15" customHeight="1" thickBot="1">
      <c r="B22" s="3389"/>
      <c r="C22" s="2882">
        <v>6753</v>
      </c>
      <c r="D22" s="2883" t="s">
        <v>1075</v>
      </c>
      <c r="E22" s="2884">
        <v>861977</v>
      </c>
      <c r="F22" s="2991">
        <f>V67</f>
        <v>2533820.919999999</v>
      </c>
      <c r="G22" s="3027" t="e">
        <f>'AWC Admin - Family Nav'!#REF!</f>
        <v>#REF!</v>
      </c>
      <c r="H22" s="2878" t="e">
        <f t="shared" si="0"/>
        <v>#REF!</v>
      </c>
      <c r="I22" s="2885" t="e">
        <f>H22-F22</f>
        <v>#REF!</v>
      </c>
      <c r="J22" s="3052" t="e">
        <f t="shared" si="2"/>
        <v>#REF!</v>
      </c>
      <c r="M22" s="2649"/>
      <c r="N22" s="3062"/>
      <c r="T22" s="89" t="s">
        <v>1102</v>
      </c>
      <c r="U22" s="1" t="s">
        <v>1148</v>
      </c>
      <c r="V22" s="2920">
        <v>1339929.8400000001</v>
      </c>
      <c r="W22" s="134" t="s">
        <v>1167</v>
      </c>
    </row>
    <row r="23" spans="1:23" ht="15" customHeight="1" thickBot="1">
      <c r="B23" s="2886"/>
      <c r="C23" s="2887"/>
      <c r="D23" s="2886"/>
      <c r="E23" s="2888">
        <f>SUM(E4:E22)</f>
        <v>25145123</v>
      </c>
      <c r="F23" s="3040">
        <f>SUM(F4:F22)</f>
        <v>30812425.189999994</v>
      </c>
      <c r="G23" s="2889"/>
      <c r="H23" s="2889" t="e">
        <f>SUM(H4:H22)</f>
        <v>#REF!</v>
      </c>
      <c r="I23" s="3071" t="e">
        <f>H23-F23</f>
        <v>#REF!</v>
      </c>
      <c r="J23" s="3072" t="e">
        <f>SUM(J4:J22)</f>
        <v>#REF!</v>
      </c>
      <c r="T23" s="89" t="s">
        <v>1103</v>
      </c>
      <c r="U23" s="1" t="s">
        <v>1149</v>
      </c>
      <c r="V23" s="2920">
        <v>2932680.1199999996</v>
      </c>
      <c r="W23" s="134" t="s">
        <v>1167</v>
      </c>
    </row>
    <row r="24" spans="1:23" ht="15" customHeight="1" thickTop="1">
      <c r="A24" s="1"/>
      <c r="B24" s="2886"/>
      <c r="C24" s="2887"/>
      <c r="D24" s="2886"/>
      <c r="E24" s="2888"/>
      <c r="F24" s="2888"/>
      <c r="G24" s="2888"/>
      <c r="H24" s="1038"/>
      <c r="I24" s="3406" t="e">
        <f>I23/F23</f>
        <v>#REF!</v>
      </c>
      <c r="J24" s="3406"/>
      <c r="K24" s="1"/>
      <c r="L24" s="1"/>
      <c r="M24" s="1"/>
      <c r="N24" s="1"/>
      <c r="O24" s="1"/>
      <c r="P24" s="1"/>
      <c r="Q24" s="1"/>
      <c r="R24" s="1"/>
      <c r="S24" s="1"/>
      <c r="T24" s="89" t="s">
        <v>1104</v>
      </c>
      <c r="U24" s="1" t="s">
        <v>24</v>
      </c>
      <c r="V24" s="2920">
        <v>2751298.7800000003</v>
      </c>
      <c r="W24" s="134" t="s">
        <v>24</v>
      </c>
    </row>
    <row r="25" spans="1:23" ht="15" customHeight="1">
      <c r="A25" s="1"/>
      <c r="B25" s="2886"/>
      <c r="C25" s="2887"/>
      <c r="D25" s="2886"/>
      <c r="E25" s="2888"/>
      <c r="F25" s="2888"/>
      <c r="G25" s="2888"/>
      <c r="H25" s="1038"/>
      <c r="I25" s="2891"/>
      <c r="J25" s="2891"/>
      <c r="K25" s="1"/>
      <c r="L25" s="1"/>
      <c r="M25" s="1"/>
      <c r="N25" s="1"/>
      <c r="O25" s="1"/>
      <c r="P25" s="1"/>
      <c r="Q25" s="1"/>
      <c r="R25" s="1"/>
      <c r="S25" s="1"/>
      <c r="T25" s="89"/>
      <c r="U25" s="1"/>
      <c r="V25" s="2920"/>
      <c r="W25" s="134"/>
    </row>
    <row r="26" spans="1:23" s="1" customFormat="1" ht="15" customHeight="1">
      <c r="B26" s="2886"/>
      <c r="C26" s="2887"/>
      <c r="D26" s="2886"/>
      <c r="E26" s="2888"/>
      <c r="F26" s="2888"/>
      <c r="G26" s="2888" t="s">
        <v>1192</v>
      </c>
      <c r="H26" s="1038"/>
      <c r="I26" s="2891"/>
      <c r="T26" s="89" t="s">
        <v>1105</v>
      </c>
      <c r="U26" s="1" t="s">
        <v>26</v>
      </c>
      <c r="V26" s="2920">
        <v>746950.2</v>
      </c>
      <c r="W26" s="134" t="s">
        <v>26</v>
      </c>
    </row>
    <row r="27" spans="1:23" s="1" customFormat="1" ht="15" customHeight="1">
      <c r="B27" s="2886"/>
      <c r="C27" s="2887"/>
      <c r="D27" s="2886"/>
      <c r="E27" s="2888"/>
      <c r="F27" s="2888" t="s">
        <v>1193</v>
      </c>
      <c r="H27" s="3067">
        <v>2.1831199999999999E-2</v>
      </c>
      <c r="I27" s="3068">
        <f>F23*H27</f>
        <v>672672.21680792782</v>
      </c>
      <c r="J27" s="3075">
        <f>I27*0.5</f>
        <v>336336.10840396391</v>
      </c>
      <c r="K27" s="3074" t="s">
        <v>1188</v>
      </c>
      <c r="L27" s="3074"/>
      <c r="M27" s="3074"/>
      <c r="T27" s="89" t="s">
        <v>1106</v>
      </c>
      <c r="U27" s="1" t="s">
        <v>1073</v>
      </c>
      <c r="V27" s="2920">
        <v>93770.64</v>
      </c>
      <c r="W27" s="134" t="s">
        <v>1168</v>
      </c>
    </row>
    <row r="28" spans="1:23" s="1" customFormat="1" ht="15" customHeight="1" thickBot="1">
      <c r="B28" s="2886"/>
      <c r="C28" s="2887"/>
      <c r="D28" s="2886"/>
      <c r="E28" s="2888"/>
      <c r="F28" s="2888" t="s">
        <v>1194</v>
      </c>
      <c r="H28" s="3067" t="e">
        <f>I24-H27</f>
        <v>#REF!</v>
      </c>
      <c r="I28" s="3069" t="e">
        <f>F23*H28</f>
        <v>#REF!</v>
      </c>
      <c r="J28" s="3075" t="e">
        <f>I28*0.5</f>
        <v>#REF!</v>
      </c>
      <c r="K28" s="3073" t="s">
        <v>1189</v>
      </c>
      <c r="L28" s="3073"/>
      <c r="M28" s="3073"/>
      <c r="N28" s="3073"/>
      <c r="T28" s="89" t="s">
        <v>1107</v>
      </c>
      <c r="U28" s="1" t="s">
        <v>44</v>
      </c>
      <c r="V28" s="2451">
        <v>327037.90000000002</v>
      </c>
      <c r="W28" s="134"/>
    </row>
    <row r="29" spans="1:23" s="1" customFormat="1" ht="15" customHeight="1" thickBot="1">
      <c r="A29" s="1195"/>
      <c r="B29" s="2886"/>
      <c r="C29" s="2887"/>
      <c r="D29" s="2886"/>
      <c r="E29" s="2888"/>
      <c r="F29" s="2888"/>
      <c r="G29" s="3078">
        <f>F23</f>
        <v>30812425.189999994</v>
      </c>
      <c r="H29" s="1038"/>
      <c r="I29" s="3070" t="e">
        <f>SUM(I27:I28)</f>
        <v>#REF!</v>
      </c>
      <c r="J29" s="3076" t="e">
        <f>SUM(J27:J28)</f>
        <v>#REF!</v>
      </c>
      <c r="K29" s="1195"/>
      <c r="N29" s="1195"/>
      <c r="O29" s="1195"/>
      <c r="P29" s="1195"/>
      <c r="Q29" s="1195"/>
      <c r="R29" s="1195"/>
      <c r="S29" s="1195"/>
      <c r="T29" s="89" t="s">
        <v>1108</v>
      </c>
      <c r="U29" s="1" t="s">
        <v>1074</v>
      </c>
      <c r="V29" s="2920">
        <v>296211.99999999994</v>
      </c>
      <c r="W29" s="134" t="s">
        <v>1074</v>
      </c>
    </row>
    <row r="30" spans="1:23" ht="15" customHeight="1" thickBot="1">
      <c r="B30" s="2886"/>
      <c r="C30" s="2887"/>
      <c r="D30" s="2886"/>
      <c r="E30" s="2888"/>
      <c r="G30" s="3077"/>
      <c r="I30" s="2891"/>
      <c r="T30" s="89" t="s">
        <v>1109</v>
      </c>
      <c r="U30" s="1" t="s">
        <v>1150</v>
      </c>
      <c r="V30" s="2451">
        <v>0</v>
      </c>
      <c r="W30" s="134"/>
    </row>
    <row r="31" spans="1:23" ht="15" customHeight="1" thickBot="1">
      <c r="B31" s="2886"/>
      <c r="C31" s="2887"/>
      <c r="D31" s="2886"/>
      <c r="E31" s="2888"/>
      <c r="F31" s="2888" t="s">
        <v>1191</v>
      </c>
      <c r="G31" s="3079">
        <f>'[11]RATES &amp; FI'!$N$112</f>
        <v>72510878.579999998</v>
      </c>
      <c r="H31" s="138">
        <v>2.2800000000000001E-2</v>
      </c>
      <c r="I31" s="3068">
        <v>1654499</v>
      </c>
      <c r="J31" s="3076">
        <f>I31*0.5</f>
        <v>827249.5</v>
      </c>
      <c r="T31" s="89"/>
      <c r="U31" s="1"/>
      <c r="V31" s="2451"/>
      <c r="W31" s="134"/>
    </row>
    <row r="32" spans="1:23" ht="15" customHeight="1">
      <c r="B32" s="2886"/>
      <c r="C32" s="2887"/>
      <c r="D32" s="2886"/>
      <c r="E32" s="2888"/>
      <c r="F32" s="2888"/>
      <c r="H32" s="1038"/>
      <c r="I32" s="2891"/>
      <c r="T32" s="89"/>
      <c r="U32" s="1"/>
      <c r="V32" s="2451"/>
      <c r="W32" s="134"/>
    </row>
    <row r="33" spans="2:23" ht="15" customHeight="1">
      <c r="B33" s="2886"/>
      <c r="C33" s="2887"/>
      <c r="D33" s="2886"/>
      <c r="E33" s="2888"/>
      <c r="F33" s="2888"/>
      <c r="H33" s="1038"/>
      <c r="I33" s="3093">
        <f>I76</f>
        <v>0</v>
      </c>
      <c r="J33" s="2571">
        <f>I33*0.5</f>
        <v>0</v>
      </c>
      <c r="K33" s="3073" t="s">
        <v>1195</v>
      </c>
      <c r="T33" s="89"/>
      <c r="U33" s="1"/>
      <c r="V33" s="2451"/>
      <c r="W33" s="134"/>
    </row>
    <row r="34" spans="2:23" ht="15" customHeight="1" thickBot="1">
      <c r="B34" s="2886"/>
      <c r="C34" s="2887"/>
      <c r="D34" s="2886"/>
      <c r="E34" s="2888"/>
      <c r="F34" s="3080" t="s">
        <v>1190</v>
      </c>
      <c r="G34" s="2453"/>
      <c r="H34" s="3094"/>
      <c r="I34" s="3095">
        <f>I77</f>
        <v>0</v>
      </c>
      <c r="J34" s="3081">
        <f>I34*0.5</f>
        <v>0</v>
      </c>
      <c r="K34" s="3074" t="s">
        <v>1188</v>
      </c>
      <c r="T34" s="89"/>
      <c r="U34" s="1"/>
      <c r="V34" s="2451"/>
      <c r="W34" s="134"/>
    </row>
    <row r="35" spans="2:23" ht="15" customHeight="1" thickBot="1">
      <c r="B35" s="2886"/>
      <c r="C35" s="2887"/>
      <c r="D35" s="2886"/>
      <c r="E35" s="2888"/>
      <c r="G35" s="2462">
        <f>F78</f>
        <v>347420</v>
      </c>
      <c r="H35" s="138">
        <v>3.4599999999999999E-2</v>
      </c>
      <c r="I35" s="3092">
        <f>SUM(I33:I34)</f>
        <v>0</v>
      </c>
      <c r="J35" s="3076">
        <f>I35*0.5</f>
        <v>0</v>
      </c>
      <c r="T35" s="89"/>
      <c r="U35" s="1"/>
      <c r="V35" s="2451"/>
      <c r="W35" s="134"/>
    </row>
    <row r="36" spans="2:23" ht="15" customHeight="1">
      <c r="B36" s="2886"/>
      <c r="C36" s="2887"/>
      <c r="D36" s="2886"/>
      <c r="E36" s="2888"/>
      <c r="F36" s="2888"/>
      <c r="T36" s="89"/>
      <c r="U36" s="1"/>
      <c r="V36" s="2451"/>
      <c r="W36" s="134"/>
    </row>
    <row r="37" spans="2:23" ht="15" customHeight="1">
      <c r="B37" s="2886"/>
      <c r="C37" s="2887"/>
      <c r="D37" s="2886"/>
      <c r="E37" s="2888"/>
      <c r="F37" s="2888"/>
      <c r="T37" s="89"/>
      <c r="U37" s="1"/>
      <c r="V37" s="2451"/>
      <c r="W37" s="134"/>
    </row>
    <row r="38" spans="2:23" ht="15" customHeight="1">
      <c r="B38" s="2886"/>
      <c r="C38" s="2887"/>
      <c r="D38" s="2886"/>
      <c r="E38" s="2888"/>
      <c r="F38" s="2888"/>
      <c r="G38" s="3082">
        <f>SUM(G29:G35)</f>
        <v>103670723.77</v>
      </c>
      <c r="H38" s="1038"/>
      <c r="I38" s="3070" t="e">
        <f>SUM(I29:I35)</f>
        <v>#REF!</v>
      </c>
      <c r="J38" s="2571">
        <f>J34+J31+J27</f>
        <v>1163585.608403964</v>
      </c>
      <c r="K38" s="3074" t="s">
        <v>1188</v>
      </c>
      <c r="T38" s="89"/>
      <c r="U38" s="1"/>
      <c r="V38" s="2451"/>
      <c r="W38" s="134"/>
    </row>
    <row r="39" spans="2:23" ht="15" customHeight="1" thickBot="1">
      <c r="B39" s="2886"/>
      <c r="C39" s="2887"/>
      <c r="D39" s="2886"/>
      <c r="E39" s="2888"/>
      <c r="F39" s="2888"/>
      <c r="G39" s="2888"/>
      <c r="H39" s="1038"/>
      <c r="I39" s="3070" t="e">
        <f>G38+I38</f>
        <v>#REF!</v>
      </c>
      <c r="J39" s="3081" t="e">
        <f>J33+J28</f>
        <v>#REF!</v>
      </c>
      <c r="K39" s="3073" t="s">
        <v>1196</v>
      </c>
      <c r="T39" s="89"/>
      <c r="U39" s="1"/>
      <c r="V39" s="2451"/>
      <c r="W39" s="134"/>
    </row>
    <row r="40" spans="2:23" ht="15" customHeight="1" thickBot="1">
      <c r="B40" s="2886"/>
      <c r="C40" s="2887"/>
      <c r="D40" s="2886"/>
      <c r="E40" s="2888"/>
      <c r="F40" s="2888"/>
      <c r="G40" s="2888"/>
      <c r="H40" s="138" t="e">
        <f>(I39-G38)/G38</f>
        <v>#REF!</v>
      </c>
      <c r="I40" s="2891"/>
      <c r="J40" s="3076" t="e">
        <f>SUM(J38:J39)</f>
        <v>#REF!</v>
      </c>
      <c r="T40" s="89"/>
      <c r="U40" s="1"/>
      <c r="V40" s="2451"/>
      <c r="W40" s="134"/>
    </row>
    <row r="41" spans="2:23" ht="15" customHeight="1">
      <c r="B41" s="2886"/>
      <c r="C41" s="2887"/>
      <c r="D41" s="2886"/>
      <c r="E41" s="2888"/>
      <c r="F41" s="2888"/>
      <c r="G41" s="2888"/>
      <c r="H41" s="1038"/>
      <c r="I41" s="2891"/>
      <c r="T41" s="89"/>
      <c r="U41" s="1"/>
      <c r="V41" s="2451"/>
      <c r="W41" s="134"/>
    </row>
    <row r="42" spans="2:23" ht="15" customHeight="1">
      <c r="B42" s="2886"/>
      <c r="C42" s="2887"/>
      <c r="D42" s="2886"/>
      <c r="E42" s="2888"/>
      <c r="F42" s="2888"/>
      <c r="G42" s="2888"/>
      <c r="H42" s="1038"/>
      <c r="I42" s="2891"/>
      <c r="T42" s="89"/>
      <c r="U42" s="1"/>
      <c r="V42" s="2451"/>
      <c r="W42" s="134"/>
    </row>
    <row r="43" spans="2:23" ht="15" customHeight="1">
      <c r="B43" s="2886"/>
      <c r="C43" s="2887"/>
      <c r="D43" s="2886"/>
      <c r="E43" s="2888"/>
      <c r="F43" s="2888"/>
      <c r="G43" s="2888"/>
      <c r="H43" s="1038"/>
      <c r="I43" s="2891"/>
      <c r="T43" s="89"/>
      <c r="U43" s="1"/>
      <c r="V43" s="2451"/>
      <c r="W43" s="134"/>
    </row>
    <row r="44" spans="2:23" ht="15" customHeight="1">
      <c r="B44" s="2886"/>
      <c r="C44" s="2887"/>
      <c r="D44" s="2886"/>
      <c r="E44" s="2888"/>
      <c r="F44" s="2888"/>
      <c r="G44" s="2888"/>
      <c r="H44" s="1038"/>
      <c r="I44" s="2891"/>
      <c r="T44" s="89"/>
      <c r="U44" s="1"/>
      <c r="V44" s="2451"/>
      <c r="W44" s="134"/>
    </row>
    <row r="45" spans="2:23" ht="15" customHeight="1">
      <c r="B45" s="2886"/>
      <c r="C45" s="2887"/>
      <c r="D45" s="2886"/>
      <c r="E45" s="2888"/>
      <c r="F45" s="2888"/>
      <c r="G45" s="2888"/>
      <c r="H45" s="1038"/>
      <c r="I45" s="2891"/>
      <c r="T45" s="89"/>
      <c r="U45" s="1"/>
      <c r="V45" s="2451"/>
      <c r="W45" s="134"/>
    </row>
    <row r="46" spans="2:23" ht="15" customHeight="1">
      <c r="B46" s="2886"/>
      <c r="C46" s="2887"/>
      <c r="D46" s="2886"/>
      <c r="E46" s="2888"/>
      <c r="F46" s="2888"/>
      <c r="G46" s="2888"/>
      <c r="H46" s="1038"/>
      <c r="I46" s="2891"/>
      <c r="T46" s="89"/>
      <c r="U46" s="1"/>
      <c r="V46" s="2451"/>
      <c r="W46" s="134"/>
    </row>
    <row r="47" spans="2:23" ht="15" customHeight="1">
      <c r="B47" s="2886"/>
      <c r="C47" s="2887"/>
      <c r="D47" s="2886"/>
      <c r="E47" s="2888"/>
      <c r="F47" s="2888"/>
      <c r="G47" s="2888"/>
      <c r="H47" s="1038"/>
      <c r="I47" s="2891"/>
      <c r="T47" s="89"/>
      <c r="U47" s="1"/>
      <c r="V47" s="2451"/>
      <c r="W47" s="134"/>
    </row>
    <row r="48" spans="2:23" ht="15" customHeight="1">
      <c r="B48" s="2886"/>
      <c r="C48" s="2887"/>
      <c r="D48" s="2886"/>
      <c r="E48" s="2888"/>
      <c r="F48" s="2888"/>
      <c r="G48" s="2888"/>
      <c r="H48" s="1038"/>
      <c r="I48" s="2891"/>
      <c r="T48" s="89"/>
      <c r="U48" s="1"/>
      <c r="V48" s="2451"/>
      <c r="W48" s="134"/>
    </row>
    <row r="49" spans="2:23" ht="15" customHeight="1">
      <c r="B49" s="2886"/>
      <c r="C49" s="2887"/>
      <c r="D49" s="2886"/>
      <c r="E49" s="2888"/>
      <c r="F49" s="2888"/>
      <c r="G49" s="2888"/>
      <c r="H49" s="1038"/>
      <c r="I49" s="2891"/>
      <c r="T49" s="89"/>
      <c r="U49" s="1"/>
      <c r="V49" s="2451"/>
      <c r="W49" s="134"/>
    </row>
    <row r="50" spans="2:23" ht="15" customHeight="1">
      <c r="B50" s="2886"/>
      <c r="C50" s="2887"/>
      <c r="D50" s="2886"/>
      <c r="E50" s="2888"/>
      <c r="F50" s="2888"/>
      <c r="G50" s="2888"/>
      <c r="H50" s="1038"/>
      <c r="I50" s="2891"/>
      <c r="T50" s="89"/>
      <c r="U50" s="1"/>
      <c r="V50" s="2451"/>
      <c r="W50" s="134"/>
    </row>
    <row r="51" spans="2:23" ht="15" customHeight="1">
      <c r="B51" s="2886"/>
      <c r="C51" s="2887"/>
      <c r="D51" s="2886"/>
      <c r="E51" s="2888"/>
      <c r="F51" s="2888"/>
      <c r="G51" s="2888"/>
      <c r="H51" s="1038"/>
      <c r="I51" s="2891"/>
      <c r="T51" s="89"/>
      <c r="U51" s="1"/>
      <c r="V51" s="2451"/>
      <c r="W51" s="134"/>
    </row>
    <row r="52" spans="2:23" ht="15" customHeight="1">
      <c r="B52" s="2886"/>
      <c r="C52" s="2887"/>
      <c r="D52" s="2886"/>
      <c r="E52" s="2888"/>
      <c r="F52" s="2888"/>
      <c r="G52" s="2888"/>
      <c r="H52" s="1038"/>
      <c r="I52" s="2891"/>
      <c r="T52" s="89"/>
      <c r="U52" s="1"/>
      <c r="V52" s="2451"/>
      <c r="W52" s="134"/>
    </row>
    <row r="53" spans="2:23" ht="15" customHeight="1">
      <c r="B53" s="2886"/>
      <c r="C53" s="2887"/>
      <c r="D53" s="2886"/>
      <c r="E53" s="2888"/>
      <c r="F53" s="2888"/>
      <c r="G53" s="2888"/>
      <c r="H53" s="1038"/>
      <c r="I53" s="2891"/>
      <c r="T53" s="89"/>
      <c r="U53" s="1"/>
      <c r="V53" s="2451"/>
      <c r="W53" s="134"/>
    </row>
    <row r="54" spans="2:23" ht="15" customHeight="1">
      <c r="B54" s="2886"/>
      <c r="C54" s="2887"/>
      <c r="D54" s="2886"/>
      <c r="E54" s="2888"/>
      <c r="F54" s="2888"/>
      <c r="G54" s="2888"/>
      <c r="H54" s="1038"/>
      <c r="I54" s="2891"/>
      <c r="T54" s="89"/>
      <c r="U54" s="1"/>
      <c r="V54" s="2451"/>
      <c r="W54" s="134"/>
    </row>
    <row r="55" spans="2:23" ht="15" customHeight="1">
      <c r="B55" s="2886"/>
      <c r="C55" s="2887"/>
      <c r="D55" s="2886"/>
      <c r="E55" s="2888"/>
      <c r="F55" s="2888"/>
      <c r="G55" s="2888"/>
      <c r="H55" s="1038"/>
      <c r="I55" s="2891"/>
      <c r="T55" s="89"/>
      <c r="U55" s="1"/>
      <c r="V55" s="2451"/>
      <c r="W55" s="134"/>
    </row>
    <row r="56" spans="2:23" ht="15" customHeight="1">
      <c r="B56" s="2886"/>
      <c r="C56" s="2887"/>
      <c r="D56" s="2886"/>
      <c r="E56" s="2888"/>
      <c r="F56" s="2888"/>
      <c r="G56" s="2888"/>
      <c r="H56" s="1038"/>
      <c r="I56" s="2891"/>
      <c r="T56" s="89"/>
      <c r="U56" s="1"/>
      <c r="V56" s="2451"/>
      <c r="W56" s="134"/>
    </row>
    <row r="57" spans="2:23" ht="15" customHeight="1">
      <c r="B57" s="2886"/>
      <c r="C57" s="2887"/>
      <c r="D57" s="2886"/>
      <c r="E57" s="2888"/>
      <c r="F57" s="2888"/>
      <c r="G57" s="2888"/>
      <c r="H57" s="1038"/>
      <c r="I57" s="2891"/>
      <c r="T57" s="89"/>
      <c r="U57" s="1"/>
      <c r="V57" s="2451"/>
      <c r="W57" s="134"/>
    </row>
    <row r="58" spans="2:23" ht="15" customHeight="1">
      <c r="B58" s="2886"/>
      <c r="C58" s="2887"/>
      <c r="D58" s="2886"/>
      <c r="E58" s="2888"/>
      <c r="F58" s="2888"/>
      <c r="G58" s="2888"/>
      <c r="H58" s="1038"/>
      <c r="I58" s="2891"/>
      <c r="T58" s="89"/>
      <c r="U58" s="1"/>
      <c r="V58" s="2451"/>
      <c r="W58" s="134"/>
    </row>
    <row r="59" spans="2:23" ht="15" customHeight="1">
      <c r="B59" s="2886"/>
      <c r="C59" s="2887"/>
      <c r="D59" s="2886"/>
      <c r="E59" s="2888"/>
      <c r="F59" s="2888"/>
      <c r="G59" s="2888"/>
      <c r="H59" s="1038"/>
      <c r="I59" s="2891"/>
      <c r="T59" s="89"/>
      <c r="U59" s="1"/>
      <c r="V59" s="2451"/>
      <c r="W59" s="134"/>
    </row>
    <row r="60" spans="2:23" ht="15" customHeight="1">
      <c r="B60" s="2886"/>
      <c r="C60" s="2887"/>
      <c r="D60" s="2886"/>
      <c r="E60" s="2888"/>
      <c r="F60" s="2888"/>
      <c r="G60" s="2888"/>
      <c r="H60" s="1038"/>
      <c r="I60" s="2891"/>
      <c r="T60" s="89"/>
      <c r="U60" s="1"/>
      <c r="V60" s="2451"/>
      <c r="W60" s="134"/>
    </row>
    <row r="61" spans="2:23" ht="15" customHeight="1">
      <c r="B61" s="2886"/>
      <c r="C61" s="2887"/>
      <c r="D61" s="2886"/>
      <c r="E61" s="2888"/>
      <c r="F61" s="2888"/>
      <c r="G61" s="2888"/>
      <c r="H61" s="1038"/>
      <c r="I61" s="2891"/>
      <c r="T61" s="89"/>
      <c r="U61" s="1"/>
      <c r="V61" s="2451"/>
      <c r="W61" s="134"/>
    </row>
    <row r="62" spans="2:23" ht="15" customHeight="1">
      <c r="B62" s="2886"/>
      <c r="C62" s="2887"/>
      <c r="D62" s="2886"/>
      <c r="E62" s="2888"/>
      <c r="F62" s="2888"/>
      <c r="G62" s="2888"/>
      <c r="H62" s="1038"/>
      <c r="I62" s="2891"/>
      <c r="T62" s="89"/>
      <c r="U62" s="1"/>
      <c r="V62" s="2451"/>
      <c r="W62" s="134"/>
    </row>
    <row r="63" spans="2:23" ht="15" customHeight="1">
      <c r="B63" s="2886"/>
      <c r="C63" s="2887"/>
      <c r="D63" s="2886"/>
      <c r="E63" s="2888"/>
      <c r="F63" s="2888"/>
      <c r="G63" s="2888"/>
      <c r="H63" s="1038"/>
      <c r="I63" s="2891"/>
      <c r="T63" s="89" t="s">
        <v>1110</v>
      </c>
      <c r="U63" s="1" t="s">
        <v>1151</v>
      </c>
      <c r="V63" s="2451">
        <v>0</v>
      </c>
      <c r="W63" s="134"/>
    </row>
    <row r="64" spans="2:23" ht="15" customHeight="1">
      <c r="B64" s="2886"/>
      <c r="C64" s="2887"/>
      <c r="D64" s="2886"/>
      <c r="E64" s="2888"/>
      <c r="F64" s="2888"/>
      <c r="G64" s="2888"/>
      <c r="H64" s="1038"/>
      <c r="I64" s="2891"/>
      <c r="T64" s="89" t="s">
        <v>1111</v>
      </c>
      <c r="U64" s="1" t="s">
        <v>1152</v>
      </c>
      <c r="V64" s="2451">
        <v>4546814.13</v>
      </c>
      <c r="W64" s="134"/>
    </row>
    <row r="65" spans="2:23" ht="18" customHeight="1">
      <c r="B65" s="2886"/>
      <c r="C65" s="2887"/>
      <c r="D65" s="2886"/>
      <c r="E65" s="2888"/>
      <c r="F65" s="2888"/>
      <c r="G65" s="2888"/>
      <c r="H65" s="1038"/>
      <c r="I65" s="2891"/>
      <c r="T65" s="89" t="s">
        <v>1112</v>
      </c>
      <c r="U65" s="1" t="s">
        <v>1153</v>
      </c>
      <c r="V65" s="2451">
        <v>4196447.32</v>
      </c>
      <c r="W65" s="134"/>
    </row>
    <row r="66" spans="2:23" ht="15" customHeight="1">
      <c r="B66" s="2886"/>
      <c r="C66" s="2887"/>
      <c r="D66" s="2886"/>
      <c r="E66" s="2888"/>
      <c r="F66" s="2888"/>
      <c r="G66" s="2888"/>
      <c r="H66" s="1038"/>
      <c r="I66" s="2891"/>
      <c r="T66" s="89" t="s">
        <v>1113</v>
      </c>
      <c r="U66" s="1" t="s">
        <v>1154</v>
      </c>
      <c r="V66" s="2451">
        <v>0</v>
      </c>
      <c r="W66" s="134"/>
    </row>
    <row r="67" spans="2:23" ht="15" customHeight="1">
      <c r="B67" s="2886"/>
      <c r="C67" s="2887"/>
      <c r="D67" s="2886"/>
      <c r="E67" s="2888"/>
      <c r="F67" s="2888"/>
      <c r="G67" s="2888"/>
      <c r="H67" s="1038"/>
      <c r="I67" s="2891"/>
      <c r="T67" s="89" t="s">
        <v>1114</v>
      </c>
      <c r="U67" s="1" t="s">
        <v>1075</v>
      </c>
      <c r="V67" s="2451">
        <v>2533820.919999999</v>
      </c>
      <c r="W67" s="134" t="s">
        <v>1169</v>
      </c>
    </row>
    <row r="68" spans="2:23" ht="15" customHeight="1">
      <c r="B68" s="2886"/>
      <c r="C68" s="2887"/>
      <c r="D68" s="2886"/>
      <c r="E68" s="2888"/>
      <c r="F68" s="2888"/>
      <c r="G68" s="2888"/>
      <c r="H68" s="1038"/>
      <c r="I68" s="2891"/>
      <c r="T68" s="89" t="s">
        <v>1115</v>
      </c>
      <c r="U68" s="1" t="s">
        <v>1155</v>
      </c>
      <c r="V68" s="2451">
        <v>78653.61</v>
      </c>
      <c r="W68" s="134"/>
    </row>
    <row r="69" spans="2:23" ht="15" customHeight="1">
      <c r="B69" s="2886"/>
      <c r="C69" s="2887"/>
      <c r="D69" s="2886"/>
      <c r="E69" s="2888"/>
      <c r="F69" s="2888"/>
      <c r="G69" s="2888"/>
      <c r="H69" s="1038"/>
      <c r="I69" s="2891"/>
      <c r="T69" s="89" t="s">
        <v>45</v>
      </c>
      <c r="U69" s="1"/>
      <c r="V69" s="2451"/>
      <c r="W69" s="134"/>
    </row>
    <row r="70" spans="2:23" ht="15" customHeight="1" thickBot="1">
      <c r="B70" s="2886"/>
      <c r="C70" s="2887"/>
      <c r="D70" s="2886"/>
      <c r="E70" s="2888"/>
      <c r="F70" s="2888"/>
      <c r="G70" s="2888"/>
      <c r="H70" s="1038"/>
      <c r="I70" s="2891"/>
      <c r="T70" s="89" t="s">
        <v>46</v>
      </c>
      <c r="U70" s="1" t="s">
        <v>1156</v>
      </c>
      <c r="V70" s="2451">
        <v>316330.18</v>
      </c>
      <c r="W70" s="134"/>
    </row>
    <row r="71" spans="2:23" ht="15" customHeight="1" thickBot="1">
      <c r="B71" s="2886"/>
      <c r="C71" s="2887"/>
      <c r="D71" s="2886"/>
      <c r="E71" s="2888"/>
      <c r="F71" s="2888"/>
      <c r="G71" s="2888"/>
      <c r="H71" s="1038"/>
      <c r="I71" s="2891"/>
      <c r="T71" s="2997" t="s">
        <v>1116</v>
      </c>
      <c r="U71" s="2957"/>
      <c r="V71" s="2998">
        <f>SUM(V8:V70)</f>
        <v>46038342.260000005</v>
      </c>
      <c r="W71" s="2958"/>
    </row>
    <row r="72" spans="2:23" ht="15" customHeight="1" thickBot="1">
      <c r="B72" s="2886"/>
      <c r="C72" s="2887"/>
      <c r="D72" s="2886"/>
      <c r="E72" s="2888"/>
      <c r="F72" s="2888"/>
      <c r="G72" s="2888"/>
      <c r="H72" s="1038"/>
      <c r="I72" s="2891"/>
    </row>
    <row r="73" spans="2:23" ht="15" customHeight="1">
      <c r="B73" s="3083"/>
      <c r="C73" s="3084"/>
      <c r="D73" s="3085"/>
      <c r="E73" s="3086"/>
      <c r="F73" s="3086"/>
      <c r="G73" s="3392" t="s">
        <v>1186</v>
      </c>
      <c r="H73" s="3392" t="s">
        <v>1056</v>
      </c>
      <c r="I73" s="3390" t="s">
        <v>1062</v>
      </c>
      <c r="J73" s="3404" t="s">
        <v>1184</v>
      </c>
    </row>
    <row r="74" spans="2:23" ht="15" customHeight="1" thickBot="1">
      <c r="B74" s="3087" t="s">
        <v>1057</v>
      </c>
      <c r="C74" s="3066" t="s">
        <v>1058</v>
      </c>
      <c r="D74" s="139" t="s">
        <v>900</v>
      </c>
      <c r="E74" s="139" t="s">
        <v>1059</v>
      </c>
      <c r="F74" s="3066" t="s">
        <v>1117</v>
      </c>
      <c r="G74" s="3393"/>
      <c r="H74" s="3393"/>
      <c r="I74" s="3391"/>
      <c r="J74" s="3405"/>
    </row>
    <row r="75" spans="2:23" ht="15" customHeight="1" thickBot="1">
      <c r="B75" s="3397"/>
      <c r="C75" s="2875">
        <v>2403</v>
      </c>
      <c r="D75" s="2876" t="s">
        <v>1181</v>
      </c>
      <c r="E75" s="2877">
        <v>4344</v>
      </c>
      <c r="F75" s="2877">
        <v>7420</v>
      </c>
      <c r="G75" s="2877"/>
      <c r="H75" s="2444"/>
      <c r="I75" s="2878"/>
      <c r="J75" s="134"/>
    </row>
    <row r="76" spans="2:23" ht="15" customHeight="1" thickBot="1">
      <c r="B76" s="3398"/>
      <c r="C76" s="2976">
        <v>2112</v>
      </c>
      <c r="D76" s="2977" t="s">
        <v>1180</v>
      </c>
      <c r="E76" s="2978"/>
      <c r="F76" s="2978"/>
      <c r="G76" s="3042">
        <f>'MCB FAMS'!I27</f>
        <v>0</v>
      </c>
      <c r="H76" s="2979">
        <f>F75*(1+G76)</f>
        <v>7420</v>
      </c>
      <c r="I76" s="2980">
        <f>H76-F75</f>
        <v>0</v>
      </c>
      <c r="J76" s="3091">
        <f>I76*0.5</f>
        <v>0</v>
      </c>
      <c r="K76" s="3073" t="s">
        <v>1195</v>
      </c>
    </row>
    <row r="77" spans="2:23" ht="15" customHeight="1" thickBot="1">
      <c r="B77" s="3399"/>
      <c r="C77" s="2879">
        <v>2124</v>
      </c>
      <c r="D77" s="2658" t="s">
        <v>1077</v>
      </c>
      <c r="E77" s="2881">
        <v>304728</v>
      </c>
      <c r="F77" s="3044">
        <v>340000</v>
      </c>
      <c r="G77" s="3043">
        <f>'Respite '!V20</f>
        <v>0</v>
      </c>
      <c r="H77" s="2877">
        <f>F77*(1+G77)</f>
        <v>340000</v>
      </c>
      <c r="I77" s="2878">
        <f>H77-F77</f>
        <v>0</v>
      </c>
      <c r="J77" s="1042">
        <f>I77*0.5</f>
        <v>0</v>
      </c>
      <c r="K77" s="3074" t="s">
        <v>1188</v>
      </c>
    </row>
    <row r="78" spans="2:23" ht="15" customHeight="1" thickBot="1">
      <c r="B78" s="2452"/>
      <c r="C78" s="3065"/>
      <c r="D78" s="2453"/>
      <c r="E78" s="3081">
        <f>E75+E77</f>
        <v>309072</v>
      </c>
      <c r="F78" s="3088">
        <f t="shared" ref="F78" si="4">F75+F77</f>
        <v>347420</v>
      </c>
      <c r="G78" s="3088"/>
      <c r="H78" s="3088">
        <f>H76+H77</f>
        <v>347420</v>
      </c>
      <c r="I78" s="3089">
        <f>SUM(I75:I77)</f>
        <v>0</v>
      </c>
      <c r="J78" s="3090"/>
    </row>
    <row r="79" spans="2:23" ht="15" customHeight="1">
      <c r="I79" s="2871">
        <f>I78/F78</f>
        <v>0</v>
      </c>
    </row>
    <row r="80" spans="2:23" ht="15" customHeight="1">
      <c r="I80" s="2871"/>
    </row>
    <row r="81" spans="2:9" ht="15" customHeight="1">
      <c r="I81" s="2871"/>
    </row>
    <row r="82" spans="2:9" ht="15" customHeight="1">
      <c r="H82" s="2870">
        <f>'Spring 2019 CAF'!BU25</f>
        <v>1.8120393120392975E-2</v>
      </c>
    </row>
    <row r="83" spans="2:9" ht="15" customHeight="1" thickBot="1">
      <c r="B83" s="2873" t="s">
        <v>1057</v>
      </c>
      <c r="C83" s="2872" t="s">
        <v>1058</v>
      </c>
      <c r="D83" s="2874" t="s">
        <v>900</v>
      </c>
      <c r="E83" s="2874" t="s">
        <v>1059</v>
      </c>
      <c r="F83" s="2872" t="s">
        <v>1117</v>
      </c>
      <c r="G83" s="2872"/>
      <c r="H83" s="2872" t="s">
        <v>1061</v>
      </c>
      <c r="I83" s="2872" t="s">
        <v>1062</v>
      </c>
    </row>
    <row r="84" spans="2:9" ht="15" customHeight="1" thickBot="1">
      <c r="B84" s="3402" t="s">
        <v>60</v>
      </c>
      <c r="C84" s="2895" t="s">
        <v>1078</v>
      </c>
      <c r="D84" s="2896" t="s">
        <v>1079</v>
      </c>
      <c r="E84" s="2897">
        <v>59911694</v>
      </c>
      <c r="F84" s="2898">
        <v>72510878.579999998</v>
      </c>
      <c r="G84" s="3023"/>
      <c r="H84" s="2899">
        <f>F84*(H82+1)</f>
        <v>73824804.205374688</v>
      </c>
      <c r="I84" s="2899">
        <f>H84-F84</f>
        <v>1313925.6253746897</v>
      </c>
    </row>
    <row r="85" spans="2:9" ht="15" customHeight="1" thickBot="1">
      <c r="B85" s="3403"/>
      <c r="C85" s="2895" t="s">
        <v>1080</v>
      </c>
      <c r="D85" s="2896" t="s">
        <v>1081</v>
      </c>
      <c r="E85" s="2900" t="s">
        <v>1076</v>
      </c>
      <c r="F85" s="2901" t="s">
        <v>1076</v>
      </c>
      <c r="G85" s="2901"/>
      <c r="H85" s="2901" t="s">
        <v>1076</v>
      </c>
      <c r="I85" s="2901" t="s">
        <v>1076</v>
      </c>
    </row>
    <row r="86" spans="2:9" ht="15" customHeight="1" thickBot="1">
      <c r="B86" s="2902"/>
      <c r="C86" s="2903"/>
      <c r="D86" s="2904"/>
      <c r="E86" s="2905">
        <f>E84</f>
        <v>59911694</v>
      </c>
      <c r="F86" s="2905">
        <f>F84</f>
        <v>72510878.579999998</v>
      </c>
      <c r="G86" s="2905"/>
      <c r="H86" s="2906">
        <f>H84</f>
        <v>73824804.205374688</v>
      </c>
      <c r="I86" s="2907">
        <f>H86-F86</f>
        <v>1313925.6253746897</v>
      </c>
    </row>
    <row r="87" spans="2:9" ht="15" customHeight="1" thickTop="1">
      <c r="B87" s="2902"/>
      <c r="C87" s="2903"/>
      <c r="D87" s="2904"/>
      <c r="E87" s="2892"/>
      <c r="F87" s="2892"/>
      <c r="G87" s="2892"/>
      <c r="I87" s="2871">
        <f>I86/F86</f>
        <v>1.8120393120393076E-2</v>
      </c>
    </row>
    <row r="89" spans="2:9" ht="15" customHeight="1">
      <c r="H89" s="2872" t="s">
        <v>1056</v>
      </c>
    </row>
    <row r="90" spans="2:9" ht="15" customHeight="1" thickBot="1">
      <c r="B90" s="2873" t="s">
        <v>1057</v>
      </c>
      <c r="C90" s="2872" t="s">
        <v>1058</v>
      </c>
      <c r="D90" s="2874" t="s">
        <v>900</v>
      </c>
      <c r="E90" s="2874" t="s">
        <v>1059</v>
      </c>
      <c r="F90" s="2874" t="s">
        <v>1060</v>
      </c>
      <c r="G90" s="2874"/>
      <c r="H90" s="2872" t="s">
        <v>1061</v>
      </c>
      <c r="I90" s="2872" t="s">
        <v>1062</v>
      </c>
    </row>
    <row r="91" spans="2:9" ht="15" customHeight="1" thickBot="1">
      <c r="B91" s="3235" t="s">
        <v>51</v>
      </c>
      <c r="C91" s="3235">
        <v>3066</v>
      </c>
      <c r="D91" s="2908" t="s">
        <v>52</v>
      </c>
      <c r="E91" s="2909">
        <v>5268386</v>
      </c>
      <c r="F91" s="2909">
        <v>5719031</v>
      </c>
      <c r="G91" s="3024"/>
      <c r="H91" s="2899">
        <f>F91*($H$82+1)</f>
        <v>5822662.0899877148</v>
      </c>
      <c r="I91" s="2910">
        <f>H91-F91</f>
        <v>103631.08998771477</v>
      </c>
    </row>
    <row r="92" spans="2:9" ht="15" customHeight="1" thickBot="1">
      <c r="B92" s="3234"/>
      <c r="C92" s="3234"/>
      <c r="D92" s="2911" t="s">
        <v>53</v>
      </c>
      <c r="E92" s="2909">
        <v>1214838</v>
      </c>
      <c r="F92" s="2909">
        <v>1462587</v>
      </c>
      <c r="G92" s="3024"/>
      <c r="H92" s="2899">
        <f>F92*($H$82+1)</f>
        <v>1489089.6514127762</v>
      </c>
      <c r="I92" s="2910">
        <f t="shared" ref="I92:I95" si="5">H92-F92</f>
        <v>26502.651412776206</v>
      </c>
    </row>
    <row r="93" spans="2:9" ht="15" customHeight="1" thickBot="1">
      <c r="B93" s="3234"/>
      <c r="C93" s="3234"/>
      <c r="D93" s="2911" t="s">
        <v>54</v>
      </c>
      <c r="E93" s="2909">
        <v>1427592</v>
      </c>
      <c r="F93" s="2909">
        <v>1613425</v>
      </c>
      <c r="G93" s="3024"/>
      <c r="H93" s="2899">
        <f>F93*($H$82+1)</f>
        <v>1642660.8952702701</v>
      </c>
      <c r="I93" s="2910">
        <f t="shared" si="5"/>
        <v>29235.895270270063</v>
      </c>
    </row>
    <row r="94" spans="2:9" ht="15" customHeight="1" thickBot="1">
      <c r="B94" s="3234"/>
      <c r="C94" s="3234"/>
      <c r="D94" s="2911" t="s">
        <v>56</v>
      </c>
      <c r="E94" s="2909">
        <v>176549</v>
      </c>
      <c r="F94" s="2909">
        <v>205240</v>
      </c>
      <c r="G94" s="3024"/>
      <c r="H94" s="2899">
        <f>F94*($H$82+1)</f>
        <v>208959.02948402948</v>
      </c>
      <c r="I94" s="2910">
        <f t="shared" si="5"/>
        <v>3719.029484029481</v>
      </c>
    </row>
    <row r="95" spans="2:9" ht="15" customHeight="1" thickBot="1">
      <c r="B95" s="3234"/>
      <c r="C95" s="3234"/>
      <c r="D95" s="2911" t="s">
        <v>58</v>
      </c>
      <c r="E95" s="2909">
        <v>26174</v>
      </c>
      <c r="F95" s="2909">
        <v>39928</v>
      </c>
      <c r="G95" s="3024"/>
      <c r="H95" s="2899">
        <f>F95*($H$82+1)</f>
        <v>40651.511056511052</v>
      </c>
      <c r="I95" s="2910">
        <f t="shared" si="5"/>
        <v>723.51105651105172</v>
      </c>
    </row>
    <row r="96" spans="2:9" ht="15" customHeight="1" thickBot="1">
      <c r="B96" s="3234"/>
      <c r="C96" s="3234"/>
      <c r="D96" s="2912" t="s">
        <v>1082</v>
      </c>
      <c r="E96" s="2913" t="s">
        <v>1076</v>
      </c>
      <c r="F96" s="2913" t="s">
        <v>1076</v>
      </c>
      <c r="G96" s="2913"/>
      <c r="H96" s="2913" t="s">
        <v>1076</v>
      </c>
      <c r="I96" s="2913" t="s">
        <v>1076</v>
      </c>
    </row>
    <row r="97" spans="2:9" ht="15" customHeight="1" thickBot="1">
      <c r="B97" s="3236"/>
      <c r="C97" s="3236"/>
      <c r="D97" s="2911" t="s">
        <v>59</v>
      </c>
      <c r="E97" s="2909">
        <v>0</v>
      </c>
      <c r="F97" s="2909">
        <v>0</v>
      </c>
      <c r="G97" s="3024"/>
      <c r="H97" s="2893">
        <f>F97*($H$82+1)</f>
        <v>0</v>
      </c>
      <c r="I97" s="2893">
        <v>0</v>
      </c>
    </row>
    <row r="98" spans="2:9" ht="15" customHeight="1" thickBot="1">
      <c r="E98" s="2894">
        <f>SUM(E91:E97)</f>
        <v>8113539</v>
      </c>
      <c r="F98" s="2894">
        <f>SUM(F91:F97)</f>
        <v>9040211</v>
      </c>
      <c r="G98" s="2894"/>
      <c r="H98" s="2906">
        <f>SUM(H91:H97)</f>
        <v>9204023.1772113014</v>
      </c>
      <c r="I98" s="2890">
        <f>SUM(I91:I97)</f>
        <v>163812.17721130158</v>
      </c>
    </row>
    <row r="99" spans="2:9" ht="15" customHeight="1" thickTop="1" thickBot="1">
      <c r="E99" s="2894"/>
    </row>
    <row r="100" spans="2:9" ht="15" customHeight="1" thickBot="1">
      <c r="D100" s="2914" t="s">
        <v>1082</v>
      </c>
      <c r="E100" s="2915">
        <v>2531675</v>
      </c>
      <c r="F100" s="2916">
        <v>2977083</v>
      </c>
      <c r="G100" s="3025"/>
    </row>
    <row r="102" spans="2:9" ht="15" customHeight="1">
      <c r="E102" s="2917">
        <f>E98+E100</f>
        <v>10645214</v>
      </c>
      <c r="F102" s="2917">
        <f>F98+F100</f>
        <v>12017294</v>
      </c>
      <c r="G102" s="2917"/>
    </row>
    <row r="109" spans="2:9" ht="15" customHeight="1">
      <c r="E109" s="2874" t="s">
        <v>1059</v>
      </c>
      <c r="F109" s="2874" t="s">
        <v>1060</v>
      </c>
      <c r="G109" s="2874"/>
      <c r="H109" s="2874" t="s">
        <v>1083</v>
      </c>
      <c r="I109" s="2872" t="s">
        <v>1062</v>
      </c>
    </row>
    <row r="110" spans="2:9" ht="15" customHeight="1">
      <c r="D110" s="2918" t="s">
        <v>275</v>
      </c>
      <c r="E110" s="2894">
        <f>E98+E86+E78+E23</f>
        <v>93479428</v>
      </c>
      <c r="F110" s="2894">
        <f>F98+F86+F78+F23</f>
        <v>112710934.77</v>
      </c>
      <c r="G110" s="2894"/>
      <c r="H110" s="2906" t="e">
        <f>H98+H86+H78+H23</f>
        <v>#REF!</v>
      </c>
      <c r="I110" s="2894" t="e">
        <f>I98+I86+I78+I23</f>
        <v>#REF!</v>
      </c>
    </row>
  </sheetData>
  <mergeCells count="19">
    <mergeCell ref="J73:J74"/>
    <mergeCell ref="H73:H74"/>
    <mergeCell ref="G73:G74"/>
    <mergeCell ref="J2:J3"/>
    <mergeCell ref="I24:J24"/>
    <mergeCell ref="B91:B97"/>
    <mergeCell ref="C91:C97"/>
    <mergeCell ref="B4:B22"/>
    <mergeCell ref="I2:I3"/>
    <mergeCell ref="G2:G3"/>
    <mergeCell ref="H2:H3"/>
    <mergeCell ref="G15:G17"/>
    <mergeCell ref="B75:B77"/>
    <mergeCell ref="F2:F3"/>
    <mergeCell ref="B2:B3"/>
    <mergeCell ref="C2:C3"/>
    <mergeCell ref="D2:D3"/>
    <mergeCell ref="B84:B85"/>
    <mergeCell ref="I73:I74"/>
  </mergeCells>
  <pageMargins left="0.2" right="0.2" top="0.25" bottom="0.25" header="0.3" footer="0.3"/>
  <pageSetup scale="74" orientation="landscape" r:id="rId1"/>
  <ignoredErrors>
    <ignoredError sqref="G11" formula="1"/>
  </ignoredError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1:Q185"/>
  <sheetViews>
    <sheetView topLeftCell="A31" workbookViewId="0">
      <selection activeCell="I13" sqref="I13"/>
    </sheetView>
  </sheetViews>
  <sheetFormatPr defaultRowHeight="15"/>
  <cols>
    <col min="5" max="5" width="60.42578125" style="2638" bestFit="1" customWidth="1"/>
    <col min="6" max="6" width="7.5703125" bestFit="1" customWidth="1"/>
    <col min="7" max="7" width="12.28515625" bestFit="1" customWidth="1"/>
    <col min="8" max="8" width="10.5703125" hidden="1" customWidth="1"/>
    <col min="9" max="9" width="11" style="2641" bestFit="1" customWidth="1"/>
    <col min="10" max="10" width="8.42578125" hidden="1" customWidth="1"/>
    <col min="12" max="12" width="6.140625" bestFit="1" customWidth="1"/>
  </cols>
  <sheetData>
    <row r="1" spans="5:17">
      <c r="E1" s="2639" t="s">
        <v>1197</v>
      </c>
    </row>
    <row r="2" spans="5:17" ht="15.75" thickBot="1">
      <c r="E2" s="2637"/>
      <c r="L2" s="1842">
        <v>1.8100000000000002E-2</v>
      </c>
    </row>
    <row r="3" spans="5:17" ht="30.75" thickBot="1">
      <c r="E3" s="2642" t="s">
        <v>2</v>
      </c>
      <c r="F3" s="2643" t="s">
        <v>3</v>
      </c>
      <c r="G3" s="2643" t="s">
        <v>574</v>
      </c>
      <c r="H3" s="2643" t="s">
        <v>575</v>
      </c>
      <c r="I3" s="2644" t="s">
        <v>6</v>
      </c>
      <c r="J3" s="2645" t="s">
        <v>890</v>
      </c>
    </row>
    <row r="4" spans="5:17" ht="15.75" hidden="1" thickBot="1">
      <c r="E4" s="2646" t="s">
        <v>61</v>
      </c>
      <c r="F4" s="2647"/>
      <c r="G4" s="2647" t="s">
        <v>25</v>
      </c>
      <c r="H4" s="2648">
        <v>20.11</v>
      </c>
      <c r="I4" s="2649">
        <f>H4*(1+L2)</f>
        <v>20.473990999999998</v>
      </c>
      <c r="J4" s="2650">
        <f>(I4-H4)/H4</f>
        <v>1.8099999999999932E-2</v>
      </c>
      <c r="L4" s="2919"/>
    </row>
    <row r="5" spans="5:17" ht="15.75" thickBot="1">
      <c r="E5" s="2646" t="s">
        <v>656</v>
      </c>
      <c r="F5" s="2647"/>
      <c r="G5" s="2647" t="s">
        <v>577</v>
      </c>
      <c r="H5" s="3097">
        <v>5.07</v>
      </c>
      <c r="I5" s="3107">
        <f>AdultCompanion!K37</f>
        <v>5.6722925822878789</v>
      </c>
      <c r="J5" s="2650">
        <f>(I5-H5)/H5</f>
        <v>0.11879538112186955</v>
      </c>
      <c r="L5" s="3047"/>
    </row>
    <row r="6" spans="5:17" ht="15.75" thickBot="1">
      <c r="E6" s="2646" t="s">
        <v>576</v>
      </c>
      <c r="F6" s="2647"/>
      <c r="G6" s="2647" t="s">
        <v>577</v>
      </c>
      <c r="H6" s="3097">
        <v>3.26</v>
      </c>
      <c r="I6" s="3107">
        <f>AdultCompanion!K38</f>
        <v>3.6472729424572945</v>
      </c>
      <c r="J6" s="2650">
        <f t="shared" ref="J6:J69" si="0">(I6-H6)/H6</f>
        <v>0.11879538112186955</v>
      </c>
      <c r="L6" s="3047"/>
    </row>
    <row r="7" spans="5:17" ht="15.75" thickBot="1">
      <c r="E7" s="2646" t="s">
        <v>578</v>
      </c>
      <c r="F7" s="2647"/>
      <c r="G7" s="2647" t="s">
        <v>577</v>
      </c>
      <c r="H7" s="3097">
        <v>2.16</v>
      </c>
      <c r="I7" s="3107">
        <f>AdultCompanion!K39</f>
        <v>2.4165980232232385</v>
      </c>
      <c r="J7" s="2650">
        <f t="shared" si="0"/>
        <v>0.11879538112186959</v>
      </c>
      <c r="L7" s="3047"/>
    </row>
    <row r="8" spans="5:17" ht="15.75" thickBot="1">
      <c r="E8" s="2646" t="s">
        <v>581</v>
      </c>
      <c r="F8" s="2647"/>
      <c r="G8" s="2647" t="s">
        <v>20</v>
      </c>
      <c r="H8" s="3098" t="s">
        <v>582</v>
      </c>
      <c r="I8" s="3105"/>
      <c r="J8" s="2650"/>
      <c r="L8" s="3048"/>
    </row>
    <row r="9" spans="5:17" ht="15.75" customHeight="1" thickBot="1">
      <c r="E9" s="2646" t="s">
        <v>892</v>
      </c>
      <c r="F9" s="2647"/>
      <c r="G9" s="2647" t="s">
        <v>19</v>
      </c>
      <c r="H9" s="3097">
        <v>251.39</v>
      </c>
      <c r="I9" s="3107">
        <f>'AWC Admin - Family Nav'!R25</f>
        <v>259.4269439640135</v>
      </c>
      <c r="J9" s="2650">
        <f t="shared" si="0"/>
        <v>3.1970022530782918E-2</v>
      </c>
      <c r="L9" s="3048"/>
    </row>
    <row r="10" spans="5:17" ht="15.75" thickBot="1">
      <c r="E10" s="2646" t="s">
        <v>891</v>
      </c>
      <c r="F10" s="2647"/>
      <c r="G10" s="2647" t="s">
        <v>577</v>
      </c>
      <c r="H10" s="3097">
        <v>12.57</v>
      </c>
      <c r="I10" s="3107">
        <f>'AWC Admin - Family Nav'!L25</f>
        <v>12.970847198200676</v>
      </c>
      <c r="J10" s="2650">
        <f t="shared" si="0"/>
        <v>3.188919635645792E-2</v>
      </c>
      <c r="L10" s="3048"/>
    </row>
    <row r="11" spans="5:17" ht="15.75" hidden="1" thickBot="1">
      <c r="E11" s="2646" t="s">
        <v>579</v>
      </c>
      <c r="F11" s="2647"/>
      <c r="G11" s="2647" t="s">
        <v>878</v>
      </c>
      <c r="H11" s="3097">
        <v>49.94</v>
      </c>
      <c r="I11" s="3105">
        <f>H11*(1+L2)</f>
        <v>50.843913999999998</v>
      </c>
      <c r="J11" s="2650">
        <f t="shared" si="0"/>
        <v>1.8100000000000008E-2</v>
      </c>
      <c r="L11" s="3048"/>
    </row>
    <row r="12" spans="5:17" ht="15.75" hidden="1" thickBot="1">
      <c r="E12" s="2646" t="s">
        <v>579</v>
      </c>
      <c r="F12" s="2647"/>
      <c r="G12" s="2647" t="s">
        <v>879</v>
      </c>
      <c r="H12" s="3097">
        <v>86.51</v>
      </c>
      <c r="I12" s="3105">
        <f>H12*(1+L2)</f>
        <v>88.075831000000008</v>
      </c>
      <c r="J12" s="2650">
        <f t="shared" si="0"/>
        <v>1.8100000000000033E-2</v>
      </c>
      <c r="L12" s="3048"/>
    </row>
    <row r="13" spans="5:17" ht="15.75" customHeight="1" thickBot="1">
      <c r="E13" s="2646" t="s">
        <v>580</v>
      </c>
      <c r="F13" s="2647">
        <v>0.5</v>
      </c>
      <c r="G13" s="2647" t="s">
        <v>19</v>
      </c>
      <c r="H13" s="3099">
        <v>3988.24</v>
      </c>
      <c r="I13" s="3109">
        <f>'Aut-FamSupCtrs Final'!F28</f>
        <v>4159.783165350641</v>
      </c>
      <c r="J13" s="2650">
        <f t="shared" si="0"/>
        <v>4.301224734485417E-2</v>
      </c>
      <c r="L13" s="2089"/>
      <c r="M13" s="3047"/>
      <c r="N13" s="3047"/>
      <c r="O13" s="3047"/>
      <c r="P13" s="3047"/>
      <c r="Q13" s="3047"/>
    </row>
    <row r="14" spans="5:17" ht="15.75" thickBot="1">
      <c r="E14" s="2646" t="s">
        <v>580</v>
      </c>
      <c r="F14" s="2647">
        <v>1</v>
      </c>
      <c r="G14" s="2647" t="s">
        <v>19</v>
      </c>
      <c r="H14" s="3099">
        <v>7976.3</v>
      </c>
      <c r="I14" s="3109">
        <f>'Aut-FamSupCtrs Final'!L28</f>
        <v>8319.5663307012819</v>
      </c>
      <c r="J14" s="2650">
        <f t="shared" si="0"/>
        <v>4.3035784850279167E-2</v>
      </c>
      <c r="L14" s="2638"/>
      <c r="M14" s="3047"/>
      <c r="N14" s="3047"/>
      <c r="O14" s="3047"/>
      <c r="P14" s="3047"/>
      <c r="Q14" s="3047"/>
    </row>
    <row r="15" spans="5:17" ht="15.75" customHeight="1" thickBot="1">
      <c r="E15" s="2646" t="s">
        <v>580</v>
      </c>
      <c r="F15" s="2647">
        <v>1.5</v>
      </c>
      <c r="G15" s="2647" t="s">
        <v>19</v>
      </c>
      <c r="H15" s="3099">
        <v>11964.54</v>
      </c>
      <c r="I15" s="3109">
        <f>'Aut-FamSupCtrs Final'!R28</f>
        <v>12479.349496051926</v>
      </c>
      <c r="J15" s="2650">
        <f t="shared" si="0"/>
        <v>4.3027938897101325E-2</v>
      </c>
      <c r="L15" s="2638"/>
      <c r="M15" s="3047"/>
      <c r="N15" s="3047"/>
      <c r="O15" s="3047"/>
      <c r="P15" s="3047"/>
      <c r="Q15" s="3047"/>
    </row>
    <row r="16" spans="5:17" ht="15.75" thickBot="1">
      <c r="E16" s="2646" t="s">
        <v>580</v>
      </c>
      <c r="F16" s="2647">
        <v>2</v>
      </c>
      <c r="G16" s="2647" t="s">
        <v>19</v>
      </c>
      <c r="H16" s="3099">
        <v>15952.69</v>
      </c>
      <c r="I16" s="3109">
        <f>'Aut-FamSupCtrs Final'!F56</f>
        <v>16639.132661402564</v>
      </c>
      <c r="J16" s="2650">
        <f t="shared" si="0"/>
        <v>4.3029900374329549E-2</v>
      </c>
      <c r="L16" s="2638"/>
      <c r="M16" s="3047"/>
      <c r="N16" s="3047"/>
      <c r="O16" s="3047"/>
      <c r="P16" s="3047"/>
      <c r="Q16" s="3047"/>
    </row>
    <row r="17" spans="5:17" ht="15.75" customHeight="1" thickBot="1">
      <c r="E17" s="2646" t="s">
        <v>580</v>
      </c>
      <c r="F17" s="2647">
        <v>2.5</v>
      </c>
      <c r="G17" s="2647" t="s">
        <v>19</v>
      </c>
      <c r="H17" s="3099">
        <v>18934.8</v>
      </c>
      <c r="I17" s="3109">
        <f>'Aut-FamSupCtrs Final'!L56</f>
        <v>19755.44844125885</v>
      </c>
      <c r="J17" s="2650">
        <f t="shared" si="0"/>
        <v>4.3340750430891833E-2</v>
      </c>
      <c r="L17" s="2638"/>
      <c r="M17" s="3047"/>
      <c r="N17" s="3047"/>
      <c r="O17" s="3047"/>
      <c r="P17" s="3047"/>
      <c r="Q17" s="3047"/>
    </row>
    <row r="18" spans="5:17" ht="15.75" thickBot="1">
      <c r="E18" s="2646" t="s">
        <v>580</v>
      </c>
      <c r="F18" s="2647">
        <v>3</v>
      </c>
      <c r="G18" s="2647" t="s">
        <v>19</v>
      </c>
      <c r="H18" s="3099">
        <v>21944.91</v>
      </c>
      <c r="I18" s="3109">
        <f>'Aut-FamSupCtrs Final'!R56</f>
        <v>22946.65609991836</v>
      </c>
      <c r="J18" s="2650">
        <f t="shared" si="0"/>
        <v>4.564822092769396E-2</v>
      </c>
      <c r="L18" s="2638"/>
      <c r="M18" s="3047"/>
      <c r="N18" s="3047"/>
      <c r="O18" s="3047"/>
      <c r="P18" s="3047"/>
      <c r="Q18" s="3047"/>
    </row>
    <row r="19" spans="5:17" ht="15.75" thickBot="1">
      <c r="E19" s="2646" t="s">
        <v>580</v>
      </c>
      <c r="F19" s="2647">
        <v>3.5</v>
      </c>
      <c r="G19" s="2647" t="s">
        <v>19</v>
      </c>
      <c r="H19" s="3099">
        <v>24968.86</v>
      </c>
      <c r="I19" s="3109">
        <f>'Aut-FamSupCtrs Final'!F84</f>
        <v>26114.495654388928</v>
      </c>
      <c r="J19" s="2650">
        <f t="shared" si="0"/>
        <v>4.5882577514108652E-2</v>
      </c>
      <c r="L19" s="2638"/>
      <c r="M19" s="3047"/>
      <c r="N19" s="3047"/>
      <c r="O19" s="3047"/>
      <c r="P19" s="3047"/>
      <c r="Q19" s="3047"/>
    </row>
    <row r="20" spans="5:17" ht="15.75" thickBot="1">
      <c r="E20" s="2646" t="s">
        <v>580</v>
      </c>
      <c r="F20" s="2647">
        <v>4</v>
      </c>
      <c r="G20" s="2647" t="s">
        <v>19</v>
      </c>
      <c r="H20" s="3099">
        <v>28048.47</v>
      </c>
      <c r="I20" s="3109">
        <f>'Aut-FamSupCtrs Final'!L84</f>
        <v>29315.345781924403</v>
      </c>
      <c r="J20" s="2650">
        <f t="shared" si="0"/>
        <v>4.5167375686602583E-2</v>
      </c>
      <c r="L20" s="2638"/>
      <c r="M20" s="3047"/>
      <c r="N20" s="3047"/>
      <c r="O20" s="3047"/>
      <c r="P20" s="3047"/>
      <c r="Q20" s="3047"/>
    </row>
    <row r="21" spans="5:17" ht="15.75" thickBot="1">
      <c r="E21" s="2646" t="s">
        <v>580</v>
      </c>
      <c r="F21" s="2647">
        <v>4.5</v>
      </c>
      <c r="G21" s="2647" t="s">
        <v>19</v>
      </c>
      <c r="H21" s="3099">
        <v>31225.59</v>
      </c>
      <c r="I21" s="3109">
        <f>'Aut-FamSupCtrs Final'!R84</f>
        <v>32602.950097490728</v>
      </c>
      <c r="J21" s="2650">
        <f t="shared" si="0"/>
        <v>4.4109978305957635E-2</v>
      </c>
      <c r="L21" s="2638"/>
      <c r="M21" s="3047"/>
      <c r="N21" s="3047"/>
      <c r="O21" s="3047"/>
      <c r="P21" s="3047"/>
      <c r="Q21" s="3047"/>
    </row>
    <row r="22" spans="5:17" ht="15.75" thickBot="1">
      <c r="E22" s="2646" t="s">
        <v>580</v>
      </c>
      <c r="F22" s="2647">
        <v>5</v>
      </c>
      <c r="G22" s="2647" t="s">
        <v>19</v>
      </c>
      <c r="H22" s="3099">
        <v>34374.79</v>
      </c>
      <c r="I22" s="3109">
        <f>'Aut-FamSupCtrs Final'!F112</f>
        <v>35837.655988481281</v>
      </c>
      <c r="J22" s="2650">
        <f t="shared" si="0"/>
        <v>4.2556361463772736E-2</v>
      </c>
      <c r="L22" s="3047"/>
      <c r="M22" s="3047"/>
      <c r="N22" s="3047"/>
      <c r="O22" s="3047"/>
      <c r="P22" s="3047"/>
      <c r="Q22" s="3047"/>
    </row>
    <row r="23" spans="5:17" ht="15.75" thickBot="1">
      <c r="E23" s="2646" t="s">
        <v>580</v>
      </c>
      <c r="F23" s="2647">
        <v>5.5</v>
      </c>
      <c r="G23" s="2647" t="s">
        <v>19</v>
      </c>
      <c r="H23" s="3099">
        <v>37548.949999999997</v>
      </c>
      <c r="I23" s="3109">
        <f>'Aut-FamSupCtrs Final'!L112</f>
        <v>39083.335776170301</v>
      </c>
      <c r="J23" s="2650">
        <f t="shared" si="0"/>
        <v>4.0863613394523789E-2</v>
      </c>
      <c r="L23" s="3047"/>
      <c r="M23" s="3047"/>
      <c r="N23" s="3047"/>
      <c r="O23" s="3047"/>
      <c r="P23" s="3047"/>
      <c r="Q23" s="3047"/>
    </row>
    <row r="24" spans="5:17" ht="15.75" thickBot="1">
      <c r="E24" s="2646" t="s">
        <v>580</v>
      </c>
      <c r="F24" s="2647">
        <v>6</v>
      </c>
      <c r="G24" s="2647" t="s">
        <v>19</v>
      </c>
      <c r="H24" s="3099">
        <v>40689.879999999997</v>
      </c>
      <c r="I24" s="3109">
        <f>'Aut-FamSupCtrs Final'!R112</f>
        <v>42382.863602738558</v>
      </c>
      <c r="J24" s="2650">
        <f t="shared" si="0"/>
        <v>4.1606994238826973E-2</v>
      </c>
      <c r="L24" s="3047"/>
      <c r="M24" s="3047"/>
      <c r="N24" s="3047"/>
      <c r="O24" s="3047"/>
      <c r="P24" s="3047"/>
      <c r="Q24" s="3047"/>
    </row>
    <row r="25" spans="5:17" ht="15.75" thickBot="1">
      <c r="E25" s="2646" t="s">
        <v>580</v>
      </c>
      <c r="F25" s="2647">
        <v>6.5</v>
      </c>
      <c r="G25" s="2647" t="s">
        <v>19</v>
      </c>
      <c r="H25" s="3099">
        <v>43861.26</v>
      </c>
      <c r="I25" s="3109">
        <f>'Aut-FamSupCtrs Final'!F140</f>
        <v>45705.599651113276</v>
      </c>
      <c r="J25" s="2650">
        <f t="shared" si="0"/>
        <v>4.204939965503212E-2</v>
      </c>
      <c r="L25" s="3047"/>
      <c r="M25" s="3047"/>
      <c r="N25" s="3047"/>
      <c r="O25" s="3047"/>
      <c r="P25" s="3047"/>
      <c r="Q25" s="3047"/>
    </row>
    <row r="26" spans="5:17" ht="15.75" thickBot="1">
      <c r="E26" s="2646" t="s">
        <v>580</v>
      </c>
      <c r="F26" s="2647">
        <v>7</v>
      </c>
      <c r="G26" s="2647" t="s">
        <v>19</v>
      </c>
      <c r="H26" s="3099">
        <v>46993.93</v>
      </c>
      <c r="I26" s="3109">
        <f>'Aut-FamSupCtrs Final'!L140</f>
        <v>48972.859025117526</v>
      </c>
      <c r="J26" s="2650">
        <f t="shared" si="0"/>
        <v>4.2110311376757088E-2</v>
      </c>
      <c r="L26" s="3047"/>
      <c r="M26" s="3047"/>
      <c r="N26" s="3047"/>
      <c r="O26" s="3047"/>
      <c r="P26" s="3047"/>
      <c r="Q26" s="3047"/>
    </row>
    <row r="27" spans="5:17" ht="15.75" thickBot="1">
      <c r="E27" s="2646" t="s">
        <v>580</v>
      </c>
      <c r="F27" s="2647">
        <v>7.5</v>
      </c>
      <c r="G27" s="2647" t="s">
        <v>19</v>
      </c>
      <c r="H27" s="3099">
        <v>50162.53</v>
      </c>
      <c r="I27" s="3109">
        <f>'Aut-FamSupCtrs Final'!R140</f>
        <v>52271.966968677356</v>
      </c>
      <c r="J27" s="2650">
        <f t="shared" si="0"/>
        <v>4.2052044996082873E-2</v>
      </c>
      <c r="L27" s="3047"/>
      <c r="M27" s="3047"/>
      <c r="N27" s="3047"/>
      <c r="O27" s="3047"/>
      <c r="P27" s="3047"/>
      <c r="Q27" s="3047"/>
    </row>
    <row r="28" spans="5:17" ht="15.75" thickBot="1">
      <c r="E28" s="2646" t="s">
        <v>580</v>
      </c>
      <c r="F28" s="2647">
        <v>8</v>
      </c>
      <c r="G28" s="2647" t="s">
        <v>19</v>
      </c>
      <c r="H28" s="3099">
        <v>53740.78</v>
      </c>
      <c r="I28" s="3109">
        <f>'Aut-FamSupCtrs Final'!F168</f>
        <v>55459.94671863113</v>
      </c>
      <c r="J28" s="2650">
        <f t="shared" si="0"/>
        <v>3.1989984489081316E-2</v>
      </c>
      <c r="L28" s="3047"/>
      <c r="M28" s="3047"/>
      <c r="N28" s="3047"/>
      <c r="O28" s="3047"/>
      <c r="P28" s="3047"/>
      <c r="Q28" s="3047"/>
    </row>
    <row r="29" spans="5:17" ht="15.75" thickBot="1">
      <c r="E29" s="2646" t="s">
        <v>580</v>
      </c>
      <c r="F29" s="2647">
        <v>8.5</v>
      </c>
      <c r="G29" s="2647" t="s">
        <v>19</v>
      </c>
      <c r="H29" s="3099">
        <v>56182.58</v>
      </c>
      <c r="I29" s="3109">
        <f>'Aut-FamSupCtrs Final'!L168</f>
        <v>58479.999365961288</v>
      </c>
      <c r="J29" s="2650">
        <f t="shared" si="0"/>
        <v>4.0892023220743624E-2</v>
      </c>
      <c r="L29" s="3047"/>
      <c r="M29" s="3047"/>
      <c r="N29" s="3047"/>
      <c r="O29" s="3047"/>
      <c r="P29" s="3047"/>
      <c r="Q29" s="3047"/>
    </row>
    <row r="30" spans="5:17" ht="15.75" thickBot="1">
      <c r="E30" s="2646" t="s">
        <v>580</v>
      </c>
      <c r="F30" s="2647">
        <v>9</v>
      </c>
      <c r="G30" s="2647" t="s">
        <v>19</v>
      </c>
      <c r="H30" s="3099">
        <v>59067.41</v>
      </c>
      <c r="I30" s="3109">
        <f>'Aut-FamSupCtrs Final'!R168</f>
        <v>61428.653592769238</v>
      </c>
      <c r="J30" s="2650">
        <f t="shared" si="0"/>
        <v>3.9975404250317301E-2</v>
      </c>
      <c r="L30" s="3047"/>
      <c r="M30" s="3047"/>
      <c r="N30" s="3047"/>
      <c r="O30" s="3047"/>
      <c r="P30" s="3047"/>
      <c r="Q30" s="3047"/>
    </row>
    <row r="31" spans="5:17" ht="15.75" thickBot="1">
      <c r="E31" s="2646" t="s">
        <v>580</v>
      </c>
      <c r="F31" s="2647">
        <v>9.5</v>
      </c>
      <c r="G31" s="2647" t="s">
        <v>19</v>
      </c>
      <c r="H31" s="3099">
        <v>61952.21</v>
      </c>
      <c r="I31" s="3109">
        <f>'Aut-FamSupCtrs Final'!F196</f>
        <v>64370.39135357827</v>
      </c>
      <c r="J31" s="2650">
        <f t="shared" si="0"/>
        <v>3.9033011955154968E-2</v>
      </c>
      <c r="L31" s="3047"/>
      <c r="M31" s="3047"/>
      <c r="N31" s="3047"/>
      <c r="O31" s="3047"/>
      <c r="P31" s="3047"/>
      <c r="Q31" s="3047"/>
    </row>
    <row r="32" spans="5:17" ht="15.75" thickBot="1">
      <c r="E32" s="2646" t="s">
        <v>580</v>
      </c>
      <c r="F32" s="2647">
        <v>10</v>
      </c>
      <c r="G32" s="2647" t="s">
        <v>19</v>
      </c>
      <c r="H32" s="3099">
        <v>64781.32</v>
      </c>
      <c r="I32" s="3109">
        <f>'Aut-FamSupCtrs Final'!L196</f>
        <v>67267.49377703575</v>
      </c>
      <c r="J32" s="2650">
        <f t="shared" si="0"/>
        <v>3.8377942546335121E-2</v>
      </c>
      <c r="L32" s="3047"/>
      <c r="M32" s="3047"/>
      <c r="N32" s="3047"/>
      <c r="O32" s="3047"/>
      <c r="P32" s="3047"/>
      <c r="Q32" s="3047"/>
    </row>
    <row r="33" spans="5:17" ht="15.75" thickBot="1">
      <c r="E33" s="2646" t="s">
        <v>580</v>
      </c>
      <c r="F33" s="2647">
        <v>10.5</v>
      </c>
      <c r="G33" s="2647" t="s">
        <v>19</v>
      </c>
      <c r="H33" s="3099">
        <v>67666.100000000006</v>
      </c>
      <c r="I33" s="3109">
        <f>'Aut-FamSupCtrs Final'!R196</f>
        <v>70159.083829095631</v>
      </c>
      <c r="J33" s="2650">
        <f t="shared" si="0"/>
        <v>3.6842434085836553E-2</v>
      </c>
      <c r="L33" s="3047"/>
      <c r="M33" s="3047"/>
      <c r="N33" s="3047"/>
      <c r="O33" s="3047"/>
      <c r="P33" s="3047"/>
      <c r="Q33" s="3047"/>
    </row>
    <row r="34" spans="5:17" ht="15.75" thickBot="1">
      <c r="E34" s="2646" t="s">
        <v>580</v>
      </c>
      <c r="F34" s="2647">
        <v>11</v>
      </c>
      <c r="G34" s="2647" t="s">
        <v>19</v>
      </c>
      <c r="H34" s="3099">
        <v>70383.94</v>
      </c>
      <c r="I34" s="3109">
        <f>'Aut-FamSupCtrs Final'!F224</f>
        <v>72981.57036464088</v>
      </c>
      <c r="J34" s="2650">
        <f t="shared" si="0"/>
        <v>3.6906577901732664E-2</v>
      </c>
      <c r="L34" s="3047"/>
      <c r="M34" s="3047"/>
      <c r="N34" s="3047"/>
      <c r="O34" s="3047"/>
      <c r="P34" s="3047"/>
      <c r="Q34" s="3047"/>
    </row>
    <row r="35" spans="5:17" ht="15.75" thickBot="1">
      <c r="E35" s="2646" t="s">
        <v>580</v>
      </c>
      <c r="F35" s="2647">
        <v>11.5</v>
      </c>
      <c r="G35" s="2647" t="s">
        <v>19</v>
      </c>
      <c r="H35" s="3099">
        <v>73157.289999999994</v>
      </c>
      <c r="I35" s="3109">
        <f>'Aut-FamSupCtrs Final'!L224</f>
        <v>75799.184448924236</v>
      </c>
      <c r="J35" s="2650">
        <f t="shared" si="0"/>
        <v>3.6112524793144231E-2</v>
      </c>
      <c r="L35" s="3047"/>
      <c r="M35" s="3047"/>
      <c r="N35" s="3047"/>
      <c r="O35" s="3047"/>
      <c r="P35" s="3047"/>
      <c r="Q35" s="3047"/>
    </row>
    <row r="36" spans="5:17" ht="15.75" thickBot="1">
      <c r="E36" s="2646" t="s">
        <v>580</v>
      </c>
      <c r="F36" s="2647">
        <v>12</v>
      </c>
      <c r="G36" s="2647" t="s">
        <v>19</v>
      </c>
      <c r="H36" s="3099">
        <v>75875.06</v>
      </c>
      <c r="I36" s="3109">
        <f>'Aut-FamSupCtrs Final'!R224</f>
        <v>78548.269817754277</v>
      </c>
      <c r="J36" s="2650">
        <f t="shared" si="0"/>
        <v>3.5231732505440913E-2</v>
      </c>
      <c r="L36" s="3047"/>
      <c r="M36" s="3047"/>
      <c r="N36" s="3047"/>
      <c r="O36" s="3047"/>
      <c r="P36" s="3047"/>
      <c r="Q36" s="3047"/>
    </row>
    <row r="37" spans="5:17" ht="15.75" thickBot="1">
      <c r="E37" s="2646" t="s">
        <v>11</v>
      </c>
      <c r="F37" s="2647"/>
      <c r="G37" s="2647" t="s">
        <v>577</v>
      </c>
      <c r="H37" s="3097">
        <v>15.74</v>
      </c>
      <c r="I37" s="3107">
        <f>BehavioralSupport!I21</f>
        <v>16.079247253936334</v>
      </c>
      <c r="J37" s="2650">
        <f t="shared" si="0"/>
        <v>2.1553192753261344E-2</v>
      </c>
    </row>
    <row r="38" spans="5:17" ht="15.75" thickBot="1">
      <c r="E38" s="2646" t="s">
        <v>12</v>
      </c>
      <c r="F38" s="2647"/>
      <c r="G38" s="2647" t="s">
        <v>577</v>
      </c>
      <c r="H38" s="3097">
        <v>23.65</v>
      </c>
      <c r="I38" s="3107">
        <f>BehavioralSupport!I41</f>
        <v>24.157948054794922</v>
      </c>
      <c r="J38" s="2650">
        <f t="shared" si="0"/>
        <v>2.1477719018812819E-2</v>
      </c>
    </row>
    <row r="39" spans="5:17" ht="15.75" thickBot="1">
      <c r="E39" s="2646" t="s">
        <v>13</v>
      </c>
      <c r="F39" s="2647"/>
      <c r="G39" s="2647" t="s">
        <v>577</v>
      </c>
      <c r="H39" s="3097">
        <v>33.83</v>
      </c>
      <c r="I39" s="3107">
        <f>BehavioralSupport!I61</f>
        <v>34.586653161431364</v>
      </c>
      <c r="J39" s="2650">
        <f t="shared" si="0"/>
        <v>2.2366336430132017E-2</v>
      </c>
    </row>
    <row r="40" spans="5:17" ht="15.75" hidden="1" thickBot="1">
      <c r="E40" s="2646" t="s">
        <v>584</v>
      </c>
      <c r="F40" s="2647"/>
      <c r="G40" s="2647" t="s">
        <v>585</v>
      </c>
      <c r="H40" s="3097">
        <v>33.04</v>
      </c>
      <c r="I40" s="3105">
        <f>H40*(1+L2)</f>
        <v>33.638024000000001</v>
      </c>
      <c r="J40" s="2650">
        <f t="shared" si="0"/>
        <v>1.8100000000000071E-2</v>
      </c>
      <c r="L40" s="2869"/>
      <c r="M40" s="1842"/>
    </row>
    <row r="41" spans="5:17" ht="15.75" hidden="1" thickBot="1">
      <c r="E41" s="2646" t="s">
        <v>586</v>
      </c>
      <c r="F41" s="2647"/>
      <c r="G41" s="2647" t="s">
        <v>20</v>
      </c>
      <c r="H41" s="3098" t="s">
        <v>582</v>
      </c>
      <c r="I41" s="3105"/>
      <c r="J41" s="2650"/>
    </row>
    <row r="42" spans="5:17" ht="15.75" thickBot="1">
      <c r="E42" s="2646" t="s">
        <v>587</v>
      </c>
      <c r="F42" s="2647"/>
      <c r="G42" s="2647" t="s">
        <v>15</v>
      </c>
      <c r="H42" s="3099">
        <v>14.9</v>
      </c>
      <c r="I42" s="3107">
        <f>'Fin. Assistance Admin'!L19</f>
        <v>14.954236283505296</v>
      </c>
      <c r="J42" s="2650">
        <f t="shared" si="0"/>
        <v>3.6400190272010196E-3</v>
      </c>
    </row>
    <row r="43" spans="5:17" hidden="1">
      <c r="E43" s="2651" t="s">
        <v>588</v>
      </c>
      <c r="F43" s="2652"/>
      <c r="G43" s="2652"/>
      <c r="H43" s="3100"/>
      <c r="I43" s="3105"/>
      <c r="J43" s="2650"/>
    </row>
    <row r="44" spans="5:17" ht="15.75" hidden="1" thickBot="1">
      <c r="E44" s="2653" t="s">
        <v>589</v>
      </c>
      <c r="F44" s="2654"/>
      <c r="G44" s="2654" t="s">
        <v>67</v>
      </c>
      <c r="H44" s="3101">
        <v>52.96</v>
      </c>
      <c r="I44" s="3105"/>
      <c r="J44" s="2650">
        <f t="shared" si="0"/>
        <v>-1</v>
      </c>
    </row>
    <row r="45" spans="5:17" ht="15.75" hidden="1" thickBot="1">
      <c r="E45" s="2646" t="s">
        <v>590</v>
      </c>
      <c r="F45" s="2647"/>
      <c r="G45" s="2647" t="s">
        <v>67</v>
      </c>
      <c r="H45" s="3097">
        <v>74.739999999999995</v>
      </c>
      <c r="I45" s="3105"/>
      <c r="J45" s="2650">
        <f t="shared" si="0"/>
        <v>-1</v>
      </c>
    </row>
    <row r="46" spans="5:17" hidden="1">
      <c r="E46" s="2651" t="s">
        <v>591</v>
      </c>
      <c r="F46" s="2652"/>
      <c r="G46" s="2652"/>
      <c r="H46" s="3100"/>
      <c r="I46" s="3105"/>
      <c r="J46" s="2650"/>
    </row>
    <row r="47" spans="5:17" ht="15.75" hidden="1" thickBot="1">
      <c r="E47" s="2655" t="s">
        <v>592</v>
      </c>
      <c r="F47" s="2656"/>
      <c r="G47" s="2654" t="s">
        <v>71</v>
      </c>
      <c r="H47" s="3102">
        <v>36.4</v>
      </c>
      <c r="I47" s="3106">
        <f>'[11]RATES &amp; FI'!M48</f>
        <v>37.189630115457206</v>
      </c>
      <c r="J47" s="2650">
        <f t="shared" si="0"/>
        <v>2.1693135040033167E-2</v>
      </c>
    </row>
    <row r="48" spans="5:17" ht="15.75" hidden="1" thickBot="1">
      <c r="E48" s="2657" t="s">
        <v>593</v>
      </c>
      <c r="F48" s="2658"/>
      <c r="G48" s="2647" t="s">
        <v>71</v>
      </c>
      <c r="H48" s="3099">
        <v>49.16</v>
      </c>
      <c r="I48" s="3106">
        <f>'[11]RATES &amp; FI'!M49</f>
        <v>50.241480364741889</v>
      </c>
      <c r="J48" s="2650">
        <f t="shared" si="0"/>
        <v>2.1999193749835083E-2</v>
      </c>
    </row>
    <row r="49" spans="5:10" ht="15.75" hidden="1" thickBot="1">
      <c r="E49" s="2657" t="s">
        <v>594</v>
      </c>
      <c r="F49" s="2658"/>
      <c r="G49" s="2647" t="s">
        <v>71</v>
      </c>
      <c r="H49" s="3099">
        <v>66.849999999999994</v>
      </c>
      <c r="I49" s="3106">
        <f>'[11]RATES &amp; FI'!M50</f>
        <v>68.320572028514249</v>
      </c>
      <c r="J49" s="2650">
        <f t="shared" si="0"/>
        <v>2.1998085692060656E-2</v>
      </c>
    </row>
    <row r="50" spans="5:10" ht="15.75" hidden="1" thickBot="1">
      <c r="E50" s="2657" t="s">
        <v>595</v>
      </c>
      <c r="F50" s="2658"/>
      <c r="G50" s="2647" t="s">
        <v>71</v>
      </c>
      <c r="H50" s="3099">
        <v>66.17</v>
      </c>
      <c r="I50" s="3106">
        <f>'[11]RATES &amp; FI'!M51</f>
        <v>67.607896025918635</v>
      </c>
      <c r="J50" s="2650">
        <f t="shared" si="0"/>
        <v>2.1730331357392062E-2</v>
      </c>
    </row>
    <row r="51" spans="5:10" ht="15.75" hidden="1" thickBot="1">
      <c r="E51" s="2657" t="s">
        <v>596</v>
      </c>
      <c r="F51" s="2647"/>
      <c r="G51" s="2647" t="s">
        <v>71</v>
      </c>
      <c r="H51" s="3099">
        <v>70</v>
      </c>
      <c r="I51" s="3106">
        <f>'[11]RATES &amp; FI'!M52</f>
        <v>71.535311355107993</v>
      </c>
      <c r="J51" s="2650">
        <f t="shared" si="0"/>
        <v>2.1933019358685614E-2</v>
      </c>
    </row>
    <row r="52" spans="5:10" ht="15.75" hidden="1" thickBot="1">
      <c r="E52" s="2657" t="s">
        <v>597</v>
      </c>
      <c r="F52" s="2658"/>
      <c r="G52" s="2647" t="s">
        <v>71</v>
      </c>
      <c r="H52" s="3099">
        <v>102.87</v>
      </c>
      <c r="I52" s="3106">
        <f>'[11]RATES &amp; FI'!M53</f>
        <v>105.13953141691059</v>
      </c>
      <c r="J52" s="2650">
        <f t="shared" si="0"/>
        <v>2.2062131009143397E-2</v>
      </c>
    </row>
    <row r="53" spans="5:10" ht="15.75" hidden="1" thickBot="1">
      <c r="E53" s="2657" t="s">
        <v>598</v>
      </c>
      <c r="F53" s="2658"/>
      <c r="G53" s="2647" t="s">
        <v>71</v>
      </c>
      <c r="H53" s="3099">
        <v>148.75</v>
      </c>
      <c r="I53" s="3106">
        <f>'[11]RATES &amp; FI'!M54</f>
        <v>152.03129700519247</v>
      </c>
      <c r="J53" s="2650">
        <f t="shared" si="0"/>
        <v>2.2059139530705686E-2</v>
      </c>
    </row>
    <row r="54" spans="5:10" ht="15.75" hidden="1" thickBot="1">
      <c r="E54" s="2657" t="s">
        <v>599</v>
      </c>
      <c r="F54" s="2658"/>
      <c r="G54" s="2647" t="s">
        <v>71</v>
      </c>
      <c r="H54" s="3099">
        <v>123.74</v>
      </c>
      <c r="I54" s="3106">
        <f>'[11]RATES &amp; FI'!M55</f>
        <v>126.41821953534948</v>
      </c>
      <c r="J54" s="2650">
        <f t="shared" si="0"/>
        <v>2.1643927067637663E-2</v>
      </c>
    </row>
    <row r="55" spans="5:10" ht="15.75" hidden="1" thickBot="1">
      <c r="E55" s="2646" t="s">
        <v>79</v>
      </c>
      <c r="F55" s="2647"/>
      <c r="G55" s="2647" t="s">
        <v>25</v>
      </c>
      <c r="H55" s="3097">
        <v>17.559999999999999</v>
      </c>
      <c r="I55" s="3105">
        <f>'[11]RATES &amp; FI'!$M$57</f>
        <v>18.084708257146364</v>
      </c>
      <c r="J55" s="2650">
        <f t="shared" si="0"/>
        <v>2.9880880247515097E-2</v>
      </c>
    </row>
    <row r="56" spans="5:10" ht="15.75" hidden="1" thickBot="1">
      <c r="E56" s="2646" t="s">
        <v>600</v>
      </c>
      <c r="F56" s="2647"/>
      <c r="G56" s="2647" t="s">
        <v>19</v>
      </c>
      <c r="H56" s="3103">
        <v>49362</v>
      </c>
      <c r="I56" s="3105"/>
      <c r="J56" s="2650">
        <f t="shared" si="0"/>
        <v>-1</v>
      </c>
    </row>
    <row r="57" spans="5:10" ht="15.75" hidden="1" thickBot="1">
      <c r="E57" s="2646" t="s">
        <v>601</v>
      </c>
      <c r="F57" s="2647"/>
      <c r="G57" s="2647" t="s">
        <v>19</v>
      </c>
      <c r="H57" s="3103">
        <v>19761</v>
      </c>
      <c r="I57" s="3105"/>
      <c r="J57" s="2650">
        <f t="shared" si="0"/>
        <v>-1</v>
      </c>
    </row>
    <row r="58" spans="5:10" ht="15.75" hidden="1" thickBot="1">
      <c r="E58" s="2646" t="s">
        <v>602</v>
      </c>
      <c r="F58" s="2647"/>
      <c r="G58" s="2647" t="s">
        <v>19</v>
      </c>
      <c r="H58" s="3103">
        <v>5777</v>
      </c>
      <c r="I58" s="3105"/>
      <c r="J58" s="2650">
        <f t="shared" si="0"/>
        <v>-1</v>
      </c>
    </row>
    <row r="59" spans="5:10" ht="15.75" hidden="1" thickBot="1">
      <c r="E59" s="2646" t="s">
        <v>893</v>
      </c>
      <c r="F59" s="2647"/>
      <c r="G59" s="2659" t="s">
        <v>603</v>
      </c>
      <c r="H59" s="3097">
        <v>204.64</v>
      </c>
      <c r="I59" s="3105"/>
      <c r="J59" s="2650">
        <f t="shared" si="0"/>
        <v>-1</v>
      </c>
    </row>
    <row r="60" spans="5:10" ht="15.75" hidden="1" thickBot="1">
      <c r="E60" s="2646" t="s">
        <v>894</v>
      </c>
      <c r="F60" s="2647"/>
      <c r="G60" s="2659" t="s">
        <v>603</v>
      </c>
      <c r="H60" s="3097">
        <v>282.24</v>
      </c>
      <c r="I60" s="3105"/>
      <c r="J60" s="2650">
        <f t="shared" si="0"/>
        <v>-1</v>
      </c>
    </row>
    <row r="61" spans="5:10" ht="15.75" hidden="1" thickBot="1">
      <c r="E61" s="2646" t="s">
        <v>895</v>
      </c>
      <c r="F61" s="2647"/>
      <c r="G61" s="2659" t="s">
        <v>603</v>
      </c>
      <c r="H61" s="3097">
        <v>181.94</v>
      </c>
      <c r="I61" s="3105"/>
      <c r="J61" s="2650">
        <f t="shared" si="0"/>
        <v>-1</v>
      </c>
    </row>
    <row r="62" spans="5:10" ht="15.75" hidden="1" thickBot="1">
      <c r="E62" s="2646" t="s">
        <v>896</v>
      </c>
      <c r="F62" s="2647"/>
      <c r="G62" s="2659" t="s">
        <v>603</v>
      </c>
      <c r="H62" s="3097">
        <v>240.63</v>
      </c>
      <c r="I62" s="3105"/>
      <c r="J62" s="2650">
        <f t="shared" si="0"/>
        <v>-1</v>
      </c>
    </row>
    <row r="63" spans="5:10" hidden="1">
      <c r="E63" s="2651" t="s">
        <v>604</v>
      </c>
      <c r="F63" s="2652"/>
      <c r="G63" s="2652"/>
      <c r="H63" s="3100"/>
      <c r="I63" s="3105"/>
      <c r="J63" s="2650"/>
    </row>
    <row r="64" spans="5:10" ht="15.75" hidden="1" thickBot="1">
      <c r="E64" s="2655" t="s">
        <v>605</v>
      </c>
      <c r="F64" s="2654"/>
      <c r="G64" s="2654" t="s">
        <v>55</v>
      </c>
      <c r="H64" s="3101">
        <v>2278.52</v>
      </c>
      <c r="I64" s="3105">
        <f>'[11]RATES &amp; FI'!$M$67</f>
        <v>2338.7307155386102</v>
      </c>
      <c r="J64" s="2650">
        <f t="shared" si="0"/>
        <v>2.6425361874642402E-2</v>
      </c>
    </row>
    <row r="65" spans="5:10" ht="15.75" hidden="1" thickBot="1">
      <c r="E65" s="2660" t="s">
        <v>880</v>
      </c>
      <c r="F65" s="2661"/>
      <c r="G65" s="2661"/>
      <c r="H65" s="2661"/>
      <c r="I65" s="3105"/>
      <c r="J65" s="2650"/>
    </row>
    <row r="66" spans="5:10" ht="15.75" hidden="1" thickBot="1">
      <c r="E66" s="2646" t="s">
        <v>881</v>
      </c>
      <c r="F66" s="2647"/>
      <c r="G66" s="2647" t="s">
        <v>55</v>
      </c>
      <c r="H66" s="3097">
        <v>132.22999999999999</v>
      </c>
      <c r="I66" s="3105">
        <f>'[11]RATES &amp; FI'!$M$69</f>
        <v>134.62605958230955</v>
      </c>
      <c r="J66" s="2650">
        <f t="shared" si="0"/>
        <v>1.8120393120392965E-2</v>
      </c>
    </row>
    <row r="67" spans="5:10" ht="15.75" hidden="1" thickBot="1">
      <c r="E67" s="2646" t="s">
        <v>606</v>
      </c>
      <c r="F67" s="2647"/>
      <c r="G67" s="2647" t="s">
        <v>55</v>
      </c>
      <c r="H67" s="3097">
        <v>1454.3</v>
      </c>
      <c r="I67" s="3105">
        <f>'[11]RATES &amp; FI'!$M$70</f>
        <v>1495.3757630938489</v>
      </c>
      <c r="J67" s="2650">
        <f t="shared" si="0"/>
        <v>2.8244353361650962E-2</v>
      </c>
    </row>
    <row r="68" spans="5:10" ht="15.75" hidden="1" thickBot="1">
      <c r="E68" s="2660" t="s">
        <v>882</v>
      </c>
      <c r="F68" s="2661"/>
      <c r="G68" s="2661"/>
      <c r="H68" s="2661"/>
      <c r="I68" s="3105"/>
      <c r="J68" s="2650"/>
    </row>
    <row r="69" spans="5:10" ht="15.75" hidden="1" thickBot="1">
      <c r="E69" s="2646" t="s">
        <v>883</v>
      </c>
      <c r="F69" s="2647"/>
      <c r="G69" s="2647" t="s">
        <v>55</v>
      </c>
      <c r="H69" s="3097">
        <v>66.3</v>
      </c>
      <c r="I69" s="3105">
        <f>'[11]RATES &amp; FI'!M72</f>
        <v>67.501382063882048</v>
      </c>
      <c r="J69" s="2650">
        <f t="shared" si="0"/>
        <v>1.812039312039292E-2</v>
      </c>
    </row>
    <row r="70" spans="5:10" ht="15.75" hidden="1" thickBot="1">
      <c r="E70" s="2646" t="s">
        <v>607</v>
      </c>
      <c r="F70" s="2647"/>
      <c r="G70" s="2647" t="s">
        <v>55</v>
      </c>
      <c r="H70" s="3097">
        <v>162.59</v>
      </c>
      <c r="I70" s="3105">
        <f>'[11]RATES &amp; FI'!M73</f>
        <v>165.53619471744469</v>
      </c>
      <c r="J70" s="2650">
        <f t="shared" ref="J70:J102" si="1">(I70-H70)/H70</f>
        <v>1.8120393120392909E-2</v>
      </c>
    </row>
    <row r="71" spans="5:10" ht="15.75" hidden="1" thickBot="1">
      <c r="E71" s="2646" t="s">
        <v>608</v>
      </c>
      <c r="F71" s="2647"/>
      <c r="G71" s="2647" t="s">
        <v>55</v>
      </c>
      <c r="H71" s="3097">
        <v>46.88</v>
      </c>
      <c r="I71" s="3105">
        <f>'[11]RATES &amp; FI'!M74</f>
        <v>47.729484029484027</v>
      </c>
      <c r="J71" s="2650">
        <f t="shared" si="1"/>
        <v>1.8120393120393014E-2</v>
      </c>
    </row>
    <row r="72" spans="5:10" ht="15.75" hidden="1" thickBot="1">
      <c r="E72" s="2646" t="s">
        <v>884</v>
      </c>
      <c r="F72" s="2647"/>
      <c r="G72" s="2647" t="s">
        <v>55</v>
      </c>
      <c r="H72" s="3097">
        <v>132.22999999999999</v>
      </c>
      <c r="I72" s="3105">
        <f>'[11]RATES &amp; FI'!M75</f>
        <v>134.62605958230955</v>
      </c>
      <c r="J72" s="2650">
        <f t="shared" si="1"/>
        <v>1.8120393120392965E-2</v>
      </c>
    </row>
    <row r="73" spans="5:10" ht="15.75" hidden="1" thickBot="1">
      <c r="E73" s="2646" t="s">
        <v>609</v>
      </c>
      <c r="F73" s="2647"/>
      <c r="G73" s="2647" t="s">
        <v>55</v>
      </c>
      <c r="H73" s="3097">
        <v>158.68</v>
      </c>
      <c r="I73" s="3105">
        <f>'[11]RATES &amp; FI'!M76</f>
        <v>161.55534398034396</v>
      </c>
      <c r="J73" s="2650">
        <f t="shared" si="1"/>
        <v>1.8120393120392968E-2</v>
      </c>
    </row>
    <row r="74" spans="5:10" ht="15.75" hidden="1" thickBot="1">
      <c r="E74" s="2646" t="s">
        <v>610</v>
      </c>
      <c r="F74" s="2647"/>
      <c r="G74" s="2647" t="s">
        <v>55</v>
      </c>
      <c r="H74" s="3097">
        <v>1100.48</v>
      </c>
      <c r="I74" s="3105">
        <f>'[11]RATES &amp; FI'!M77</f>
        <v>1149.1868783683308</v>
      </c>
      <c r="J74" s="2650">
        <f t="shared" si="1"/>
        <v>4.4259667025598616E-2</v>
      </c>
    </row>
    <row r="75" spans="5:10" ht="15.75" hidden="1" thickBot="1">
      <c r="E75" s="2660" t="s">
        <v>611</v>
      </c>
      <c r="F75" s="2661"/>
      <c r="G75" s="2661"/>
      <c r="H75" s="2661"/>
      <c r="I75" s="3105"/>
      <c r="J75" s="2650"/>
    </row>
    <row r="76" spans="5:10" ht="15.75" hidden="1" thickBot="1">
      <c r="E76" s="2646" t="s">
        <v>885</v>
      </c>
      <c r="F76" s="2647"/>
      <c r="G76" s="2647" t="s">
        <v>55</v>
      </c>
      <c r="H76" s="3097">
        <v>66.3</v>
      </c>
      <c r="I76" s="3105">
        <f>'[11]RATES &amp; FI'!M79</f>
        <v>67.501382063882048</v>
      </c>
      <c r="J76" s="2650">
        <f t="shared" si="1"/>
        <v>1.812039312039292E-2</v>
      </c>
    </row>
    <row r="77" spans="5:10" ht="15.75" hidden="1" thickBot="1">
      <c r="E77" s="2646" t="s">
        <v>607</v>
      </c>
      <c r="F77" s="2647"/>
      <c r="G77" s="2647" t="s">
        <v>55</v>
      </c>
      <c r="H77" s="3097">
        <v>162.59</v>
      </c>
      <c r="I77" s="3105">
        <f>'[11]RATES &amp; FI'!M80</f>
        <v>165.53619471744469</v>
      </c>
      <c r="J77" s="2650">
        <f t="shared" si="1"/>
        <v>1.8120393120392909E-2</v>
      </c>
    </row>
    <row r="78" spans="5:10" ht="15.75" hidden="1" thickBot="1">
      <c r="E78" s="2646" t="s">
        <v>608</v>
      </c>
      <c r="F78" s="2647"/>
      <c r="G78" s="2647" t="s">
        <v>55</v>
      </c>
      <c r="H78" s="3097">
        <v>46.88</v>
      </c>
      <c r="I78" s="3105">
        <f>'[11]RATES &amp; FI'!M81</f>
        <v>47.729484029484027</v>
      </c>
      <c r="J78" s="2650">
        <f t="shared" si="1"/>
        <v>1.8120393120393014E-2</v>
      </c>
    </row>
    <row r="79" spans="5:10" ht="15.75" hidden="1" thickBot="1">
      <c r="E79" s="2646" t="s">
        <v>884</v>
      </c>
      <c r="F79" s="2647"/>
      <c r="G79" s="2647" t="s">
        <v>55</v>
      </c>
      <c r="H79" s="3097">
        <v>132.22999999999999</v>
      </c>
      <c r="I79" s="3105">
        <f>'[11]RATES &amp; FI'!M82</f>
        <v>134.62605958230955</v>
      </c>
      <c r="J79" s="2650">
        <f t="shared" si="1"/>
        <v>1.8120393120392965E-2</v>
      </c>
    </row>
    <row r="80" spans="5:10" ht="15.75" hidden="1" thickBot="1">
      <c r="E80" s="2646" t="s">
        <v>609</v>
      </c>
      <c r="F80" s="2647"/>
      <c r="G80" s="2647" t="s">
        <v>55</v>
      </c>
      <c r="H80" s="3097">
        <v>158.68</v>
      </c>
      <c r="I80" s="3105">
        <f>'[11]RATES &amp; FI'!M83</f>
        <v>161.55534398034396</v>
      </c>
      <c r="J80" s="2650">
        <f t="shared" si="1"/>
        <v>1.8120393120392968E-2</v>
      </c>
    </row>
    <row r="81" spans="5:10" ht="15.75" thickBot="1">
      <c r="E81" s="2646" t="s">
        <v>612</v>
      </c>
      <c r="F81" s="2647"/>
      <c r="G81" s="2647" t="s">
        <v>9</v>
      </c>
      <c r="H81" s="3099">
        <v>26.68</v>
      </c>
      <c r="I81" s="3107">
        <f>'Family Train '!S21</f>
        <v>34.923030225084915</v>
      </c>
      <c r="J81" s="2650">
        <f t="shared" si="1"/>
        <v>0.30895915386375244</v>
      </c>
    </row>
    <row r="82" spans="5:10" ht="15.75" thickBot="1">
      <c r="E82" s="2646" t="s">
        <v>22</v>
      </c>
      <c r="F82" s="2647"/>
      <c r="G82" s="2647" t="s">
        <v>9</v>
      </c>
      <c r="H82" s="3099">
        <v>13.36</v>
      </c>
      <c r="I82" s="3107">
        <f>'Family Train '!S22</f>
        <v>17.461515112542457</v>
      </c>
      <c r="J82" s="2650">
        <f t="shared" si="1"/>
        <v>0.30699963417233966</v>
      </c>
    </row>
    <row r="83" spans="5:10" ht="15.75" thickBot="1">
      <c r="E83" s="2646" t="s">
        <v>23</v>
      </c>
      <c r="F83" s="2647"/>
      <c r="G83" s="2647" t="s">
        <v>9</v>
      </c>
      <c r="H83" s="3099">
        <v>5.36</v>
      </c>
      <c r="I83" s="3107">
        <f>'Family Train '!S23</f>
        <v>7.0146060450169836</v>
      </c>
      <c r="J83" s="2650">
        <f t="shared" si="1"/>
        <v>0.30869515765242223</v>
      </c>
    </row>
    <row r="84" spans="5:10" ht="15.75" thickBot="1">
      <c r="E84" s="2646" t="s">
        <v>24</v>
      </c>
      <c r="F84" s="2647"/>
      <c r="G84" s="2647" t="s">
        <v>25</v>
      </c>
      <c r="H84" s="3099">
        <v>17.96</v>
      </c>
      <c r="I84" s="3107">
        <f>IFFS!N23</f>
        <v>18.348000400682828</v>
      </c>
      <c r="J84" s="2650">
        <f t="shared" si="1"/>
        <v>2.1603585784121783E-2</v>
      </c>
    </row>
    <row r="85" spans="5:10" ht="15.75" thickBot="1">
      <c r="E85" s="2646" t="s">
        <v>26</v>
      </c>
      <c r="F85" s="2647"/>
      <c r="G85" s="2647" t="s">
        <v>19</v>
      </c>
      <c r="H85" s="3099">
        <v>263.94</v>
      </c>
      <c r="I85" s="3107">
        <f>'Med Complex '!F24</f>
        <v>269.16473497008036</v>
      </c>
      <c r="J85" s="2650">
        <f t="shared" si="1"/>
        <v>1.9795161665834518E-2</v>
      </c>
    </row>
    <row r="86" spans="5:10" ht="15.75" thickBot="1">
      <c r="E86" s="2646" t="s">
        <v>613</v>
      </c>
      <c r="F86" s="2647"/>
      <c r="G86" s="2647" t="s">
        <v>9</v>
      </c>
      <c r="H86" s="3099">
        <v>26.68</v>
      </c>
      <c r="I86" s="3107">
        <f>'Peer Suppt'!J21</f>
        <v>30.327444417302093</v>
      </c>
      <c r="J86" s="2650">
        <f t="shared" si="1"/>
        <v>0.13671081024370665</v>
      </c>
    </row>
    <row r="87" spans="5:10" ht="15.75" thickBot="1">
      <c r="E87" s="2646" t="s">
        <v>614</v>
      </c>
      <c r="F87" s="2647"/>
      <c r="G87" s="2647" t="s">
        <v>9</v>
      </c>
      <c r="H87" s="3099">
        <v>13.36</v>
      </c>
      <c r="I87" s="3107">
        <f>'Peer Suppt'!J22</f>
        <v>15.163722208651047</v>
      </c>
      <c r="J87" s="2650">
        <f t="shared" si="1"/>
        <v>0.13500914735412031</v>
      </c>
    </row>
    <row r="88" spans="5:10" ht="15.75" thickBot="1">
      <c r="E88" s="2646" t="s">
        <v>615</v>
      </c>
      <c r="F88" s="2647"/>
      <c r="G88" s="2647" t="s">
        <v>9</v>
      </c>
      <c r="H88" s="3099">
        <v>5.36</v>
      </c>
      <c r="I88" s="3107">
        <f>'Peer Suppt'!J23</f>
        <v>6.0954888834604191</v>
      </c>
      <c r="J88" s="2650">
        <f t="shared" si="1"/>
        <v>0.13721807527246618</v>
      </c>
    </row>
    <row r="89" spans="5:10" ht="15.75" thickBot="1">
      <c r="E89" s="2662" t="s">
        <v>616</v>
      </c>
      <c r="F89" s="2663"/>
      <c r="G89" s="2647" t="s">
        <v>28</v>
      </c>
      <c r="H89" s="3099">
        <v>387.78</v>
      </c>
      <c r="I89" s="3107">
        <f>'Site Based Respite'!H53</f>
        <v>401.4642199017199</v>
      </c>
      <c r="J89" s="2650">
        <f t="shared" si="1"/>
        <v>3.5288617003764837E-2</v>
      </c>
    </row>
    <row r="90" spans="5:10" ht="15.75" thickBot="1">
      <c r="E90" s="2664" t="s">
        <v>886</v>
      </c>
      <c r="F90" s="2665"/>
      <c r="G90" s="2665" t="s">
        <v>28</v>
      </c>
      <c r="H90" s="3104">
        <v>498.78</v>
      </c>
      <c r="I90" s="3107">
        <f>'Site Based Respite'!Q53</f>
        <v>515.72262039871396</v>
      </c>
      <c r="J90" s="2650">
        <f t="shared" si="1"/>
        <v>3.396812301759089E-2</v>
      </c>
    </row>
    <row r="91" spans="5:10" ht="15.75" thickBot="1">
      <c r="E91" s="2660" t="s">
        <v>616</v>
      </c>
      <c r="F91" s="2666"/>
      <c r="G91" s="2647" t="s">
        <v>583</v>
      </c>
      <c r="H91" s="3099">
        <v>24.24</v>
      </c>
      <c r="I91" s="3107">
        <f>'Site Based Respite'!H56</f>
        <v>25.096513743857493</v>
      </c>
      <c r="J91" s="2650">
        <f t="shared" si="1"/>
        <v>3.5334725406662312E-2</v>
      </c>
    </row>
    <row r="92" spans="5:10" ht="15.75" thickBot="1">
      <c r="E92" s="2646" t="s">
        <v>886</v>
      </c>
      <c r="F92" s="2647"/>
      <c r="G92" s="2647" t="s">
        <v>583</v>
      </c>
      <c r="H92" s="3099">
        <v>31.18</v>
      </c>
      <c r="I92" s="3107">
        <f>'Site Based Respite'!Q56</f>
        <v>32.237663774919625</v>
      </c>
      <c r="J92" s="2650">
        <f t="shared" si="1"/>
        <v>3.3921224339949492E-2</v>
      </c>
    </row>
    <row r="93" spans="5:10" ht="15.75" thickBot="1">
      <c r="E93" s="2646" t="s">
        <v>30</v>
      </c>
      <c r="F93" s="2647"/>
      <c r="G93" s="2647" t="s">
        <v>28</v>
      </c>
      <c r="H93" s="3099">
        <v>106.72</v>
      </c>
      <c r="I93" s="3107">
        <f>'Respite Caregiver Home'!O43</f>
        <v>119.97027709972066</v>
      </c>
      <c r="J93" s="2650">
        <f t="shared" si="1"/>
        <v>0.12415926817579331</v>
      </c>
    </row>
    <row r="94" spans="5:10" ht="15.75" thickBot="1">
      <c r="E94" s="2646" t="s">
        <v>31</v>
      </c>
      <c r="F94" s="2647"/>
      <c r="G94" s="2647" t="s">
        <v>28</v>
      </c>
      <c r="H94" s="3099">
        <v>131.26</v>
      </c>
      <c r="I94" s="3107">
        <f>'Respite Caregiver Home'!T43</f>
        <v>142.92017557229815</v>
      </c>
      <c r="J94" s="2650">
        <f t="shared" si="1"/>
        <v>8.8832664728768537E-2</v>
      </c>
    </row>
    <row r="95" spans="5:10" ht="15.75" thickBot="1">
      <c r="E95" s="2646" t="s">
        <v>32</v>
      </c>
      <c r="F95" s="2647"/>
      <c r="G95" s="2647" t="s">
        <v>28</v>
      </c>
      <c r="H95" s="3099">
        <v>155.80000000000001</v>
      </c>
      <c r="I95" s="3107">
        <f>'Respite Caregiver Home'!Y43</f>
        <v>170.33052211476391</v>
      </c>
      <c r="J95" s="2650">
        <f t="shared" si="1"/>
        <v>9.3263941686546184E-2</v>
      </c>
    </row>
    <row r="96" spans="5:10" ht="15.75" thickBot="1">
      <c r="E96" s="2646" t="s">
        <v>887</v>
      </c>
      <c r="F96" s="2647"/>
      <c r="G96" s="2647" t="s">
        <v>9</v>
      </c>
      <c r="H96" s="3099">
        <v>26.68</v>
      </c>
      <c r="I96" s="3107">
        <f>'Respite '!T20</f>
        <v>27.246321449949541</v>
      </c>
      <c r="J96" s="2650">
        <f t="shared" si="1"/>
        <v>2.1226441152531524E-2</v>
      </c>
    </row>
    <row r="97" spans="5:10" ht="15.75" thickBot="1">
      <c r="E97" s="2646" t="s">
        <v>888</v>
      </c>
      <c r="F97" s="2647"/>
      <c r="G97" s="2647" t="s">
        <v>9</v>
      </c>
      <c r="H97" s="3099">
        <v>13.36</v>
      </c>
      <c r="I97" s="3107">
        <f>'Respite '!T21</f>
        <v>13.62316072497477</v>
      </c>
      <c r="J97" s="2650">
        <f t="shared" si="1"/>
        <v>1.9697659054997825E-2</v>
      </c>
    </row>
    <row r="98" spans="5:10" ht="15.75" thickBot="1">
      <c r="E98" s="2646" t="s">
        <v>889</v>
      </c>
      <c r="F98" s="2647"/>
      <c r="G98" s="2647" t="s">
        <v>9</v>
      </c>
      <c r="H98" s="3099">
        <v>8.8800000000000008</v>
      </c>
      <c r="I98" s="3107">
        <f>'Respite '!T22</f>
        <v>9.0821071499831802</v>
      </c>
      <c r="J98" s="2650">
        <f t="shared" si="1"/>
        <v>2.2759814187294985E-2</v>
      </c>
    </row>
    <row r="99" spans="5:10" ht="15.75" thickBot="1">
      <c r="E99" s="2646" t="s">
        <v>36</v>
      </c>
      <c r="F99" s="2647"/>
      <c r="G99" s="2647" t="s">
        <v>28</v>
      </c>
      <c r="H99" s="3099">
        <v>240.12</v>
      </c>
      <c r="I99" s="3107">
        <f>'Respite '!T23</f>
        <v>245.21689304954586</v>
      </c>
      <c r="J99" s="2650">
        <f t="shared" si="1"/>
        <v>2.1226441152531462E-2</v>
      </c>
    </row>
    <row r="100" spans="5:10" ht="15.75" thickBot="1">
      <c r="E100" s="2646" t="s">
        <v>617</v>
      </c>
      <c r="F100" s="2647"/>
      <c r="G100" s="2647" t="s">
        <v>28</v>
      </c>
      <c r="H100" s="3097">
        <v>264.32</v>
      </c>
      <c r="I100" s="3108">
        <f>'Site Based Respite'!H27</f>
        <v>273.20160994739109</v>
      </c>
      <c r="J100" s="2650">
        <f t="shared" si="1"/>
        <v>3.3601732549149131E-2</v>
      </c>
    </row>
    <row r="101" spans="5:10" ht="15.75" thickBot="1">
      <c r="E101" s="2646" t="s">
        <v>618</v>
      </c>
      <c r="F101" s="2647"/>
      <c r="G101" s="2647" t="s">
        <v>28</v>
      </c>
      <c r="H101" s="3097">
        <v>328.77</v>
      </c>
      <c r="I101" s="3107">
        <f>'Site Based Respite'!Q27</f>
        <v>340.41701680133968</v>
      </c>
      <c r="J101" s="2650">
        <f t="shared" si="1"/>
        <v>3.5426032792954656E-2</v>
      </c>
    </row>
    <row r="102" spans="5:10" ht="15.75" hidden="1" thickBot="1">
      <c r="E102" s="2646" t="s">
        <v>93</v>
      </c>
      <c r="F102" s="2647"/>
      <c r="G102" s="2647" t="s">
        <v>619</v>
      </c>
      <c r="H102" s="2648">
        <v>45.3</v>
      </c>
      <c r="I102" s="2649"/>
      <c r="J102" s="2650">
        <f t="shared" si="1"/>
        <v>-1</v>
      </c>
    </row>
    <row r="103" spans="5:10">
      <c r="J103" s="1228"/>
    </row>
    <row r="104" spans="5:10">
      <c r="J104" s="1228"/>
    </row>
    <row r="105" spans="5:10">
      <c r="J105" s="1228"/>
    </row>
    <row r="106" spans="5:10">
      <c r="J106" s="1228"/>
    </row>
    <row r="107" spans="5:10">
      <c r="J107" s="1228"/>
    </row>
    <row r="108" spans="5:10">
      <c r="J108" s="1228"/>
    </row>
    <row r="109" spans="5:10">
      <c r="J109" s="1228"/>
    </row>
    <row r="110" spans="5:10">
      <c r="J110" s="1228"/>
    </row>
    <row r="111" spans="5:10">
      <c r="J111" s="1228"/>
    </row>
    <row r="112" spans="5:10">
      <c r="J112" s="1228"/>
    </row>
    <row r="113" spans="10:10">
      <c r="J113" s="1228"/>
    </row>
    <row r="114" spans="10:10">
      <c r="J114" s="1228"/>
    </row>
    <row r="115" spans="10:10">
      <c r="J115" s="1228"/>
    </row>
    <row r="116" spans="10:10">
      <c r="J116" s="1228"/>
    </row>
    <row r="117" spans="10:10">
      <c r="J117" s="1228"/>
    </row>
    <row r="118" spans="10:10">
      <c r="J118" s="1228"/>
    </row>
    <row r="119" spans="10:10">
      <c r="J119" s="1228"/>
    </row>
    <row r="120" spans="10:10">
      <c r="J120" s="1228"/>
    </row>
    <row r="121" spans="10:10">
      <c r="J121" s="1228"/>
    </row>
    <row r="122" spans="10:10">
      <c r="J122" s="1228"/>
    </row>
    <row r="123" spans="10:10">
      <c r="J123" s="1228"/>
    </row>
    <row r="124" spans="10:10">
      <c r="J124" s="1228"/>
    </row>
    <row r="125" spans="10:10">
      <c r="J125" s="1228"/>
    </row>
    <row r="126" spans="10:10">
      <c r="J126" s="1228"/>
    </row>
    <row r="127" spans="10:10">
      <c r="J127" s="1228"/>
    </row>
    <row r="128" spans="10:10">
      <c r="J128" s="1228"/>
    </row>
    <row r="129" spans="10:10">
      <c r="J129" s="1228"/>
    </row>
    <row r="130" spans="10:10">
      <c r="J130" s="1228"/>
    </row>
    <row r="131" spans="10:10">
      <c r="J131" s="1228"/>
    </row>
    <row r="132" spans="10:10">
      <c r="J132" s="1228"/>
    </row>
    <row r="133" spans="10:10">
      <c r="J133" s="1228"/>
    </row>
    <row r="134" spans="10:10">
      <c r="J134" s="1228"/>
    </row>
    <row r="135" spans="10:10">
      <c r="J135" s="1228"/>
    </row>
    <row r="136" spans="10:10">
      <c r="J136" s="1228"/>
    </row>
    <row r="137" spans="10:10">
      <c r="J137" s="1228"/>
    </row>
    <row r="138" spans="10:10">
      <c r="J138" s="1228"/>
    </row>
    <row r="139" spans="10:10">
      <c r="J139" s="1228"/>
    </row>
    <row r="140" spans="10:10">
      <c r="J140" s="1228"/>
    </row>
    <row r="141" spans="10:10">
      <c r="J141" s="1228"/>
    </row>
    <row r="142" spans="10:10">
      <c r="J142" s="1228"/>
    </row>
    <row r="143" spans="10:10">
      <c r="J143" s="1228"/>
    </row>
    <row r="144" spans="10:10">
      <c r="J144" s="1228"/>
    </row>
    <row r="145" spans="10:10">
      <c r="J145" s="1228"/>
    </row>
    <row r="146" spans="10:10">
      <c r="J146" s="1228"/>
    </row>
    <row r="147" spans="10:10">
      <c r="J147" s="1228"/>
    </row>
    <row r="148" spans="10:10">
      <c r="J148" s="1228"/>
    </row>
    <row r="149" spans="10:10">
      <c r="J149" s="1228"/>
    </row>
    <row r="150" spans="10:10">
      <c r="J150" s="1228"/>
    </row>
    <row r="151" spans="10:10">
      <c r="J151" s="1228"/>
    </row>
    <row r="152" spans="10:10">
      <c r="J152" s="1228"/>
    </row>
    <row r="153" spans="10:10">
      <c r="J153" s="1228"/>
    </row>
    <row r="154" spans="10:10">
      <c r="J154" s="1228"/>
    </row>
    <row r="155" spans="10:10">
      <c r="J155" s="1228"/>
    </row>
    <row r="156" spans="10:10">
      <c r="J156" s="1228"/>
    </row>
    <row r="157" spans="10:10">
      <c r="J157" s="1228"/>
    </row>
    <row r="158" spans="10:10">
      <c r="J158" s="1228"/>
    </row>
    <row r="159" spans="10:10">
      <c r="J159" s="1228"/>
    </row>
    <row r="160" spans="10:10">
      <c r="J160" s="1228"/>
    </row>
    <row r="161" spans="10:10">
      <c r="J161" s="1228"/>
    </row>
    <row r="162" spans="10:10">
      <c r="J162" s="1228"/>
    </row>
    <row r="163" spans="10:10">
      <c r="J163" s="1228"/>
    </row>
    <row r="164" spans="10:10">
      <c r="J164" s="1228"/>
    </row>
    <row r="165" spans="10:10">
      <c r="J165" s="1228"/>
    </row>
    <row r="166" spans="10:10">
      <c r="J166" s="1228"/>
    </row>
    <row r="167" spans="10:10">
      <c r="J167" s="1228"/>
    </row>
    <row r="168" spans="10:10">
      <c r="J168" s="1228"/>
    </row>
    <row r="169" spans="10:10">
      <c r="J169" s="1228"/>
    </row>
    <row r="170" spans="10:10">
      <c r="J170" s="1228"/>
    </row>
    <row r="171" spans="10:10">
      <c r="J171" s="1228"/>
    </row>
    <row r="172" spans="10:10">
      <c r="J172" s="1228"/>
    </row>
    <row r="173" spans="10:10">
      <c r="J173" s="1228"/>
    </row>
    <row r="174" spans="10:10">
      <c r="J174" s="1228"/>
    </row>
    <row r="175" spans="10:10">
      <c r="J175" s="1228"/>
    </row>
    <row r="176" spans="10:10">
      <c r="J176" s="1228"/>
    </row>
    <row r="177" spans="10:10">
      <c r="J177" s="1228"/>
    </row>
    <row r="178" spans="10:10">
      <c r="J178" s="1228"/>
    </row>
    <row r="179" spans="10:10">
      <c r="J179" s="1228"/>
    </row>
    <row r="180" spans="10:10">
      <c r="J180" s="1228"/>
    </row>
    <row r="181" spans="10:10">
      <c r="J181" s="1228"/>
    </row>
    <row r="182" spans="10:10">
      <c r="J182" s="1228"/>
    </row>
    <row r="183" spans="10:10">
      <c r="J183" s="1228"/>
    </row>
    <row r="184" spans="10:10">
      <c r="J184" s="1228"/>
    </row>
    <row r="185" spans="10:10">
      <c r="J185" s="1228"/>
    </row>
  </sheetData>
  <pageMargins left="0.7" right="0.7" top="0.75" bottom="0.75" header="0.3" footer="0.3"/>
  <pageSetup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21"/>
  <sheetViews>
    <sheetView workbookViewId="0">
      <selection activeCell="I14" sqref="I14"/>
    </sheetView>
  </sheetViews>
  <sheetFormatPr defaultRowHeight="15"/>
  <cols>
    <col min="5" max="5" width="141.42578125" customWidth="1"/>
  </cols>
  <sheetData>
    <row r="3" spans="5:5">
      <c r="E3" t="s">
        <v>1187</v>
      </c>
    </row>
    <row r="4" spans="5:5">
      <c r="E4">
        <v>3701</v>
      </c>
    </row>
    <row r="5" spans="5:5">
      <c r="E5">
        <v>3702</v>
      </c>
    </row>
    <row r="6" spans="5:5">
      <c r="E6">
        <v>3707</v>
      </c>
    </row>
    <row r="7" spans="5:5">
      <c r="E7">
        <v>3709</v>
      </c>
    </row>
    <row r="8" spans="5:5">
      <c r="E8">
        <v>3710</v>
      </c>
    </row>
    <row r="9" spans="5:5">
      <c r="E9">
        <v>3712</v>
      </c>
    </row>
    <row r="10" spans="5:5">
      <c r="E10">
        <v>3716</v>
      </c>
    </row>
    <row r="11" spans="5:5">
      <c r="E11">
        <v>3731</v>
      </c>
    </row>
    <row r="12" spans="5:5">
      <c r="E12">
        <v>3735</v>
      </c>
    </row>
    <row r="13" spans="5:5">
      <c r="E13">
        <v>3759</v>
      </c>
    </row>
    <row r="14" spans="5:5">
      <c r="E14">
        <v>3770</v>
      </c>
    </row>
    <row r="15" spans="5:5">
      <c r="E15">
        <v>3771</v>
      </c>
    </row>
    <row r="16" spans="5:5">
      <c r="E16">
        <v>3772</v>
      </c>
    </row>
    <row r="17" spans="5:5">
      <c r="E17">
        <v>3773</v>
      </c>
    </row>
    <row r="18" spans="5:5">
      <c r="E18">
        <v>3774</v>
      </c>
    </row>
    <row r="19" spans="5:5">
      <c r="E19">
        <v>3775</v>
      </c>
    </row>
    <row r="20" spans="5:5">
      <c r="E20">
        <v>3781</v>
      </c>
    </row>
    <row r="21" spans="5:5">
      <c r="E21">
        <v>6753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0"/>
  <sheetViews>
    <sheetView topLeftCell="A154" zoomScale="78" zoomScaleNormal="78" workbookViewId="0">
      <selection activeCell="M153" sqref="M153"/>
    </sheetView>
  </sheetViews>
  <sheetFormatPr defaultColWidth="9.140625" defaultRowHeight="15"/>
  <cols>
    <col min="1" max="1" width="23" style="786" customWidth="1"/>
    <col min="2" max="2" width="12.7109375" style="786" customWidth="1"/>
    <col min="3" max="3" width="14.28515625" style="786" customWidth="1"/>
    <col min="4" max="4" width="7.28515625" style="788" customWidth="1"/>
    <col min="5" max="5" width="14" style="786" customWidth="1"/>
    <col min="6" max="6" width="5.140625" style="786" customWidth="1"/>
    <col min="7" max="7" width="22.140625" style="786" bestFit="1" customWidth="1"/>
    <col min="8" max="8" width="10" style="786" bestFit="1" customWidth="1"/>
    <col min="9" max="10" width="9.5703125" style="786" bestFit="1" customWidth="1"/>
    <col min="11" max="11" width="15.42578125" style="786" bestFit="1" customWidth="1"/>
    <col min="12" max="15" width="9.140625" style="786"/>
    <col min="16" max="16" width="24.140625" style="786" customWidth="1"/>
    <col min="17" max="17" width="11.85546875" style="786" customWidth="1"/>
    <col min="18" max="19" width="9.140625" style="786"/>
    <col min="20" max="20" width="13.85546875" style="786" customWidth="1"/>
    <col min="21" max="21" width="4.5703125" style="786" customWidth="1"/>
    <col min="22" max="22" width="22.140625" style="786" customWidth="1"/>
    <col min="23" max="23" width="14.140625" style="786" customWidth="1"/>
    <col min="24" max="25" width="9.140625" style="786"/>
    <col min="26" max="26" width="12.28515625" style="786" customWidth="1"/>
    <col min="27" max="30" width="9.140625" style="786"/>
    <col min="31" max="31" width="23.28515625" style="786" customWidth="1"/>
    <col min="32" max="32" width="12.85546875" style="786" customWidth="1"/>
    <col min="33" max="33" width="9.140625" style="786"/>
    <col min="34" max="34" width="10.140625" style="786" customWidth="1"/>
    <col min="35" max="35" width="14.28515625" style="786" customWidth="1"/>
    <col min="36" max="16384" width="9.140625" style="786"/>
  </cols>
  <sheetData>
    <row r="1" spans="1:35" ht="15.75">
      <c r="A1" s="359" t="s">
        <v>500</v>
      </c>
      <c r="B1" s="899">
        <v>4.1911189358372423E-2</v>
      </c>
    </row>
    <row r="4" spans="1:35" ht="15.75" thickBot="1"/>
    <row r="5" spans="1:35">
      <c r="F5" s="898"/>
      <c r="G5" s="3142" t="s">
        <v>355</v>
      </c>
      <c r="H5" s="3143"/>
      <c r="I5" s="3143"/>
      <c r="J5" s="3143"/>
      <c r="K5" s="3144"/>
      <c r="P5" s="3145" t="s">
        <v>352</v>
      </c>
      <c r="Q5" s="3146"/>
      <c r="R5" s="3146"/>
      <c r="S5" s="3146"/>
      <c r="T5" s="3147"/>
      <c r="V5" s="3142" t="s">
        <v>482</v>
      </c>
      <c r="W5" s="3143"/>
      <c r="X5" s="3143"/>
      <c r="Y5" s="3143"/>
      <c r="Z5" s="3144"/>
      <c r="AE5" s="3142" t="s">
        <v>319</v>
      </c>
      <c r="AF5" s="3143"/>
      <c r="AG5" s="3143"/>
      <c r="AH5" s="3143"/>
      <c r="AI5" s="3144"/>
    </row>
    <row r="6" spans="1:35" ht="27" customHeight="1">
      <c r="F6" s="898"/>
      <c r="G6" s="832"/>
      <c r="H6" s="879" t="s">
        <v>311</v>
      </c>
      <c r="I6" s="830" t="s">
        <v>342</v>
      </c>
      <c r="J6" s="858" t="s">
        <v>190</v>
      </c>
      <c r="K6" s="842" t="s">
        <v>343</v>
      </c>
      <c r="P6" s="832"/>
      <c r="Q6" s="879" t="s">
        <v>341</v>
      </c>
      <c r="R6" s="830" t="s">
        <v>342</v>
      </c>
      <c r="S6" s="829" t="s">
        <v>190</v>
      </c>
      <c r="T6" s="842" t="s">
        <v>343</v>
      </c>
      <c r="V6" s="832"/>
      <c r="W6" s="879" t="s">
        <v>311</v>
      </c>
      <c r="X6" s="830" t="s">
        <v>342</v>
      </c>
      <c r="Y6" s="858" t="s">
        <v>190</v>
      </c>
      <c r="Z6" s="842" t="s">
        <v>343</v>
      </c>
      <c r="AE6" s="832"/>
      <c r="AF6" s="879" t="s">
        <v>311</v>
      </c>
      <c r="AG6" s="830" t="s">
        <v>209</v>
      </c>
      <c r="AH6" s="858" t="s">
        <v>190</v>
      </c>
      <c r="AI6" s="842" t="s">
        <v>210</v>
      </c>
    </row>
    <row r="7" spans="1:35">
      <c r="F7" s="898"/>
      <c r="G7" s="15" t="s">
        <v>312</v>
      </c>
      <c r="H7" s="16"/>
      <c r="I7" s="871">
        <v>50000</v>
      </c>
      <c r="J7" s="877">
        <v>0.08</v>
      </c>
      <c r="K7" s="17">
        <v>4000</v>
      </c>
      <c r="P7" s="878" t="s">
        <v>312</v>
      </c>
      <c r="Q7" s="840"/>
      <c r="R7" s="840">
        <v>50000</v>
      </c>
      <c r="S7" s="876">
        <v>0.3</v>
      </c>
      <c r="T7" s="818">
        <v>15000</v>
      </c>
      <c r="V7" s="15" t="s">
        <v>312</v>
      </c>
      <c r="W7" s="16"/>
      <c r="X7" s="871">
        <v>50000</v>
      </c>
      <c r="Y7" s="877">
        <v>0.47249999999999998</v>
      </c>
      <c r="Z7" s="17">
        <v>23625</v>
      </c>
      <c r="AE7" s="15" t="s">
        <v>312</v>
      </c>
      <c r="AF7" s="16"/>
      <c r="AG7" s="871">
        <v>50000</v>
      </c>
      <c r="AH7" s="876">
        <v>0.8075</v>
      </c>
      <c r="AI7" s="17">
        <v>40375</v>
      </c>
    </row>
    <row r="8" spans="1:35">
      <c r="F8" s="898"/>
      <c r="G8" s="18" t="s">
        <v>192</v>
      </c>
      <c r="H8" s="749"/>
      <c r="I8" s="871">
        <v>40000</v>
      </c>
      <c r="J8" s="870">
        <v>0.5</v>
      </c>
      <c r="K8" s="48">
        <v>20000</v>
      </c>
      <c r="P8" s="875" t="s">
        <v>192</v>
      </c>
      <c r="Q8" s="874"/>
      <c r="R8" s="840">
        <v>39000</v>
      </c>
      <c r="S8" s="873">
        <v>4.5</v>
      </c>
      <c r="T8" s="872">
        <v>175500</v>
      </c>
      <c r="V8" s="18" t="s">
        <v>192</v>
      </c>
      <c r="W8" s="749"/>
      <c r="X8" s="871">
        <v>40000</v>
      </c>
      <c r="Y8" s="870">
        <v>4.5</v>
      </c>
      <c r="Z8" s="48">
        <v>180000</v>
      </c>
      <c r="AE8" s="18" t="s">
        <v>192</v>
      </c>
      <c r="AF8" s="749"/>
      <c r="AG8" s="871">
        <v>40000</v>
      </c>
      <c r="AH8" s="870">
        <v>8.5</v>
      </c>
      <c r="AI8" s="48">
        <v>340000</v>
      </c>
    </row>
    <row r="9" spans="1:35">
      <c r="F9" s="898"/>
      <c r="G9" s="868" t="s">
        <v>194</v>
      </c>
      <c r="H9" s="867"/>
      <c r="I9" s="866"/>
      <c r="J9" s="865"/>
      <c r="K9" s="864">
        <v>24000</v>
      </c>
      <c r="P9" s="868" t="s">
        <v>194</v>
      </c>
      <c r="Q9" s="867"/>
      <c r="R9" s="866"/>
      <c r="S9" s="869">
        <v>4.8</v>
      </c>
      <c r="T9" s="823">
        <v>190500</v>
      </c>
      <c r="V9" s="868" t="s">
        <v>194</v>
      </c>
      <c r="W9" s="867"/>
      <c r="X9" s="866"/>
      <c r="Y9" s="865">
        <v>4.9725000000000001</v>
      </c>
      <c r="Z9" s="864">
        <v>203625</v>
      </c>
      <c r="AE9" s="868" t="s">
        <v>194</v>
      </c>
      <c r="AF9" s="867"/>
      <c r="AG9" s="866"/>
      <c r="AH9" s="865">
        <v>9.3074999999999992</v>
      </c>
      <c r="AI9" s="864">
        <v>380375</v>
      </c>
    </row>
    <row r="10" spans="1:35">
      <c r="F10" s="898"/>
      <c r="G10" s="863"/>
      <c r="H10" s="862"/>
      <c r="I10" s="861"/>
      <c r="J10" s="860"/>
      <c r="K10" s="828"/>
      <c r="P10" s="863"/>
      <c r="Q10" s="862"/>
      <c r="R10" s="861"/>
      <c r="S10" s="860"/>
      <c r="T10" s="828"/>
      <c r="V10" s="863"/>
      <c r="W10" s="862"/>
      <c r="X10" s="861"/>
      <c r="Y10" s="860"/>
      <c r="Z10" s="828"/>
      <c r="AE10" s="863"/>
      <c r="AF10" s="862"/>
      <c r="AG10" s="861"/>
      <c r="AH10" s="860"/>
      <c r="AI10" s="828"/>
    </row>
    <row r="11" spans="1:35">
      <c r="F11" s="898"/>
      <c r="G11" s="832" t="s">
        <v>195</v>
      </c>
      <c r="H11" s="859"/>
      <c r="I11" s="830"/>
      <c r="J11" s="858"/>
      <c r="K11" s="842"/>
      <c r="P11" s="832" t="s">
        <v>195</v>
      </c>
      <c r="Q11" s="859"/>
      <c r="R11" s="830"/>
      <c r="S11" s="829"/>
      <c r="T11" s="842"/>
      <c r="V11" s="832" t="s">
        <v>195</v>
      </c>
      <c r="W11" s="859"/>
      <c r="X11" s="830"/>
      <c r="Y11" s="858"/>
      <c r="Z11" s="842"/>
      <c r="AE11" s="832" t="s">
        <v>195</v>
      </c>
      <c r="AF11" s="859"/>
      <c r="AG11" s="830"/>
      <c r="AH11" s="858"/>
      <c r="AI11" s="842"/>
    </row>
    <row r="12" spans="1:35" ht="30">
      <c r="F12" s="898"/>
      <c r="G12" s="822" t="s">
        <v>196</v>
      </c>
      <c r="H12" s="855">
        <v>0.22</v>
      </c>
      <c r="I12" s="854" t="s">
        <v>197</v>
      </c>
      <c r="J12" s="853"/>
      <c r="K12" s="818">
        <v>5280</v>
      </c>
      <c r="P12" s="822" t="s">
        <v>196</v>
      </c>
      <c r="Q12" s="857">
        <v>0.22</v>
      </c>
      <c r="R12" s="854" t="s">
        <v>197</v>
      </c>
      <c r="S12" s="856"/>
      <c r="T12" s="818">
        <v>41910</v>
      </c>
      <c r="V12" s="822" t="s">
        <v>196</v>
      </c>
      <c r="W12" s="855">
        <v>0.22</v>
      </c>
      <c r="X12" s="854" t="s">
        <v>197</v>
      </c>
      <c r="Y12" s="853"/>
      <c r="Z12" s="818">
        <v>44797.5</v>
      </c>
      <c r="AE12" s="822" t="s">
        <v>196</v>
      </c>
      <c r="AF12" s="855">
        <v>0.22</v>
      </c>
      <c r="AG12" s="854" t="s">
        <v>197</v>
      </c>
      <c r="AH12" s="853"/>
      <c r="AI12" s="818">
        <v>83682.5</v>
      </c>
    </row>
    <row r="13" spans="1:35">
      <c r="F13" s="898"/>
      <c r="G13" s="787" t="s">
        <v>198</v>
      </c>
      <c r="H13" s="848">
        <v>0.67</v>
      </c>
      <c r="I13" s="847"/>
      <c r="J13" s="846"/>
      <c r="K13" s="845">
        <v>29280</v>
      </c>
      <c r="P13" s="852" t="s">
        <v>198</v>
      </c>
      <c r="Q13" s="851">
        <v>0.84469909447872438</v>
      </c>
      <c r="R13" s="850"/>
      <c r="S13" s="849"/>
      <c r="T13" s="885">
        <v>232410</v>
      </c>
      <c r="V13" s="787" t="s">
        <v>198</v>
      </c>
      <c r="W13" s="848">
        <v>0.72603723881937388</v>
      </c>
      <c r="X13" s="847"/>
      <c r="Y13" s="846"/>
      <c r="Z13" s="845">
        <v>248422.5</v>
      </c>
      <c r="AE13" s="787" t="s">
        <v>198</v>
      </c>
      <c r="AF13" s="848">
        <v>0.75397268582036836</v>
      </c>
      <c r="AG13" s="847"/>
      <c r="AH13" s="846"/>
      <c r="AI13" s="845">
        <v>464057.5</v>
      </c>
    </row>
    <row r="14" spans="1:35">
      <c r="F14" s="898"/>
      <c r="G14" s="29"/>
      <c r="H14" s="30"/>
      <c r="I14" s="16"/>
      <c r="J14" s="841"/>
      <c r="K14" s="17"/>
      <c r="P14" s="844"/>
      <c r="Q14" s="843"/>
      <c r="R14" s="840"/>
      <c r="S14" s="839"/>
      <c r="T14" s="842"/>
      <c r="V14" s="29"/>
      <c r="W14" s="30"/>
      <c r="X14" s="16"/>
      <c r="Y14" s="841"/>
      <c r="Z14" s="17"/>
      <c r="AE14" s="29"/>
      <c r="AF14" s="30"/>
      <c r="AG14" s="16"/>
      <c r="AH14" s="841"/>
      <c r="AI14" s="17"/>
    </row>
    <row r="15" spans="1:35">
      <c r="F15" s="898"/>
      <c r="G15" s="835" t="s">
        <v>313</v>
      </c>
      <c r="H15" s="821">
        <v>0.1</v>
      </c>
      <c r="I15" s="16"/>
      <c r="J15" s="838"/>
      <c r="K15" s="17">
        <v>4370.1492537313434</v>
      </c>
      <c r="P15" s="822" t="s">
        <v>313</v>
      </c>
      <c r="Q15" s="884">
        <v>6.3947431685231204E-2</v>
      </c>
      <c r="R15" s="840"/>
      <c r="S15" s="839"/>
      <c r="T15" s="818">
        <v>17594.457831325304</v>
      </c>
      <c r="V15" s="835" t="s">
        <v>313</v>
      </c>
      <c r="W15" s="821">
        <v>8.3019018539583711E-2</v>
      </c>
      <c r="X15" s="16"/>
      <c r="Y15" s="838"/>
      <c r="Z15" s="17">
        <v>28405.970149253732</v>
      </c>
      <c r="AE15" s="835" t="s">
        <v>313</v>
      </c>
      <c r="AF15" s="821">
        <v>7.4553731569585321E-2</v>
      </c>
      <c r="AG15" s="16"/>
      <c r="AH15" s="838"/>
      <c r="AI15" s="17">
        <v>45886.567164179105</v>
      </c>
    </row>
    <row r="16" spans="1:35">
      <c r="F16" s="898"/>
      <c r="G16" s="822" t="s">
        <v>314</v>
      </c>
      <c r="H16" s="821">
        <v>0.09</v>
      </c>
      <c r="I16" s="16"/>
      <c r="J16" s="838"/>
      <c r="K16" s="17">
        <v>3933.1343283582087</v>
      </c>
      <c r="P16" s="822" t="s">
        <v>314</v>
      </c>
      <c r="Q16" s="884">
        <v>7.308277906883566E-2</v>
      </c>
      <c r="R16" s="840"/>
      <c r="S16" s="839"/>
      <c r="T16" s="818">
        <v>20107.951807228917</v>
      </c>
      <c r="V16" s="822" t="s">
        <v>314</v>
      </c>
      <c r="W16" s="821">
        <v>7.4717116685625348E-2</v>
      </c>
      <c r="X16" s="16"/>
      <c r="Y16" s="838"/>
      <c r="Z16" s="17">
        <v>25565.373134328358</v>
      </c>
      <c r="AE16" s="822" t="s">
        <v>314</v>
      </c>
      <c r="AF16" s="821">
        <v>6.7098358412626791E-2</v>
      </c>
      <c r="AG16" s="16"/>
      <c r="AH16" s="838"/>
      <c r="AI16" s="17">
        <v>41297.910447761191</v>
      </c>
    </row>
    <row r="17" spans="1:35">
      <c r="F17" s="898"/>
      <c r="G17" s="822" t="s">
        <v>344</v>
      </c>
      <c r="H17" s="821">
        <v>0.03</v>
      </c>
      <c r="I17" s="16"/>
      <c r="J17" s="838"/>
      <c r="K17" s="17">
        <v>1311.044776119403</v>
      </c>
      <c r="P17" s="822" t="s">
        <v>344</v>
      </c>
      <c r="Q17" s="884">
        <v>1.8270694767208915E-2</v>
      </c>
      <c r="R17" s="840"/>
      <c r="S17" s="839"/>
      <c r="T17" s="818">
        <v>5026.9879518072294</v>
      </c>
      <c r="V17" s="822" t="s">
        <v>344</v>
      </c>
      <c r="W17" s="821">
        <v>2.4905705561875113E-2</v>
      </c>
      <c r="X17" s="16"/>
      <c r="Y17" s="838"/>
      <c r="Z17" s="17">
        <v>8521.7910447761187</v>
      </c>
      <c r="AE17" s="822" t="s">
        <v>239</v>
      </c>
      <c r="AF17" s="821">
        <v>2.2366119470875596E-2</v>
      </c>
      <c r="AG17" s="16"/>
      <c r="AH17" s="838"/>
      <c r="AI17" s="17">
        <v>13765.970149253732</v>
      </c>
    </row>
    <row r="18" spans="1:35" ht="30">
      <c r="F18" s="898"/>
      <c r="G18" s="835" t="s">
        <v>315</v>
      </c>
      <c r="H18" s="386">
        <v>0.11</v>
      </c>
      <c r="I18" s="834">
        <v>0.12359550561797752</v>
      </c>
      <c r="J18" s="833" t="s">
        <v>316</v>
      </c>
      <c r="K18" s="17">
        <v>4807.1641791044776</v>
      </c>
      <c r="P18" s="827" t="s">
        <v>317</v>
      </c>
      <c r="Q18" s="883">
        <v>0.15530090552127576</v>
      </c>
      <c r="R18" s="825"/>
      <c r="S18" s="836"/>
      <c r="T18" s="882">
        <v>42729.397590361448</v>
      </c>
      <c r="V18" s="835" t="s">
        <v>315</v>
      </c>
      <c r="W18" s="386">
        <v>9.1320920393542088E-2</v>
      </c>
      <c r="X18" s="834">
        <v>0.10049853952078713</v>
      </c>
      <c r="Y18" s="833" t="s">
        <v>316</v>
      </c>
      <c r="Z18" s="17">
        <v>31246.567164179105</v>
      </c>
      <c r="AE18" s="835" t="s">
        <v>315</v>
      </c>
      <c r="AF18" s="386">
        <v>8.2009104726543852E-2</v>
      </c>
      <c r="AG18" s="834">
        <v>8.9335422768125089E-2</v>
      </c>
      <c r="AH18" s="833" t="s">
        <v>316</v>
      </c>
      <c r="AI18" s="17">
        <v>50475.223880597012</v>
      </c>
    </row>
    <row r="19" spans="1:35">
      <c r="F19" s="898"/>
      <c r="G19" s="827" t="s">
        <v>317</v>
      </c>
      <c r="H19" s="826">
        <v>0.33</v>
      </c>
      <c r="I19" s="825"/>
      <c r="J19" s="824"/>
      <c r="K19" s="823">
        <v>14421.492537313432</v>
      </c>
      <c r="P19" s="832" t="s">
        <v>345</v>
      </c>
      <c r="Q19" s="831"/>
      <c r="R19" s="830"/>
      <c r="S19" s="829"/>
      <c r="T19" s="828">
        <v>275139.39759036142</v>
      </c>
      <c r="V19" s="827" t="s">
        <v>317</v>
      </c>
      <c r="W19" s="826">
        <v>0.27396276118062624</v>
      </c>
      <c r="X19" s="825"/>
      <c r="Y19" s="824"/>
      <c r="Z19" s="823">
        <v>93739.701492537308</v>
      </c>
      <c r="AE19" s="827" t="s">
        <v>317</v>
      </c>
      <c r="AF19" s="826">
        <v>0.24602731417963158</v>
      </c>
      <c r="AG19" s="825"/>
      <c r="AH19" s="824"/>
      <c r="AI19" s="823">
        <v>151425.67164179104</v>
      </c>
    </row>
    <row r="20" spans="1:35" ht="15.75" thickBot="1">
      <c r="F20" s="898"/>
      <c r="G20" s="816" t="s">
        <v>203</v>
      </c>
      <c r="H20" s="815"/>
      <c r="I20" s="814"/>
      <c r="J20" s="813"/>
      <c r="K20" s="817">
        <v>43701.492537313432</v>
      </c>
      <c r="P20" s="822" t="s">
        <v>315</v>
      </c>
      <c r="Q20" s="821">
        <v>0.1</v>
      </c>
      <c r="R20" s="820"/>
      <c r="S20" s="819"/>
      <c r="T20" s="881">
        <v>27513.939759036144</v>
      </c>
      <c r="V20" s="816" t="s">
        <v>203</v>
      </c>
      <c r="W20" s="815"/>
      <c r="X20" s="814"/>
      <c r="Y20" s="813"/>
      <c r="Z20" s="817">
        <v>342162.20149253728</v>
      </c>
      <c r="AE20" s="816" t="s">
        <v>203</v>
      </c>
      <c r="AF20" s="815"/>
      <c r="AG20" s="814"/>
      <c r="AH20" s="813"/>
      <c r="AI20" s="817">
        <v>615483.17164179112</v>
      </c>
    </row>
    <row r="21" spans="1:35" ht="16.5" thickTop="1" thickBot="1">
      <c r="F21" s="898"/>
      <c r="G21" s="798" t="s">
        <v>318</v>
      </c>
      <c r="H21" s="811"/>
      <c r="I21" s="811"/>
      <c r="J21" s="811"/>
      <c r="K21" s="809">
        <v>3641.7910447761192</v>
      </c>
      <c r="P21" s="816" t="s">
        <v>203</v>
      </c>
      <c r="Q21" s="815"/>
      <c r="R21" s="814"/>
      <c r="S21" s="813"/>
      <c r="T21" s="812">
        <v>302653.33734939754</v>
      </c>
      <c r="V21" s="798" t="s">
        <v>318</v>
      </c>
      <c r="W21" s="811"/>
      <c r="X21" s="811"/>
      <c r="Y21" s="811"/>
      <c r="Z21" s="809">
        <v>28513.516791044774</v>
      </c>
      <c r="AE21" s="798" t="s">
        <v>318</v>
      </c>
      <c r="AF21" s="811"/>
      <c r="AG21" s="811"/>
      <c r="AH21" s="811"/>
      <c r="AI21" s="809">
        <v>51290.264303482596</v>
      </c>
    </row>
    <row r="22" spans="1:35" ht="15.75" thickBot="1">
      <c r="F22" s="898"/>
      <c r="G22" s="808" t="s">
        <v>205</v>
      </c>
      <c r="H22" s="807">
        <v>2.3181925158860972E-2</v>
      </c>
      <c r="I22" s="806"/>
      <c r="J22" s="806"/>
      <c r="K22" s="805">
        <v>3726.2147722203295</v>
      </c>
      <c r="P22" s="798" t="s">
        <v>318</v>
      </c>
      <c r="Q22" s="811"/>
      <c r="R22" s="811"/>
      <c r="S22" s="810"/>
      <c r="T22" s="809">
        <v>25221.111445783128</v>
      </c>
      <c r="V22" s="808" t="s">
        <v>205</v>
      </c>
      <c r="W22" s="807">
        <v>2.3181925158860972E-2</v>
      </c>
      <c r="X22" s="806"/>
      <c r="Y22" s="806"/>
      <c r="Z22" s="805">
        <v>29174.515003310698</v>
      </c>
      <c r="AE22" s="808" t="s">
        <v>205</v>
      </c>
      <c r="AF22" s="807">
        <v>2.3181925158860972E-2</v>
      </c>
      <c r="AG22" s="806"/>
      <c r="AH22" s="806"/>
      <c r="AI22" s="805">
        <v>52479</v>
      </c>
    </row>
    <row r="23" spans="1:35" ht="15.75" thickBot="1">
      <c r="F23" s="898"/>
      <c r="G23" s="794" t="s">
        <v>357</v>
      </c>
      <c r="H23" s="794"/>
      <c r="I23" s="794"/>
      <c r="J23" s="794"/>
      <c r="K23" s="799">
        <v>44714.577266643952</v>
      </c>
      <c r="P23" s="804" t="s">
        <v>346</v>
      </c>
      <c r="Q23" s="803">
        <v>2.3199999999999998E-2</v>
      </c>
      <c r="R23" s="802" t="s">
        <v>347</v>
      </c>
      <c r="S23" s="801"/>
      <c r="T23" s="800">
        <v>25806.241231325301</v>
      </c>
      <c r="V23" s="794" t="s">
        <v>357</v>
      </c>
      <c r="W23" s="794"/>
      <c r="X23" s="794"/>
      <c r="Y23" s="794"/>
      <c r="Z23" s="799">
        <v>350094.18003972841</v>
      </c>
      <c r="AE23" s="794" t="s">
        <v>327</v>
      </c>
      <c r="AF23" s="793">
        <v>4.1911189358372423E-2</v>
      </c>
      <c r="AG23" s="794"/>
      <c r="AI23" s="792">
        <v>54678.457306338023</v>
      </c>
    </row>
    <row r="24" spans="1:35" ht="15.75" thickBot="1">
      <c r="F24" s="898"/>
      <c r="G24" s="794" t="s">
        <v>499</v>
      </c>
      <c r="H24" s="793">
        <f>$B$1</f>
        <v>4.1911189358372423E-2</v>
      </c>
      <c r="I24" s="794"/>
      <c r="J24" s="794"/>
      <c r="K24" s="792">
        <f>K22*(1+$B$1)</f>
        <v>3882.3848651288199</v>
      </c>
      <c r="P24" s="798" t="s">
        <v>348</v>
      </c>
      <c r="Q24" s="797"/>
      <c r="R24" s="797"/>
      <c r="S24" s="796"/>
      <c r="T24" s="795">
        <v>309674.89477590361</v>
      </c>
      <c r="V24" s="794" t="s">
        <v>499</v>
      </c>
      <c r="W24" s="793">
        <f>B1</f>
        <v>4.1911189358372423E-2</v>
      </c>
      <c r="X24" s="793"/>
      <c r="Y24" s="794"/>
      <c r="Z24" s="792">
        <f>Z22*(1+$B$1)+0.51</f>
        <v>30397.763626053125</v>
      </c>
      <c r="AA24" s="799"/>
    </row>
    <row r="25" spans="1:35" ht="15" customHeight="1">
      <c r="F25" s="898"/>
      <c r="G25" s="794"/>
      <c r="H25" s="794"/>
      <c r="I25" s="794"/>
      <c r="J25" s="794"/>
      <c r="S25" s="788"/>
    </row>
    <row r="26" spans="1:35" ht="27" customHeight="1" thickBot="1">
      <c r="F26" s="898"/>
      <c r="S26" s="788"/>
    </row>
    <row r="27" spans="1:35" ht="18" customHeight="1">
      <c r="A27" s="3145" t="s">
        <v>489</v>
      </c>
      <c r="B27" s="3146"/>
      <c r="C27" s="3146"/>
      <c r="D27" s="3146"/>
      <c r="E27" s="3147"/>
      <c r="F27" s="898"/>
      <c r="G27" s="3142" t="s">
        <v>356</v>
      </c>
      <c r="H27" s="3143"/>
      <c r="I27" s="3143"/>
      <c r="J27" s="3143"/>
      <c r="K27" s="3144"/>
      <c r="P27" s="3145" t="s">
        <v>353</v>
      </c>
      <c r="Q27" s="3146"/>
      <c r="R27" s="3146"/>
      <c r="S27" s="3146"/>
      <c r="T27" s="3147"/>
      <c r="V27" s="3142" t="s">
        <v>483</v>
      </c>
      <c r="W27" s="3143"/>
      <c r="X27" s="3143"/>
      <c r="Y27" s="3143"/>
      <c r="Z27" s="3144"/>
      <c r="AE27" s="3142" t="s">
        <v>320</v>
      </c>
      <c r="AF27" s="3143"/>
      <c r="AG27" s="3143"/>
      <c r="AH27" s="3143"/>
      <c r="AI27" s="3144"/>
    </row>
    <row r="28" spans="1:35" ht="26.25" customHeight="1">
      <c r="A28" s="832"/>
      <c r="B28" s="879" t="s">
        <v>341</v>
      </c>
      <c r="C28" s="830" t="s">
        <v>342</v>
      </c>
      <c r="D28" s="829" t="s">
        <v>190</v>
      </c>
      <c r="E28" s="842" t="s">
        <v>343</v>
      </c>
      <c r="F28" s="898"/>
      <c r="G28" s="832"/>
      <c r="H28" s="879" t="s">
        <v>311</v>
      </c>
      <c r="I28" s="830" t="s">
        <v>342</v>
      </c>
      <c r="J28" s="858" t="s">
        <v>190</v>
      </c>
      <c r="K28" s="842" t="s">
        <v>343</v>
      </c>
      <c r="P28" s="832"/>
      <c r="Q28" s="879" t="s">
        <v>341</v>
      </c>
      <c r="R28" s="830" t="s">
        <v>342</v>
      </c>
      <c r="S28" s="829" t="s">
        <v>190</v>
      </c>
      <c r="T28" s="842" t="s">
        <v>343</v>
      </c>
      <c r="V28" s="832"/>
      <c r="W28" s="879" t="s">
        <v>311</v>
      </c>
      <c r="X28" s="830" t="s">
        <v>342</v>
      </c>
      <c r="Y28" s="858" t="s">
        <v>190</v>
      </c>
      <c r="Z28" s="842" t="s">
        <v>343</v>
      </c>
      <c r="AE28" s="832"/>
      <c r="AF28" s="879" t="s">
        <v>311</v>
      </c>
      <c r="AG28" s="830" t="s">
        <v>209</v>
      </c>
      <c r="AH28" s="858" t="s">
        <v>190</v>
      </c>
      <c r="AI28" s="842" t="s">
        <v>210</v>
      </c>
    </row>
    <row r="29" spans="1:35">
      <c r="A29" s="878" t="s">
        <v>312</v>
      </c>
      <c r="B29" s="840"/>
      <c r="C29" s="871">
        <v>50000</v>
      </c>
      <c r="D29" s="876">
        <v>0.08</v>
      </c>
      <c r="E29" s="818">
        <f>C29*D29</f>
        <v>4000</v>
      </c>
      <c r="F29" s="898"/>
      <c r="G29" s="15" t="s">
        <v>312</v>
      </c>
      <c r="H29" s="16"/>
      <c r="I29" s="871">
        <v>50000</v>
      </c>
      <c r="J29" s="877">
        <v>0.16</v>
      </c>
      <c r="K29" s="17">
        <v>8000</v>
      </c>
      <c r="P29" s="878" t="s">
        <v>312</v>
      </c>
      <c r="Q29" s="840"/>
      <c r="R29" s="840">
        <v>50000</v>
      </c>
      <c r="S29" s="876">
        <v>0.4</v>
      </c>
      <c r="T29" s="818">
        <v>20000</v>
      </c>
      <c r="V29" s="15" t="s">
        <v>312</v>
      </c>
      <c r="W29" s="16"/>
      <c r="X29" s="871">
        <v>50000</v>
      </c>
      <c r="Y29" s="877">
        <v>0.52</v>
      </c>
      <c r="Z29" s="17">
        <v>26000</v>
      </c>
      <c r="AE29" s="15" t="s">
        <v>312</v>
      </c>
      <c r="AF29" s="16"/>
      <c r="AG29" s="871">
        <v>50000</v>
      </c>
      <c r="AH29" s="876">
        <v>0.80999999999999994</v>
      </c>
      <c r="AI29" s="17">
        <v>40500</v>
      </c>
    </row>
    <row r="30" spans="1:35">
      <c r="A30" s="875" t="s">
        <v>192</v>
      </c>
      <c r="B30" s="874"/>
      <c r="C30" s="871">
        <v>39000</v>
      </c>
      <c r="D30" s="839">
        <v>1</v>
      </c>
      <c r="E30" s="872">
        <f>C30*D30</f>
        <v>39000</v>
      </c>
      <c r="G30" s="18" t="s">
        <v>192</v>
      </c>
      <c r="H30" s="749"/>
      <c r="I30" s="871">
        <v>40000</v>
      </c>
      <c r="J30" s="870">
        <v>1</v>
      </c>
      <c r="K30" s="48">
        <v>40000</v>
      </c>
      <c r="P30" s="875" t="s">
        <v>192</v>
      </c>
      <c r="Q30" s="874"/>
      <c r="R30" s="840">
        <v>39000</v>
      </c>
      <c r="S30" s="873">
        <v>5</v>
      </c>
      <c r="T30" s="872">
        <v>195000</v>
      </c>
      <c r="V30" s="18" t="s">
        <v>192</v>
      </c>
      <c r="W30" s="749"/>
      <c r="X30" s="871">
        <v>40000</v>
      </c>
      <c r="Y30" s="870">
        <v>5</v>
      </c>
      <c r="Z30" s="48">
        <v>200000</v>
      </c>
      <c r="AE30" s="18" t="s">
        <v>192</v>
      </c>
      <c r="AF30" s="749"/>
      <c r="AG30" s="871">
        <v>40000</v>
      </c>
      <c r="AH30" s="870">
        <v>9</v>
      </c>
      <c r="AI30" s="48">
        <v>360000</v>
      </c>
    </row>
    <row r="31" spans="1:35">
      <c r="A31" s="868" t="s">
        <v>194</v>
      </c>
      <c r="B31" s="867"/>
      <c r="C31" s="866"/>
      <c r="D31" s="865">
        <f>SUM(D29+D30)</f>
        <v>1.08</v>
      </c>
      <c r="E31" s="864">
        <f>SUM(E29:E30)</f>
        <v>43000</v>
      </c>
      <c r="G31" s="868" t="s">
        <v>194</v>
      </c>
      <c r="H31" s="867"/>
      <c r="I31" s="866"/>
      <c r="J31" s="865"/>
      <c r="K31" s="864">
        <v>48000</v>
      </c>
      <c r="P31" s="868" t="s">
        <v>194</v>
      </c>
      <c r="Q31" s="867"/>
      <c r="R31" s="866"/>
      <c r="S31" s="869">
        <v>5.4</v>
      </c>
      <c r="T31" s="823">
        <v>215000</v>
      </c>
      <c r="V31" s="868" t="s">
        <v>194</v>
      </c>
      <c r="W31" s="867"/>
      <c r="X31" s="866"/>
      <c r="Y31" s="865">
        <v>5.52</v>
      </c>
      <c r="Z31" s="864">
        <v>226000</v>
      </c>
      <c r="AE31" s="868" t="s">
        <v>194</v>
      </c>
      <c r="AF31" s="867"/>
      <c r="AG31" s="866"/>
      <c r="AH31" s="865">
        <v>9.81</v>
      </c>
      <c r="AI31" s="864">
        <v>400500</v>
      </c>
    </row>
    <row r="32" spans="1:35">
      <c r="A32" s="863"/>
      <c r="B32" s="862"/>
      <c r="C32" s="861"/>
      <c r="D32" s="860"/>
      <c r="E32" s="828"/>
      <c r="G32" s="863"/>
      <c r="H32" s="862"/>
      <c r="I32" s="861"/>
      <c r="J32" s="860"/>
      <c r="K32" s="828"/>
      <c r="P32" s="863"/>
      <c r="Q32" s="862"/>
      <c r="R32" s="861"/>
      <c r="S32" s="860"/>
      <c r="T32" s="828"/>
      <c r="V32" s="863"/>
      <c r="W32" s="862"/>
      <c r="X32" s="861"/>
      <c r="Y32" s="860"/>
      <c r="Z32" s="828"/>
      <c r="AE32" s="863"/>
      <c r="AF32" s="862"/>
      <c r="AG32" s="861"/>
      <c r="AH32" s="860"/>
      <c r="AI32" s="828"/>
    </row>
    <row r="33" spans="1:35">
      <c r="A33" s="832" t="s">
        <v>195</v>
      </c>
      <c r="B33" s="859"/>
      <c r="C33" s="830"/>
      <c r="D33" s="829"/>
      <c r="E33" s="842"/>
      <c r="G33" s="832" t="s">
        <v>195</v>
      </c>
      <c r="H33" s="859"/>
      <c r="I33" s="830"/>
      <c r="J33" s="858"/>
      <c r="K33" s="842"/>
      <c r="P33" s="832" t="s">
        <v>195</v>
      </c>
      <c r="Q33" s="859"/>
      <c r="R33" s="830"/>
      <c r="S33" s="829"/>
      <c r="T33" s="842"/>
      <c r="V33" s="832" t="s">
        <v>195</v>
      </c>
      <c r="W33" s="859"/>
      <c r="X33" s="830"/>
      <c r="Y33" s="858"/>
      <c r="Z33" s="842"/>
      <c r="AE33" s="832" t="s">
        <v>195</v>
      </c>
      <c r="AF33" s="859"/>
      <c r="AG33" s="830"/>
      <c r="AH33" s="858"/>
      <c r="AI33" s="842"/>
    </row>
    <row r="34" spans="1:35" ht="30">
      <c r="A34" s="822" t="s">
        <v>196</v>
      </c>
      <c r="B34" s="855">
        <v>0.22</v>
      </c>
      <c r="C34" s="854" t="s">
        <v>197</v>
      </c>
      <c r="D34" s="856"/>
      <c r="E34" s="818">
        <f>E31*0.22</f>
        <v>9460</v>
      </c>
      <c r="G34" s="822" t="s">
        <v>196</v>
      </c>
      <c r="H34" s="855">
        <v>0.22</v>
      </c>
      <c r="I34" s="854" t="s">
        <v>197</v>
      </c>
      <c r="J34" s="853"/>
      <c r="K34" s="818">
        <v>10560</v>
      </c>
      <c r="P34" s="822" t="s">
        <v>196</v>
      </c>
      <c r="Q34" s="857">
        <v>0.22</v>
      </c>
      <c r="R34" s="854" t="s">
        <v>197</v>
      </c>
      <c r="S34" s="856"/>
      <c r="T34" s="818">
        <v>47300</v>
      </c>
      <c r="V34" s="822" t="s">
        <v>196</v>
      </c>
      <c r="W34" s="855">
        <v>0.22</v>
      </c>
      <c r="X34" s="854" t="s">
        <v>197</v>
      </c>
      <c r="Y34" s="853"/>
      <c r="Z34" s="818">
        <v>49720</v>
      </c>
      <c r="AE34" s="822" t="s">
        <v>196</v>
      </c>
      <c r="AF34" s="855">
        <v>0.22</v>
      </c>
      <c r="AG34" s="854" t="s">
        <v>197</v>
      </c>
      <c r="AH34" s="853"/>
      <c r="AI34" s="818">
        <v>88110</v>
      </c>
    </row>
    <row r="35" spans="1:35">
      <c r="A35" s="852" t="s">
        <v>198</v>
      </c>
      <c r="B35" s="892">
        <f>E35/E41</f>
        <v>0.84186539140482075</v>
      </c>
      <c r="C35" s="850"/>
      <c r="D35" s="849"/>
      <c r="E35" s="845">
        <f>E31+E34</f>
        <v>52460</v>
      </c>
      <c r="G35" s="787" t="s">
        <v>198</v>
      </c>
      <c r="H35" s="848">
        <v>0.67</v>
      </c>
      <c r="I35" s="847"/>
      <c r="J35" s="846"/>
      <c r="K35" s="845">
        <v>58560</v>
      </c>
      <c r="P35" s="852" t="s">
        <v>198</v>
      </c>
      <c r="Q35" s="851">
        <v>0.85991711642251356</v>
      </c>
      <c r="R35" s="850"/>
      <c r="S35" s="849"/>
      <c r="T35" s="885">
        <v>262300</v>
      </c>
      <c r="V35" s="787" t="s">
        <v>198</v>
      </c>
      <c r="W35" s="848">
        <v>0.73199265203519293</v>
      </c>
      <c r="X35" s="847"/>
      <c r="Y35" s="846"/>
      <c r="Z35" s="845">
        <v>275720</v>
      </c>
      <c r="AE35" s="787" t="s">
        <v>198</v>
      </c>
      <c r="AF35" s="848">
        <v>0.75490568426383098</v>
      </c>
      <c r="AG35" s="847"/>
      <c r="AH35" s="846"/>
      <c r="AI35" s="845">
        <v>488610</v>
      </c>
    </row>
    <row r="36" spans="1:35">
      <c r="A36" s="844"/>
      <c r="B36" s="843"/>
      <c r="C36" s="840"/>
      <c r="D36" s="819"/>
      <c r="E36" s="818"/>
      <c r="G36" s="29"/>
      <c r="H36" s="30"/>
      <c r="I36" s="16"/>
      <c r="J36" s="841"/>
      <c r="K36" s="17"/>
      <c r="P36" s="844"/>
      <c r="Q36" s="843"/>
      <c r="R36" s="840"/>
      <c r="S36" s="839"/>
      <c r="T36" s="842"/>
      <c r="V36" s="29"/>
      <c r="W36" s="30"/>
      <c r="X36" s="16"/>
      <c r="Y36" s="841"/>
      <c r="Z36" s="17"/>
      <c r="AE36" s="29"/>
      <c r="AF36" s="30"/>
      <c r="AG36" s="16"/>
      <c r="AH36" s="841"/>
      <c r="AI36" s="17"/>
    </row>
    <row r="37" spans="1:35">
      <c r="A37" s="822" t="s">
        <v>313</v>
      </c>
      <c r="B37" s="821">
        <f>E37/E41</f>
        <v>6.0821003305838173E-2</v>
      </c>
      <c r="C37" s="840"/>
      <c r="D37" s="893"/>
      <c r="E37" s="818">
        <v>3790</v>
      </c>
      <c r="G37" s="835" t="s">
        <v>313</v>
      </c>
      <c r="H37" s="821">
        <v>0.1</v>
      </c>
      <c r="I37" s="16"/>
      <c r="J37" s="838"/>
      <c r="K37" s="17">
        <v>8740.2985074626868</v>
      </c>
      <c r="P37" s="822" t="s">
        <v>313</v>
      </c>
      <c r="Q37" s="884">
        <v>5.7681187355435634E-2</v>
      </c>
      <c r="R37" s="840"/>
      <c r="S37" s="839"/>
      <c r="T37" s="818">
        <v>17594.457831325304</v>
      </c>
      <c r="V37" s="835" t="s">
        <v>313</v>
      </c>
      <c r="W37" s="821">
        <v>8.1214347868123371E-2</v>
      </c>
      <c r="X37" s="16"/>
      <c r="Y37" s="838"/>
      <c r="Z37" s="17">
        <v>30591.044776119405</v>
      </c>
      <c r="AE37" s="835" t="s">
        <v>313</v>
      </c>
      <c r="AF37" s="821">
        <v>7.4271004768536111E-2</v>
      </c>
      <c r="AG37" s="16"/>
      <c r="AH37" s="838"/>
      <c r="AI37" s="17">
        <v>48071.641791044778</v>
      </c>
    </row>
    <row r="38" spans="1:35">
      <c r="A38" s="822" t="s">
        <v>314</v>
      </c>
      <c r="B38" s="821">
        <f>E38/E41</f>
        <v>6.0821003305838173E-2</v>
      </c>
      <c r="C38" s="840"/>
      <c r="D38" s="893"/>
      <c r="E38" s="818">
        <v>3790</v>
      </c>
      <c r="G38" s="822" t="s">
        <v>314</v>
      </c>
      <c r="H38" s="821">
        <v>0.09</v>
      </c>
      <c r="I38" s="16"/>
      <c r="J38" s="838"/>
      <c r="K38" s="17">
        <v>7866.2686567164174</v>
      </c>
      <c r="P38" s="822" t="s">
        <v>314</v>
      </c>
      <c r="Q38" s="884">
        <v>6.5921356977640719E-2</v>
      </c>
      <c r="R38" s="840"/>
      <c r="S38" s="839"/>
      <c r="T38" s="818">
        <v>20107.951807228917</v>
      </c>
      <c r="V38" s="822" t="s">
        <v>314</v>
      </c>
      <c r="W38" s="821">
        <v>7.3092913081311037E-2</v>
      </c>
      <c r="X38" s="16"/>
      <c r="Y38" s="838"/>
      <c r="Z38" s="17">
        <v>27531.940298507463</v>
      </c>
      <c r="AE38" s="822" t="s">
        <v>314</v>
      </c>
      <c r="AF38" s="821">
        <v>6.6843904291682493E-2</v>
      </c>
      <c r="AG38" s="16"/>
      <c r="AH38" s="838"/>
      <c r="AI38" s="17">
        <v>43264.477611940296</v>
      </c>
    </row>
    <row r="39" spans="1:35">
      <c r="A39" s="822" t="s">
        <v>344</v>
      </c>
      <c r="B39" s="821">
        <f>E39/E41</f>
        <v>3.6492601983502904E-2</v>
      </c>
      <c r="C39" s="840"/>
      <c r="D39" s="893"/>
      <c r="E39" s="818">
        <v>2274</v>
      </c>
      <c r="G39" s="822" t="s">
        <v>344</v>
      </c>
      <c r="H39" s="821">
        <v>0.03</v>
      </c>
      <c r="I39" s="16"/>
      <c r="J39" s="838"/>
      <c r="K39" s="17">
        <v>2622.0895522388059</v>
      </c>
      <c r="P39" s="822" t="s">
        <v>344</v>
      </c>
      <c r="Q39" s="884">
        <v>1.648033924441018E-2</v>
      </c>
      <c r="R39" s="840"/>
      <c r="S39" s="839"/>
      <c r="T39" s="818">
        <v>5026.9879518072294</v>
      </c>
      <c r="V39" s="822" t="s">
        <v>344</v>
      </c>
      <c r="W39" s="821">
        <v>2.436430436043701E-2</v>
      </c>
      <c r="X39" s="16"/>
      <c r="Y39" s="838"/>
      <c r="Z39" s="17">
        <v>9177.313432835821</v>
      </c>
      <c r="AE39" s="822" t="s">
        <v>239</v>
      </c>
      <c r="AF39" s="821">
        <v>2.228130143056083E-2</v>
      </c>
      <c r="AG39" s="16"/>
      <c r="AH39" s="838"/>
      <c r="AI39" s="17">
        <v>14421.492537313432</v>
      </c>
    </row>
    <row r="40" spans="1:35" ht="30">
      <c r="A40" s="827" t="s">
        <v>317</v>
      </c>
      <c r="B40" s="826">
        <f>SUM(B37:B39)</f>
        <v>0.15813460859517925</v>
      </c>
      <c r="C40" s="825"/>
      <c r="D40" s="897"/>
      <c r="E40" s="818">
        <f>SUM(E37:E39)</f>
        <v>9854</v>
      </c>
      <c r="G40" s="835" t="s">
        <v>315</v>
      </c>
      <c r="H40" s="386">
        <v>0.11</v>
      </c>
      <c r="I40" s="834">
        <v>0.12359550561797752</v>
      </c>
      <c r="J40" s="833" t="s">
        <v>316</v>
      </c>
      <c r="K40" s="17">
        <v>9614.3283582089553</v>
      </c>
      <c r="P40" s="827" t="s">
        <v>317</v>
      </c>
      <c r="Q40" s="883">
        <v>0.14008288357748652</v>
      </c>
      <c r="R40" s="825"/>
      <c r="S40" s="836"/>
      <c r="T40" s="882">
        <v>42729.397590361448</v>
      </c>
      <c r="V40" s="835" t="s">
        <v>315</v>
      </c>
      <c r="W40" s="386">
        <v>8.9335782654935719E-2</v>
      </c>
      <c r="X40" s="834">
        <v>9.8099585943306103E-2</v>
      </c>
      <c r="Y40" s="833" t="s">
        <v>316</v>
      </c>
      <c r="Z40" s="17">
        <v>33650.149253731346</v>
      </c>
      <c r="AE40" s="835" t="s">
        <v>315</v>
      </c>
      <c r="AF40" s="386">
        <v>8.1698105245389729E-2</v>
      </c>
      <c r="AG40" s="834">
        <v>8.8966499701300508E-2</v>
      </c>
      <c r="AH40" s="833" t="s">
        <v>316</v>
      </c>
      <c r="AI40" s="17">
        <v>52878.80597014926</v>
      </c>
    </row>
    <row r="41" spans="1:35">
      <c r="A41" s="832" t="s">
        <v>345</v>
      </c>
      <c r="B41" s="896"/>
      <c r="C41" s="830"/>
      <c r="D41" s="893"/>
      <c r="E41" s="895">
        <f>SUM(E35+E40)</f>
        <v>62314</v>
      </c>
      <c r="G41" s="827" t="s">
        <v>317</v>
      </c>
      <c r="H41" s="826">
        <v>0.33</v>
      </c>
      <c r="I41" s="825"/>
      <c r="J41" s="824"/>
      <c r="K41" s="823">
        <v>28842.985074626864</v>
      </c>
      <c r="P41" s="832" t="s">
        <v>345</v>
      </c>
      <c r="Q41" s="831"/>
      <c r="R41" s="830"/>
      <c r="S41" s="829"/>
      <c r="T41" s="828">
        <v>305029.39759036142</v>
      </c>
      <c r="V41" s="827" t="s">
        <v>317</v>
      </c>
      <c r="W41" s="826">
        <v>0.26800734796480719</v>
      </c>
      <c r="X41" s="825"/>
      <c r="Y41" s="824"/>
      <c r="Z41" s="823">
        <v>100950.44776119404</v>
      </c>
      <c r="AE41" s="827" t="s">
        <v>317</v>
      </c>
      <c r="AF41" s="826">
        <v>0.24509431573616919</v>
      </c>
      <c r="AG41" s="825"/>
      <c r="AH41" s="824"/>
      <c r="AI41" s="823">
        <v>158636.41791044775</v>
      </c>
    </row>
    <row r="42" spans="1:35" ht="15.75" thickBot="1">
      <c r="A42" s="822" t="s">
        <v>315</v>
      </c>
      <c r="B42" s="894">
        <v>0.1</v>
      </c>
      <c r="C42" s="820"/>
      <c r="D42" s="893"/>
      <c r="E42" s="818">
        <f>B42*E41</f>
        <v>6231.4000000000005</v>
      </c>
      <c r="G42" s="816" t="s">
        <v>203</v>
      </c>
      <c r="H42" s="815"/>
      <c r="I42" s="814"/>
      <c r="J42" s="813"/>
      <c r="K42" s="817">
        <v>87402.985074626864</v>
      </c>
      <c r="P42" s="822" t="s">
        <v>315</v>
      </c>
      <c r="Q42" s="821">
        <v>0.1</v>
      </c>
      <c r="R42" s="820"/>
      <c r="S42" s="819"/>
      <c r="T42" s="881">
        <v>30502.939759036144</v>
      </c>
      <c r="V42" s="816" t="s">
        <v>203</v>
      </c>
      <c r="W42" s="815"/>
      <c r="X42" s="814"/>
      <c r="Y42" s="813"/>
      <c r="Z42" s="817">
        <v>376670.44776119402</v>
      </c>
      <c r="AE42" s="816" t="s">
        <v>203</v>
      </c>
      <c r="AF42" s="815"/>
      <c r="AG42" s="814"/>
      <c r="AH42" s="813"/>
      <c r="AI42" s="817">
        <v>647246.41791044769</v>
      </c>
    </row>
    <row r="43" spans="1:35" ht="16.5" thickTop="1" thickBot="1">
      <c r="A43" s="816" t="s">
        <v>203</v>
      </c>
      <c r="B43" s="815"/>
      <c r="C43" s="814"/>
      <c r="D43" s="813"/>
      <c r="E43" s="817">
        <f>E41+E42</f>
        <v>68545.399999999994</v>
      </c>
      <c r="G43" s="798" t="s">
        <v>318</v>
      </c>
      <c r="H43" s="811"/>
      <c r="I43" s="811"/>
      <c r="J43" s="811"/>
      <c r="K43" s="809">
        <v>7283.5820895522384</v>
      </c>
      <c r="P43" s="816" t="s">
        <v>203</v>
      </c>
      <c r="Q43" s="815"/>
      <c r="R43" s="814"/>
      <c r="S43" s="813"/>
      <c r="T43" s="812">
        <v>335532.33734939754</v>
      </c>
      <c r="V43" s="798" t="s">
        <v>318</v>
      </c>
      <c r="W43" s="811"/>
      <c r="X43" s="811"/>
      <c r="Y43" s="811"/>
      <c r="Z43" s="809">
        <v>31389.203980099501</v>
      </c>
      <c r="AE43" s="798" t="s">
        <v>318</v>
      </c>
      <c r="AF43" s="811"/>
      <c r="AG43" s="811"/>
      <c r="AH43" s="811"/>
      <c r="AI43" s="809">
        <v>53937.201492537301</v>
      </c>
    </row>
    <row r="44" spans="1:35" ht="16.5" thickTop="1" thickBot="1">
      <c r="A44" s="798" t="s">
        <v>318</v>
      </c>
      <c r="B44" s="811"/>
      <c r="C44" s="811"/>
      <c r="D44" s="810"/>
      <c r="E44" s="809">
        <f>E43/12</f>
        <v>5712.1166666666659</v>
      </c>
      <c r="G44" s="808" t="s">
        <v>205</v>
      </c>
      <c r="H44" s="807">
        <v>2.3181925158860972E-2</v>
      </c>
      <c r="I44" s="806"/>
      <c r="J44" s="806"/>
      <c r="K44" s="805">
        <v>7452.4295444406589</v>
      </c>
      <c r="P44" s="798" t="s">
        <v>318</v>
      </c>
      <c r="Q44" s="811"/>
      <c r="R44" s="811"/>
      <c r="S44" s="810"/>
      <c r="T44" s="809">
        <v>27961.028112449796</v>
      </c>
      <c r="V44" s="808" t="s">
        <v>205</v>
      </c>
      <c r="W44" s="807">
        <v>2.3181925158860972E-2</v>
      </c>
      <c r="X44" s="806"/>
      <c r="Y44" s="806"/>
      <c r="Z44" s="805">
        <v>32116.866157562388</v>
      </c>
      <c r="AE44" s="808" t="s">
        <v>205</v>
      </c>
      <c r="AF44" s="807">
        <v>2.3181925158860972E-2</v>
      </c>
      <c r="AG44" s="806"/>
      <c r="AH44" s="806"/>
      <c r="AI44" s="805">
        <v>55187.999660815702</v>
      </c>
    </row>
    <row r="45" spans="1:35" ht="15.75" thickBot="1">
      <c r="A45" s="891" t="s">
        <v>346</v>
      </c>
      <c r="B45" s="890">
        <v>2.3199999999999998E-2</v>
      </c>
      <c r="C45" s="880" t="s">
        <v>347</v>
      </c>
      <c r="D45" s="829"/>
      <c r="E45" s="889">
        <f>E44*(1+B45)</f>
        <v>5844.6377733333329</v>
      </c>
      <c r="G45" s="794" t="s">
        <v>357</v>
      </c>
      <c r="H45" s="794"/>
      <c r="I45" s="794"/>
      <c r="J45" s="794"/>
      <c r="K45" s="799">
        <v>89429.154533287903</v>
      </c>
      <c r="P45" s="804" t="s">
        <v>346</v>
      </c>
      <c r="Q45" s="803">
        <v>2.3199999999999998E-2</v>
      </c>
      <c r="R45" s="802" t="s">
        <v>347</v>
      </c>
      <c r="S45" s="801"/>
      <c r="T45" s="800">
        <v>28609.723964658635</v>
      </c>
      <c r="V45" s="794" t="s">
        <v>357</v>
      </c>
      <c r="W45" s="794"/>
      <c r="X45" s="794"/>
      <c r="Y45" s="794"/>
      <c r="Z45" s="799">
        <v>385402.39389074867</v>
      </c>
      <c r="AE45" s="794" t="s">
        <v>327</v>
      </c>
      <c r="AF45" s="793">
        <v>4.1911189358372423E-2</v>
      </c>
      <c r="AG45" s="794"/>
      <c r="AI45" s="792">
        <v>57500.994364909944</v>
      </c>
    </row>
    <row r="46" spans="1:35" ht="15" customHeight="1" thickBot="1">
      <c r="A46" s="798" t="s">
        <v>348</v>
      </c>
      <c r="B46" s="797"/>
      <c r="C46" s="797"/>
      <c r="D46" s="796"/>
      <c r="E46" s="795">
        <f>E45*12</f>
        <v>70135.653279999999</v>
      </c>
      <c r="G46" s="794" t="s">
        <v>499</v>
      </c>
      <c r="H46" s="793">
        <f>$B$1</f>
        <v>4.1911189358372423E-2</v>
      </c>
      <c r="I46" s="794"/>
      <c r="K46" s="792">
        <f>K44*(1+$B$1)</f>
        <v>7764.7697302576398</v>
      </c>
      <c r="P46" s="798" t="s">
        <v>348</v>
      </c>
      <c r="Q46" s="797"/>
      <c r="R46" s="797"/>
      <c r="S46" s="796"/>
      <c r="T46" s="795">
        <v>343316.6875759036</v>
      </c>
      <c r="V46" s="794" t="s">
        <v>499</v>
      </c>
      <c r="W46" s="793">
        <f>$B$1</f>
        <v>4.1911189358372423E-2</v>
      </c>
      <c r="X46" s="794"/>
      <c r="Z46" s="792">
        <f>Z44*(1+$B$1)+0.14</f>
        <v>33463.062216689483</v>
      </c>
    </row>
    <row r="47" spans="1:35" ht="15" customHeight="1">
      <c r="A47" s="880"/>
      <c r="B47" s="843"/>
      <c r="C47" s="843"/>
      <c r="D47" s="819"/>
      <c r="E47" s="799"/>
      <c r="P47" s="880"/>
      <c r="Q47" s="843"/>
      <c r="R47" s="843"/>
      <c r="S47" s="819"/>
      <c r="T47" s="799"/>
    </row>
    <row r="48" spans="1:35" ht="15.75" thickBot="1">
      <c r="A48" s="843"/>
      <c r="B48" s="843"/>
      <c r="C48" s="843"/>
      <c r="D48" s="819"/>
      <c r="E48" s="843"/>
      <c r="S48" s="788"/>
    </row>
    <row r="49" spans="1:35">
      <c r="A49" s="3145" t="s">
        <v>490</v>
      </c>
      <c r="B49" s="3146"/>
      <c r="C49" s="3146"/>
      <c r="D49" s="3146"/>
      <c r="E49" s="3147"/>
      <c r="G49" s="3142" t="s">
        <v>358</v>
      </c>
      <c r="H49" s="3143"/>
      <c r="I49" s="3143"/>
      <c r="J49" s="3143"/>
      <c r="K49" s="3144"/>
      <c r="P49" s="3145" t="s">
        <v>493</v>
      </c>
      <c r="Q49" s="3146"/>
      <c r="R49" s="3146"/>
      <c r="S49" s="3146"/>
      <c r="T49" s="3147"/>
      <c r="V49" s="3142" t="s">
        <v>484</v>
      </c>
      <c r="W49" s="3143"/>
      <c r="X49" s="3143"/>
      <c r="Y49" s="3143"/>
      <c r="Z49" s="3144"/>
      <c r="AA49" s="789"/>
      <c r="AE49" s="3142" t="s">
        <v>321</v>
      </c>
      <c r="AF49" s="3143"/>
      <c r="AG49" s="3143"/>
      <c r="AH49" s="3143"/>
      <c r="AI49" s="3144"/>
    </row>
    <row r="50" spans="1:35" ht="32.25" customHeight="1">
      <c r="A50" s="832"/>
      <c r="B50" s="879" t="s">
        <v>341</v>
      </c>
      <c r="C50" s="830" t="s">
        <v>342</v>
      </c>
      <c r="D50" s="829" t="s">
        <v>190</v>
      </c>
      <c r="E50" s="842" t="s">
        <v>343</v>
      </c>
      <c r="F50" s="898"/>
      <c r="G50" s="832"/>
      <c r="H50" s="879" t="s">
        <v>311</v>
      </c>
      <c r="I50" s="830" t="s">
        <v>342</v>
      </c>
      <c r="J50" s="858" t="s">
        <v>190</v>
      </c>
      <c r="K50" s="842" t="s">
        <v>343</v>
      </c>
      <c r="P50" s="832"/>
      <c r="Q50" s="879" t="s">
        <v>341</v>
      </c>
      <c r="R50" s="830" t="s">
        <v>342</v>
      </c>
      <c r="S50" s="829" t="s">
        <v>190</v>
      </c>
      <c r="T50" s="842" t="s">
        <v>343</v>
      </c>
      <c r="V50" s="832"/>
      <c r="W50" s="879" t="s">
        <v>311</v>
      </c>
      <c r="X50" s="830" t="s">
        <v>342</v>
      </c>
      <c r="Y50" s="858" t="s">
        <v>190</v>
      </c>
      <c r="Z50" s="842" t="s">
        <v>343</v>
      </c>
      <c r="AA50" s="887"/>
      <c r="AE50" s="832"/>
      <c r="AF50" s="879" t="s">
        <v>311</v>
      </c>
      <c r="AG50" s="830" t="s">
        <v>209</v>
      </c>
      <c r="AH50" s="858" t="s">
        <v>190</v>
      </c>
      <c r="AI50" s="842" t="s">
        <v>210</v>
      </c>
    </row>
    <row r="51" spans="1:35">
      <c r="A51" s="878" t="s">
        <v>312</v>
      </c>
      <c r="B51" s="840"/>
      <c r="C51" s="871">
        <v>50000</v>
      </c>
      <c r="D51" s="876">
        <v>0.12</v>
      </c>
      <c r="E51" s="818">
        <f>C51*D51</f>
        <v>6000</v>
      </c>
      <c r="F51" s="898"/>
      <c r="G51" s="15" t="s">
        <v>312</v>
      </c>
      <c r="H51" s="16"/>
      <c r="I51" s="871">
        <v>50000</v>
      </c>
      <c r="J51" s="877">
        <v>0.24</v>
      </c>
      <c r="K51" s="17">
        <v>12000</v>
      </c>
      <c r="P51" s="878" t="s">
        <v>312</v>
      </c>
      <c r="Q51" s="840"/>
      <c r="R51" s="871">
        <v>50000</v>
      </c>
      <c r="S51" s="876">
        <v>0.4</v>
      </c>
      <c r="T51" s="818">
        <v>20000</v>
      </c>
      <c r="V51" s="15" t="s">
        <v>312</v>
      </c>
      <c r="W51" s="16"/>
      <c r="X51" s="871">
        <v>50000</v>
      </c>
      <c r="Y51" s="877">
        <v>0.57199999999999995</v>
      </c>
      <c r="Z51" s="17">
        <v>28599.999999999996</v>
      </c>
      <c r="AA51" s="887"/>
      <c r="AE51" s="15" t="s">
        <v>312</v>
      </c>
      <c r="AF51" s="16"/>
      <c r="AG51" s="871">
        <v>50000</v>
      </c>
      <c r="AH51" s="876">
        <v>0.80750000000000011</v>
      </c>
      <c r="AI51" s="17">
        <v>40375.000000000007</v>
      </c>
    </row>
    <row r="52" spans="1:35">
      <c r="A52" s="875" t="s">
        <v>192</v>
      </c>
      <c r="B52" s="874"/>
      <c r="C52" s="871">
        <v>39000</v>
      </c>
      <c r="D52" s="839">
        <v>1.5</v>
      </c>
      <c r="E52" s="872">
        <f>C52*D52</f>
        <v>58500</v>
      </c>
      <c r="F52" s="843"/>
      <c r="G52" s="18" t="s">
        <v>192</v>
      </c>
      <c r="H52" s="749"/>
      <c r="I52" s="871">
        <v>40000</v>
      </c>
      <c r="J52" s="870">
        <v>1.5</v>
      </c>
      <c r="K52" s="48">
        <v>60000</v>
      </c>
      <c r="P52" s="875" t="s">
        <v>192</v>
      </c>
      <c r="Q52" s="874"/>
      <c r="R52" s="871">
        <v>39000</v>
      </c>
      <c r="S52" s="839">
        <v>5.5</v>
      </c>
      <c r="T52" s="872">
        <v>214500</v>
      </c>
      <c r="V52" s="18" t="s">
        <v>192</v>
      </c>
      <c r="W52" s="749"/>
      <c r="X52" s="871">
        <v>40000</v>
      </c>
      <c r="Y52" s="870">
        <v>5.5</v>
      </c>
      <c r="Z52" s="48">
        <v>220000</v>
      </c>
      <c r="AE52" s="18" t="s">
        <v>192</v>
      </c>
      <c r="AF52" s="749"/>
      <c r="AG52" s="871">
        <v>40000</v>
      </c>
      <c r="AH52" s="870">
        <v>9.5</v>
      </c>
      <c r="AI52" s="48">
        <v>380000</v>
      </c>
    </row>
    <row r="53" spans="1:35">
      <c r="A53" s="868" t="s">
        <v>194</v>
      </c>
      <c r="B53" s="867"/>
      <c r="C53" s="866"/>
      <c r="D53" s="865">
        <f>SUM(D51+D52)</f>
        <v>1.62</v>
      </c>
      <c r="E53" s="864">
        <f>SUM(E51:E52)</f>
        <v>64500</v>
      </c>
      <c r="F53" s="843"/>
      <c r="G53" s="868" t="s">
        <v>194</v>
      </c>
      <c r="H53" s="867"/>
      <c r="I53" s="866"/>
      <c r="J53" s="865"/>
      <c r="K53" s="864">
        <v>72000</v>
      </c>
      <c r="P53" s="868" t="s">
        <v>194</v>
      </c>
      <c r="Q53" s="867"/>
      <c r="R53" s="866"/>
      <c r="S53" s="865">
        <v>5.9</v>
      </c>
      <c r="T53" s="864">
        <v>234500</v>
      </c>
      <c r="V53" s="868" t="s">
        <v>194</v>
      </c>
      <c r="W53" s="867"/>
      <c r="X53" s="866"/>
      <c r="Y53" s="865">
        <v>6.0720000000000001</v>
      </c>
      <c r="Z53" s="864">
        <v>248600</v>
      </c>
      <c r="AE53" s="868" t="s">
        <v>194</v>
      </c>
      <c r="AF53" s="867"/>
      <c r="AG53" s="866"/>
      <c r="AH53" s="865">
        <v>10.307500000000001</v>
      </c>
      <c r="AI53" s="864">
        <v>420375</v>
      </c>
    </row>
    <row r="54" spans="1:35">
      <c r="A54" s="863"/>
      <c r="B54" s="862"/>
      <c r="C54" s="861"/>
      <c r="D54" s="860"/>
      <c r="E54" s="828"/>
      <c r="F54" s="843"/>
      <c r="G54" s="863"/>
      <c r="H54" s="862"/>
      <c r="I54" s="861"/>
      <c r="J54" s="860"/>
      <c r="K54" s="828"/>
      <c r="P54" s="863"/>
      <c r="Q54" s="862"/>
      <c r="R54" s="861"/>
      <c r="S54" s="860"/>
      <c r="T54" s="828"/>
      <c r="V54" s="863"/>
      <c r="W54" s="862"/>
      <c r="X54" s="861"/>
      <c r="Y54" s="860"/>
      <c r="Z54" s="828"/>
      <c r="AE54" s="863"/>
      <c r="AF54" s="862"/>
      <c r="AG54" s="861"/>
      <c r="AH54" s="860"/>
      <c r="AI54" s="828"/>
    </row>
    <row r="55" spans="1:35">
      <c r="A55" s="832" t="s">
        <v>195</v>
      </c>
      <c r="B55" s="859"/>
      <c r="C55" s="830"/>
      <c r="D55" s="829"/>
      <c r="E55" s="842"/>
      <c r="F55" s="843"/>
      <c r="G55" s="832" t="s">
        <v>195</v>
      </c>
      <c r="H55" s="859"/>
      <c r="I55" s="830"/>
      <c r="J55" s="858"/>
      <c r="K55" s="842"/>
      <c r="P55" s="832" t="s">
        <v>195</v>
      </c>
      <c r="Q55" s="859"/>
      <c r="R55" s="830"/>
      <c r="S55" s="829"/>
      <c r="T55" s="842"/>
      <c r="V55" s="832" t="s">
        <v>195</v>
      </c>
      <c r="W55" s="859"/>
      <c r="X55" s="830"/>
      <c r="Y55" s="858"/>
      <c r="Z55" s="842"/>
      <c r="AE55" s="832" t="s">
        <v>195</v>
      </c>
      <c r="AF55" s="859"/>
      <c r="AG55" s="830"/>
      <c r="AH55" s="858"/>
      <c r="AI55" s="842"/>
    </row>
    <row r="56" spans="1:35" ht="30" customHeight="1">
      <c r="A56" s="822" t="s">
        <v>196</v>
      </c>
      <c r="B56" s="855">
        <v>0.22</v>
      </c>
      <c r="C56" s="854" t="s">
        <v>197</v>
      </c>
      <c r="D56" s="856"/>
      <c r="E56" s="818">
        <f>E53*0.22</f>
        <v>14190</v>
      </c>
      <c r="F56" s="843"/>
      <c r="G56" s="822" t="s">
        <v>196</v>
      </c>
      <c r="H56" s="855">
        <v>0.22</v>
      </c>
      <c r="I56" s="854" t="s">
        <v>197</v>
      </c>
      <c r="J56" s="853"/>
      <c r="K56" s="818">
        <v>15840</v>
      </c>
      <c r="P56" s="822" t="s">
        <v>196</v>
      </c>
      <c r="Q56" s="855">
        <v>0.22</v>
      </c>
      <c r="R56" s="854" t="s">
        <v>197</v>
      </c>
      <c r="S56" s="856"/>
      <c r="T56" s="818">
        <v>51590</v>
      </c>
      <c r="V56" s="822" t="s">
        <v>196</v>
      </c>
      <c r="W56" s="855">
        <v>0.22</v>
      </c>
      <c r="X56" s="854" t="s">
        <v>197</v>
      </c>
      <c r="Y56" s="853"/>
      <c r="Z56" s="818">
        <v>54692</v>
      </c>
      <c r="AE56" s="822" t="s">
        <v>196</v>
      </c>
      <c r="AF56" s="855">
        <v>0.22</v>
      </c>
      <c r="AG56" s="854" t="s">
        <v>197</v>
      </c>
      <c r="AH56" s="853"/>
      <c r="AI56" s="818">
        <v>92482.5</v>
      </c>
    </row>
    <row r="57" spans="1:35">
      <c r="A57" s="852" t="s">
        <v>198</v>
      </c>
      <c r="B57" s="892">
        <f>E57/E63</f>
        <v>0.88871069750632459</v>
      </c>
      <c r="C57" s="850"/>
      <c r="D57" s="849"/>
      <c r="E57" s="845">
        <f>E53+E56</f>
        <v>78690</v>
      </c>
      <c r="F57" s="843"/>
      <c r="G57" s="787" t="s">
        <v>198</v>
      </c>
      <c r="H57" s="848">
        <v>0.67</v>
      </c>
      <c r="I57" s="847"/>
      <c r="J57" s="846"/>
      <c r="K57" s="845">
        <v>87840</v>
      </c>
      <c r="P57" s="852" t="s">
        <v>198</v>
      </c>
      <c r="Q57" s="892">
        <v>0.87005312953326908</v>
      </c>
      <c r="R57" s="850"/>
      <c r="S57" s="849"/>
      <c r="T57" s="845">
        <v>286090</v>
      </c>
      <c r="V57" s="787" t="s">
        <v>198</v>
      </c>
      <c r="W57" s="848">
        <v>0.73712394119365199</v>
      </c>
      <c r="X57" s="847"/>
      <c r="Y57" s="846"/>
      <c r="Z57" s="845">
        <v>303292</v>
      </c>
      <c r="AE57" s="787" t="s">
        <v>198</v>
      </c>
      <c r="AF57" s="848">
        <v>0.75564163187283062</v>
      </c>
      <c r="AG57" s="847"/>
      <c r="AH57" s="846"/>
      <c r="AI57" s="845">
        <v>512857.5</v>
      </c>
    </row>
    <row r="58" spans="1:35">
      <c r="A58" s="844"/>
      <c r="B58" s="843"/>
      <c r="C58" s="840"/>
      <c r="D58" s="819"/>
      <c r="E58" s="818"/>
      <c r="F58" s="843"/>
      <c r="G58" s="29"/>
      <c r="H58" s="30"/>
      <c r="I58" s="16"/>
      <c r="J58" s="841"/>
      <c r="K58" s="17"/>
      <c r="P58" s="844"/>
      <c r="Q58" s="843"/>
      <c r="R58" s="840"/>
      <c r="S58" s="819"/>
      <c r="T58" s="818"/>
      <c r="V58" s="29"/>
      <c r="W58" s="30"/>
      <c r="X58" s="16"/>
      <c r="Y58" s="841"/>
      <c r="Z58" s="17"/>
      <c r="AE58" s="29"/>
      <c r="AF58" s="30"/>
      <c r="AG58" s="16"/>
      <c r="AH58" s="841"/>
      <c r="AI58" s="17"/>
    </row>
    <row r="59" spans="1:35">
      <c r="A59" s="822" t="s">
        <v>313</v>
      </c>
      <c r="B59" s="821">
        <f>E59/E63</f>
        <v>4.2803577882182871E-2</v>
      </c>
      <c r="C59" s="840"/>
      <c r="D59" s="893"/>
      <c r="E59" s="818">
        <v>3790</v>
      </c>
      <c r="F59" s="843"/>
      <c r="G59" s="835" t="s">
        <v>313</v>
      </c>
      <c r="H59" s="821">
        <v>0.1</v>
      </c>
      <c r="I59" s="16"/>
      <c r="J59" s="838"/>
      <c r="K59" s="17">
        <v>13110.447761194031</v>
      </c>
      <c r="P59" s="822" t="s">
        <v>313</v>
      </c>
      <c r="Q59" s="821">
        <v>5.3506640431361933E-2</v>
      </c>
      <c r="R59" s="840"/>
      <c r="S59" s="893"/>
      <c r="T59" s="818">
        <v>17594</v>
      </c>
      <c r="V59" s="835" t="s">
        <v>313</v>
      </c>
      <c r="W59" s="821">
        <v>7.9659411759499379E-2</v>
      </c>
      <c r="X59" s="16"/>
      <c r="Y59" s="838"/>
      <c r="Z59" s="17">
        <v>32776.119402985074</v>
      </c>
      <c r="AE59" s="835" t="s">
        <v>313</v>
      </c>
      <c r="AF59" s="821">
        <v>7.4047990341566464E-2</v>
      </c>
      <c r="AG59" s="16"/>
      <c r="AH59" s="838"/>
      <c r="AI59" s="17">
        <v>50256.716417910444</v>
      </c>
    </row>
    <row r="60" spans="1:35">
      <c r="A60" s="822" t="s">
        <v>314</v>
      </c>
      <c r="B60" s="821">
        <f>E60/E63</f>
        <v>4.2803577882182871E-2</v>
      </c>
      <c r="C60" s="840"/>
      <c r="D60" s="893"/>
      <c r="E60" s="818">
        <v>3790</v>
      </c>
      <c r="F60" s="843"/>
      <c r="G60" s="822" t="s">
        <v>314</v>
      </c>
      <c r="H60" s="821">
        <v>0.09</v>
      </c>
      <c r="I60" s="16"/>
      <c r="J60" s="838"/>
      <c r="K60" s="17">
        <v>11799.402985074626</v>
      </c>
      <c r="P60" s="822" t="s">
        <v>314</v>
      </c>
      <c r="Q60" s="821">
        <v>6.1152184028295205E-2</v>
      </c>
      <c r="R60" s="840"/>
      <c r="S60" s="893"/>
      <c r="T60" s="818">
        <v>20108</v>
      </c>
      <c r="V60" s="822" t="s">
        <v>314</v>
      </c>
      <c r="W60" s="821">
        <v>7.169347058354944E-2</v>
      </c>
      <c r="X60" s="16"/>
      <c r="Y60" s="838"/>
      <c r="Z60" s="17">
        <v>29498.507462686564</v>
      </c>
      <c r="AE60" s="822" t="s">
        <v>314</v>
      </c>
      <c r="AF60" s="821">
        <v>6.6643191307409824E-2</v>
      </c>
      <c r="AG60" s="16"/>
      <c r="AH60" s="838"/>
      <c r="AI60" s="17">
        <v>45231.044776119401</v>
      </c>
    </row>
    <row r="61" spans="1:35">
      <c r="A61" s="822" t="s">
        <v>344</v>
      </c>
      <c r="B61" s="821">
        <f>E61/E63</f>
        <v>2.5682146729309723E-2</v>
      </c>
      <c r="C61" s="840"/>
      <c r="D61" s="893"/>
      <c r="E61" s="818">
        <v>2274</v>
      </c>
      <c r="F61" s="843"/>
      <c r="G61" s="822" t="s">
        <v>344</v>
      </c>
      <c r="H61" s="821">
        <v>0.03</v>
      </c>
      <c r="I61" s="16"/>
      <c r="J61" s="838"/>
      <c r="K61" s="17">
        <v>3933.1343283582087</v>
      </c>
      <c r="P61" s="822" t="s">
        <v>344</v>
      </c>
      <c r="Q61" s="821">
        <v>1.5288046007073801E-2</v>
      </c>
      <c r="R61" s="840"/>
      <c r="S61" s="893"/>
      <c r="T61" s="818">
        <v>5027</v>
      </c>
      <c r="V61" s="822" t="s">
        <v>344</v>
      </c>
      <c r="W61" s="821">
        <v>2.3897823527849811E-2</v>
      </c>
      <c r="X61" s="16"/>
      <c r="Y61" s="838"/>
      <c r="Z61" s="17">
        <v>9832.8358208955215</v>
      </c>
      <c r="AE61" s="822" t="s">
        <v>239</v>
      </c>
      <c r="AF61" s="821">
        <v>2.2214397102469939E-2</v>
      </c>
      <c r="AG61" s="16"/>
      <c r="AH61" s="838"/>
      <c r="AI61" s="17">
        <v>15077.014925373132</v>
      </c>
    </row>
    <row r="62" spans="1:35" ht="30">
      <c r="A62" s="827" t="s">
        <v>317</v>
      </c>
      <c r="B62" s="826">
        <f>SUM(B59:B61)</f>
        <v>0.11128930249367547</v>
      </c>
      <c r="C62" s="825"/>
      <c r="D62" s="897"/>
      <c r="E62" s="818">
        <f>SUM(E59:E61)</f>
        <v>9854</v>
      </c>
      <c r="F62" s="843"/>
      <c r="G62" s="835" t="s">
        <v>315</v>
      </c>
      <c r="H62" s="386">
        <v>0.11</v>
      </c>
      <c r="I62" s="834">
        <v>0.12359550561797752</v>
      </c>
      <c r="J62" s="833" t="s">
        <v>316</v>
      </c>
      <c r="K62" s="17">
        <v>14421.492537313432</v>
      </c>
      <c r="P62" s="827" t="s">
        <v>317</v>
      </c>
      <c r="Q62" s="826">
        <v>0.12994687046673095</v>
      </c>
      <c r="R62" s="825"/>
      <c r="S62" s="897"/>
      <c r="T62" s="818">
        <v>42729</v>
      </c>
      <c r="V62" s="835" t="s">
        <v>315</v>
      </c>
      <c r="W62" s="386">
        <v>8.7625352935449319E-2</v>
      </c>
      <c r="X62" s="834">
        <v>9.6040977483726392E-2</v>
      </c>
      <c r="Y62" s="833" t="s">
        <v>316</v>
      </c>
      <c r="Z62" s="17">
        <v>36053.73134328358</v>
      </c>
      <c r="AE62" s="835" t="s">
        <v>315</v>
      </c>
      <c r="AF62" s="386">
        <v>8.1452789375723131E-2</v>
      </c>
      <c r="AG62" s="834">
        <v>8.8675670051150624E-2</v>
      </c>
      <c r="AH62" s="833" t="s">
        <v>316</v>
      </c>
      <c r="AI62" s="17">
        <v>55282.388059701494</v>
      </c>
    </row>
    <row r="63" spans="1:35">
      <c r="A63" s="832" t="s">
        <v>345</v>
      </c>
      <c r="B63" s="896"/>
      <c r="C63" s="830"/>
      <c r="D63" s="893"/>
      <c r="E63" s="895">
        <f>SUM(E57+E62)</f>
        <v>88544</v>
      </c>
      <c r="F63" s="843"/>
      <c r="G63" s="827" t="s">
        <v>317</v>
      </c>
      <c r="H63" s="826">
        <v>0.33</v>
      </c>
      <c r="I63" s="825"/>
      <c r="J63" s="824"/>
      <c r="K63" s="823">
        <v>43264.477611940296</v>
      </c>
      <c r="P63" s="832" t="s">
        <v>345</v>
      </c>
      <c r="Q63" s="896"/>
      <c r="R63" s="830"/>
      <c r="S63" s="893"/>
      <c r="T63" s="895">
        <v>328819</v>
      </c>
      <c r="V63" s="827" t="s">
        <v>317</v>
      </c>
      <c r="W63" s="826">
        <v>0.26287605880634796</v>
      </c>
      <c r="X63" s="825"/>
      <c r="Y63" s="824"/>
      <c r="Z63" s="823">
        <v>108161.19402985074</v>
      </c>
      <c r="AE63" s="827" t="s">
        <v>317</v>
      </c>
      <c r="AF63" s="826">
        <v>0.24435836812716938</v>
      </c>
      <c r="AG63" s="825"/>
      <c r="AH63" s="824"/>
      <c r="AI63" s="823">
        <v>165847.1641791045</v>
      </c>
    </row>
    <row r="64" spans="1:35" ht="15.75" thickBot="1">
      <c r="A64" s="822" t="s">
        <v>315</v>
      </c>
      <c r="B64" s="894">
        <v>0.1</v>
      </c>
      <c r="C64" s="820"/>
      <c r="D64" s="893"/>
      <c r="E64" s="818">
        <f>B64*E63</f>
        <v>8854.4</v>
      </c>
      <c r="F64" s="843"/>
      <c r="G64" s="816" t="s">
        <v>203</v>
      </c>
      <c r="H64" s="815"/>
      <c r="I64" s="814"/>
      <c r="J64" s="813"/>
      <c r="K64" s="817">
        <v>131104.4776119403</v>
      </c>
      <c r="P64" s="822" t="s">
        <v>315</v>
      </c>
      <c r="Q64" s="894">
        <v>0.1</v>
      </c>
      <c r="R64" s="820"/>
      <c r="S64" s="893"/>
      <c r="T64" s="818">
        <v>32881.9</v>
      </c>
      <c r="V64" s="816" t="s">
        <v>203</v>
      </c>
      <c r="W64" s="815"/>
      <c r="X64" s="814"/>
      <c r="Y64" s="813"/>
      <c r="Z64" s="817">
        <v>411453.19402985077</v>
      </c>
      <c r="AE64" s="816" t="s">
        <v>203</v>
      </c>
      <c r="AF64" s="815"/>
      <c r="AG64" s="814"/>
      <c r="AH64" s="813"/>
      <c r="AI64" s="817">
        <v>678704.6641791045</v>
      </c>
    </row>
    <row r="65" spans="1:35" ht="16.5" thickTop="1" thickBot="1">
      <c r="A65" s="816" t="s">
        <v>203</v>
      </c>
      <c r="B65" s="815"/>
      <c r="C65" s="814"/>
      <c r="D65" s="813"/>
      <c r="E65" s="817">
        <f>E63+E64</f>
        <v>97398.399999999994</v>
      </c>
      <c r="F65" s="843"/>
      <c r="G65" s="798" t="s">
        <v>318</v>
      </c>
      <c r="H65" s="811"/>
      <c r="I65" s="811"/>
      <c r="J65" s="811"/>
      <c r="K65" s="809">
        <v>10925.373134328358</v>
      </c>
      <c r="P65" s="816" t="s">
        <v>203</v>
      </c>
      <c r="Q65" s="815"/>
      <c r="R65" s="814"/>
      <c r="S65" s="813"/>
      <c r="T65" s="817">
        <v>361700.9</v>
      </c>
      <c r="V65" s="798" t="s">
        <v>318</v>
      </c>
      <c r="W65" s="811"/>
      <c r="X65" s="811"/>
      <c r="Y65" s="811"/>
      <c r="Z65" s="809">
        <v>34287.766169154231</v>
      </c>
      <c r="AE65" s="798" t="s">
        <v>318</v>
      </c>
      <c r="AF65" s="811"/>
      <c r="AG65" s="811"/>
      <c r="AH65" s="811"/>
      <c r="AI65" s="809">
        <v>56558.722014925377</v>
      </c>
    </row>
    <row r="66" spans="1:35" ht="16.5" thickTop="1" thickBot="1">
      <c r="A66" s="798" t="s">
        <v>318</v>
      </c>
      <c r="B66" s="811"/>
      <c r="C66" s="811"/>
      <c r="D66" s="810"/>
      <c r="E66" s="809">
        <f>E65/12</f>
        <v>8116.5333333333328</v>
      </c>
      <c r="F66" s="843"/>
      <c r="G66" s="808" t="s">
        <v>205</v>
      </c>
      <c r="H66" s="807">
        <v>2.3181925158860972E-2</v>
      </c>
      <c r="I66" s="806"/>
      <c r="J66" s="806"/>
      <c r="K66" s="805">
        <v>11178.644316660988</v>
      </c>
      <c r="P66" s="798" t="s">
        <v>318</v>
      </c>
      <c r="Q66" s="811"/>
      <c r="R66" s="811"/>
      <c r="S66" s="810"/>
      <c r="T66" s="809">
        <v>30141.741666666669</v>
      </c>
      <c r="V66" s="808" t="s">
        <v>205</v>
      </c>
      <c r="W66" s="807">
        <v>2.3181925158860972E-2</v>
      </c>
      <c r="X66" s="806"/>
      <c r="Y66" s="806"/>
      <c r="Z66" s="805">
        <v>35082.622598352093</v>
      </c>
      <c r="AE66" s="808" t="s">
        <v>205</v>
      </c>
      <c r="AF66" s="807">
        <v>2.3181925158860972E-2</v>
      </c>
      <c r="AG66" s="806"/>
      <c r="AH66" s="806"/>
      <c r="AI66" s="805">
        <v>57869.999075756197</v>
      </c>
    </row>
    <row r="67" spans="1:35" ht="15.75" thickBot="1">
      <c r="A67" s="891" t="s">
        <v>346</v>
      </c>
      <c r="B67" s="890">
        <v>2.3199999999999998E-2</v>
      </c>
      <c r="C67" s="880" t="s">
        <v>347</v>
      </c>
      <c r="D67" s="829"/>
      <c r="E67" s="889">
        <f>E66*(1+B67)</f>
        <v>8304.8369066666673</v>
      </c>
      <c r="F67" s="843"/>
      <c r="G67" s="794" t="s">
        <v>357</v>
      </c>
      <c r="H67" s="794"/>
      <c r="I67" s="794"/>
      <c r="J67" s="794"/>
      <c r="K67" s="799">
        <v>134143.73179993185</v>
      </c>
      <c r="P67" s="891" t="s">
        <v>346</v>
      </c>
      <c r="Q67" s="890">
        <v>2.3199999999999998E-2</v>
      </c>
      <c r="R67" s="880" t="s">
        <v>347</v>
      </c>
      <c r="S67" s="829"/>
      <c r="T67" s="889">
        <v>30841.030073333339</v>
      </c>
      <c r="V67" s="794" t="s">
        <v>357</v>
      </c>
      <c r="W67" s="794"/>
      <c r="X67" s="794"/>
      <c r="Y67" s="794"/>
      <c r="Z67" s="799">
        <v>420991.47118022514</v>
      </c>
      <c r="AE67" s="794" t="s">
        <v>327</v>
      </c>
      <c r="AF67" s="793">
        <v>4.1911189358372423E-2</v>
      </c>
      <c r="AG67" s="794"/>
      <c r="AI67" s="792">
        <v>60295.399565189051</v>
      </c>
    </row>
    <row r="68" spans="1:35" ht="15.75" thickBot="1">
      <c r="A68" s="798" t="s">
        <v>348</v>
      </c>
      <c r="B68" s="797"/>
      <c r="C68" s="797"/>
      <c r="D68" s="796"/>
      <c r="E68" s="795">
        <f>E67*12</f>
        <v>99658.042880000008</v>
      </c>
      <c r="F68" s="843"/>
      <c r="G68" s="794" t="s">
        <v>499</v>
      </c>
      <c r="H68" s="793">
        <f>$B$1</f>
        <v>4.1911189358372423E-2</v>
      </c>
      <c r="I68" s="794"/>
      <c r="K68" s="792">
        <f>K66*(1+$B$1)</f>
        <v>11647.154595386459</v>
      </c>
      <c r="P68" s="798" t="s">
        <v>348</v>
      </c>
      <c r="Q68" s="797"/>
      <c r="R68" s="797"/>
      <c r="S68" s="796"/>
      <c r="T68" s="795">
        <v>370092.36088000005</v>
      </c>
      <c r="V68" s="794" t="s">
        <v>499</v>
      </c>
      <c r="W68" s="793">
        <f>$B$1</f>
        <v>4.1911189358372423E-2</v>
      </c>
      <c r="X68" s="794"/>
      <c r="Z68" s="792">
        <f>Z66*(1+$B$1)+0.39</f>
        <v>36553.367037259937</v>
      </c>
    </row>
    <row r="69" spans="1:35">
      <c r="F69" s="843"/>
    </row>
    <row r="70" spans="1:35" ht="15.75" thickBot="1">
      <c r="A70" s="843"/>
      <c r="B70" s="843"/>
      <c r="C70" s="843"/>
      <c r="D70" s="819"/>
      <c r="E70" s="843"/>
      <c r="F70" s="843"/>
    </row>
    <row r="71" spans="1:35" ht="15" customHeight="1">
      <c r="A71" s="3145" t="s">
        <v>491</v>
      </c>
      <c r="B71" s="3146"/>
      <c r="C71" s="3146"/>
      <c r="D71" s="3146"/>
      <c r="E71" s="3147"/>
      <c r="G71" s="3142" t="s">
        <v>359</v>
      </c>
      <c r="H71" s="3143"/>
      <c r="I71" s="3143"/>
      <c r="J71" s="3143"/>
      <c r="K71" s="3144"/>
      <c r="P71" s="3145" t="s">
        <v>494</v>
      </c>
      <c r="Q71" s="3146"/>
      <c r="R71" s="3146"/>
      <c r="S71" s="3146"/>
      <c r="T71" s="3147"/>
      <c r="V71" s="3142" t="s">
        <v>485</v>
      </c>
      <c r="W71" s="3143"/>
      <c r="X71" s="3143"/>
      <c r="Y71" s="3143"/>
      <c r="Z71" s="3144"/>
      <c r="AE71" s="3142" t="s">
        <v>322</v>
      </c>
      <c r="AF71" s="3143"/>
      <c r="AG71" s="3143"/>
      <c r="AH71" s="3143"/>
      <c r="AI71" s="3144"/>
    </row>
    <row r="72" spans="1:35" ht="29.25" customHeight="1">
      <c r="A72" s="832"/>
      <c r="B72" s="879" t="s">
        <v>341</v>
      </c>
      <c r="C72" s="830" t="s">
        <v>342</v>
      </c>
      <c r="D72" s="829" t="s">
        <v>190</v>
      </c>
      <c r="E72" s="842" t="s">
        <v>343</v>
      </c>
      <c r="G72" s="832"/>
      <c r="H72" s="879" t="s">
        <v>311</v>
      </c>
      <c r="I72" s="830" t="s">
        <v>342</v>
      </c>
      <c r="J72" s="858" t="s">
        <v>190</v>
      </c>
      <c r="K72" s="842" t="s">
        <v>343</v>
      </c>
      <c r="P72" s="832"/>
      <c r="Q72" s="879" t="s">
        <v>341</v>
      </c>
      <c r="R72" s="830" t="s">
        <v>342</v>
      </c>
      <c r="S72" s="829" t="s">
        <v>190</v>
      </c>
      <c r="T72" s="842" t="s">
        <v>343</v>
      </c>
      <c r="V72" s="832"/>
      <c r="W72" s="879" t="s">
        <v>311</v>
      </c>
      <c r="X72" s="830" t="s">
        <v>342</v>
      </c>
      <c r="Y72" s="858" t="s">
        <v>190</v>
      </c>
      <c r="Z72" s="842" t="s">
        <v>343</v>
      </c>
      <c r="AE72" s="832"/>
      <c r="AF72" s="879" t="s">
        <v>311</v>
      </c>
      <c r="AG72" s="830" t="s">
        <v>209</v>
      </c>
      <c r="AH72" s="858" t="s">
        <v>190</v>
      </c>
      <c r="AI72" s="842" t="s">
        <v>210</v>
      </c>
    </row>
    <row r="73" spans="1:35">
      <c r="A73" s="878" t="s">
        <v>312</v>
      </c>
      <c r="B73" s="840"/>
      <c r="C73" s="840">
        <v>50000</v>
      </c>
      <c r="D73" s="876">
        <v>0.16</v>
      </c>
      <c r="E73" s="818">
        <v>8000</v>
      </c>
      <c r="G73" s="15" t="s">
        <v>312</v>
      </c>
      <c r="H73" s="16"/>
      <c r="I73" s="871">
        <v>50000</v>
      </c>
      <c r="J73" s="877">
        <v>0.32</v>
      </c>
      <c r="K73" s="17">
        <v>16000</v>
      </c>
      <c r="P73" s="878" t="s">
        <v>312</v>
      </c>
      <c r="Q73" s="840"/>
      <c r="R73" s="871">
        <v>50000</v>
      </c>
      <c r="S73" s="876">
        <v>0.5</v>
      </c>
      <c r="T73" s="818">
        <v>25000</v>
      </c>
      <c r="V73" s="15" t="s">
        <v>312</v>
      </c>
      <c r="W73" s="16"/>
      <c r="X73" s="871">
        <v>50000</v>
      </c>
      <c r="Y73" s="877">
        <v>0.61799999999999999</v>
      </c>
      <c r="Z73" s="17">
        <v>30900</v>
      </c>
      <c r="AE73" s="15" t="s">
        <v>312</v>
      </c>
      <c r="AF73" s="16"/>
      <c r="AG73" s="871">
        <v>50000</v>
      </c>
      <c r="AH73" s="876">
        <v>0.8</v>
      </c>
      <c r="AI73" s="17">
        <v>40000</v>
      </c>
    </row>
    <row r="74" spans="1:35">
      <c r="A74" s="875" t="s">
        <v>192</v>
      </c>
      <c r="B74" s="874"/>
      <c r="C74" s="840">
        <v>39000</v>
      </c>
      <c r="D74" s="873">
        <v>2</v>
      </c>
      <c r="E74" s="872">
        <v>78000</v>
      </c>
      <c r="G74" s="18" t="s">
        <v>192</v>
      </c>
      <c r="H74" s="749"/>
      <c r="I74" s="871">
        <v>40000</v>
      </c>
      <c r="J74" s="870">
        <v>2</v>
      </c>
      <c r="K74" s="48">
        <v>80000</v>
      </c>
      <c r="P74" s="875" t="s">
        <v>192</v>
      </c>
      <c r="Q74" s="874"/>
      <c r="R74" s="871">
        <v>39000</v>
      </c>
      <c r="S74" s="839">
        <v>6</v>
      </c>
      <c r="T74" s="872">
        <v>234000</v>
      </c>
      <c r="V74" s="18" t="s">
        <v>192</v>
      </c>
      <c r="W74" s="749"/>
      <c r="X74" s="871">
        <v>40000</v>
      </c>
      <c r="Y74" s="870">
        <v>6</v>
      </c>
      <c r="Z74" s="48">
        <v>240000</v>
      </c>
      <c r="AE74" s="18" t="s">
        <v>192</v>
      </c>
      <c r="AF74" s="749"/>
      <c r="AG74" s="871">
        <v>40000</v>
      </c>
      <c r="AH74" s="870">
        <v>10</v>
      </c>
      <c r="AI74" s="48">
        <v>400000</v>
      </c>
    </row>
    <row r="75" spans="1:35">
      <c r="A75" s="868" t="s">
        <v>194</v>
      </c>
      <c r="B75" s="867"/>
      <c r="C75" s="866"/>
      <c r="D75" s="869">
        <v>2.16</v>
      </c>
      <c r="E75" s="823">
        <v>86000</v>
      </c>
      <c r="G75" s="868" t="s">
        <v>194</v>
      </c>
      <c r="H75" s="867"/>
      <c r="I75" s="866"/>
      <c r="J75" s="865">
        <v>2.3199999999999998</v>
      </c>
      <c r="K75" s="864">
        <v>96000</v>
      </c>
      <c r="P75" s="868" t="s">
        <v>194</v>
      </c>
      <c r="Q75" s="867"/>
      <c r="R75" s="866"/>
      <c r="S75" s="865">
        <v>6.5</v>
      </c>
      <c r="T75" s="864">
        <v>259000</v>
      </c>
      <c r="V75" s="868" t="s">
        <v>194</v>
      </c>
      <c r="W75" s="867"/>
      <c r="X75" s="866"/>
      <c r="Y75" s="865">
        <v>6.6180000000000003</v>
      </c>
      <c r="Z75" s="864">
        <v>270900</v>
      </c>
      <c r="AE75" s="868" t="s">
        <v>194</v>
      </c>
      <c r="AF75" s="867"/>
      <c r="AG75" s="866"/>
      <c r="AH75" s="865">
        <v>10.8</v>
      </c>
      <c r="AI75" s="864">
        <v>440000</v>
      </c>
    </row>
    <row r="76" spans="1:35">
      <c r="A76" s="863"/>
      <c r="B76" s="862"/>
      <c r="C76" s="861"/>
      <c r="D76" s="860"/>
      <c r="E76" s="828"/>
      <c r="G76" s="863"/>
      <c r="H76" s="862"/>
      <c r="I76" s="861"/>
      <c r="J76" s="860"/>
      <c r="K76" s="828"/>
      <c r="P76" s="863"/>
      <c r="Q76" s="862"/>
      <c r="R76" s="861"/>
      <c r="S76" s="860"/>
      <c r="T76" s="828"/>
      <c r="V76" s="863"/>
      <c r="W76" s="862"/>
      <c r="X76" s="861"/>
      <c r="Y76" s="860"/>
      <c r="Z76" s="828"/>
      <c r="AE76" s="863"/>
      <c r="AF76" s="862"/>
      <c r="AG76" s="861"/>
      <c r="AH76" s="860"/>
      <c r="AI76" s="828"/>
    </row>
    <row r="77" spans="1:35">
      <c r="A77" s="832" t="s">
        <v>195</v>
      </c>
      <c r="B77" s="859"/>
      <c r="C77" s="830"/>
      <c r="D77" s="829"/>
      <c r="E77" s="842"/>
      <c r="G77" s="832" t="s">
        <v>195</v>
      </c>
      <c r="H77" s="859"/>
      <c r="I77" s="830"/>
      <c r="J77" s="858"/>
      <c r="K77" s="842"/>
      <c r="P77" s="832" t="s">
        <v>195</v>
      </c>
      <c r="Q77" s="859"/>
      <c r="R77" s="830"/>
      <c r="S77" s="829"/>
      <c r="T77" s="842"/>
      <c r="V77" s="832" t="s">
        <v>195</v>
      </c>
      <c r="W77" s="859"/>
      <c r="X77" s="830"/>
      <c r="Y77" s="858"/>
      <c r="Z77" s="842"/>
      <c r="AE77" s="832" t="s">
        <v>195</v>
      </c>
      <c r="AF77" s="859"/>
      <c r="AG77" s="830"/>
      <c r="AH77" s="858"/>
      <c r="AI77" s="842"/>
    </row>
    <row r="78" spans="1:35" ht="30">
      <c r="A78" s="822" t="s">
        <v>196</v>
      </c>
      <c r="B78" s="857">
        <v>0.22</v>
      </c>
      <c r="C78" s="854" t="s">
        <v>197</v>
      </c>
      <c r="D78" s="856"/>
      <c r="E78" s="818">
        <v>18920</v>
      </c>
      <c r="G78" s="822" t="s">
        <v>196</v>
      </c>
      <c r="H78" s="855">
        <v>0.22</v>
      </c>
      <c r="I78" s="854" t="s">
        <v>197</v>
      </c>
      <c r="J78" s="853"/>
      <c r="K78" s="818">
        <v>21120</v>
      </c>
      <c r="P78" s="822" t="s">
        <v>196</v>
      </c>
      <c r="Q78" s="855">
        <v>0.22</v>
      </c>
      <c r="R78" s="854" t="s">
        <v>197</v>
      </c>
      <c r="S78" s="856"/>
      <c r="T78" s="818">
        <v>56980</v>
      </c>
      <c r="V78" s="822" t="s">
        <v>196</v>
      </c>
      <c r="W78" s="855">
        <v>0.22</v>
      </c>
      <c r="X78" s="854" t="s">
        <v>197</v>
      </c>
      <c r="Y78" s="853"/>
      <c r="Z78" s="818">
        <v>59598</v>
      </c>
      <c r="AE78" s="822" t="s">
        <v>196</v>
      </c>
      <c r="AF78" s="855">
        <v>0.22</v>
      </c>
      <c r="AG78" s="854" t="s">
        <v>197</v>
      </c>
      <c r="AH78" s="853"/>
      <c r="AI78" s="818">
        <v>96800</v>
      </c>
    </row>
    <row r="79" spans="1:35">
      <c r="A79" s="852" t="s">
        <v>198</v>
      </c>
      <c r="B79" s="892">
        <v>0.9141443183996375</v>
      </c>
      <c r="C79" s="850"/>
      <c r="D79" s="849"/>
      <c r="E79" s="885">
        <v>104920</v>
      </c>
      <c r="G79" s="787" t="s">
        <v>198</v>
      </c>
      <c r="H79" s="848">
        <v>0.67</v>
      </c>
      <c r="I79" s="847"/>
      <c r="J79" s="846"/>
      <c r="K79" s="845">
        <v>117120</v>
      </c>
      <c r="P79" s="852" t="s">
        <v>198</v>
      </c>
      <c r="Q79" s="892">
        <v>0.88088115993744232</v>
      </c>
      <c r="R79" s="850"/>
      <c r="S79" s="849"/>
      <c r="T79" s="845">
        <v>315980</v>
      </c>
      <c r="V79" s="787" t="s">
        <v>198</v>
      </c>
      <c r="W79" s="848">
        <v>0.74124306244716431</v>
      </c>
      <c r="X79" s="847"/>
      <c r="Y79" s="846"/>
      <c r="Z79" s="845">
        <v>330498</v>
      </c>
      <c r="AE79" s="787" t="s">
        <v>198</v>
      </c>
      <c r="AF79" s="848">
        <v>0.75620767494356678</v>
      </c>
      <c r="AG79" s="847"/>
      <c r="AH79" s="846"/>
      <c r="AI79" s="845">
        <v>536800</v>
      </c>
    </row>
    <row r="80" spans="1:35">
      <c r="A80" s="844"/>
      <c r="B80" s="843"/>
      <c r="C80" s="840"/>
      <c r="D80" s="839"/>
      <c r="E80" s="842"/>
      <c r="G80" s="29"/>
      <c r="H80" s="30"/>
      <c r="I80" s="16"/>
      <c r="J80" s="841"/>
      <c r="K80" s="17"/>
      <c r="P80" s="844"/>
      <c r="Q80" s="843"/>
      <c r="R80" s="840"/>
      <c r="S80" s="819"/>
      <c r="T80" s="818"/>
      <c r="V80" s="29"/>
      <c r="W80" s="30"/>
      <c r="X80" s="16"/>
      <c r="Y80" s="841"/>
      <c r="Z80" s="17"/>
      <c r="AE80" s="29"/>
      <c r="AF80" s="30"/>
      <c r="AG80" s="16"/>
      <c r="AH80" s="841"/>
      <c r="AI80" s="17"/>
    </row>
    <row r="81" spans="1:35">
      <c r="A81" s="822" t="s">
        <v>313</v>
      </c>
      <c r="B81" s="821">
        <v>3.3021416000139407E-2</v>
      </c>
      <c r="C81" s="840"/>
      <c r="D81" s="839"/>
      <c r="E81" s="818">
        <v>3790</v>
      </c>
      <c r="G81" s="835" t="s">
        <v>313</v>
      </c>
      <c r="H81" s="821">
        <v>0.1</v>
      </c>
      <c r="I81" s="16"/>
      <c r="J81" s="838"/>
      <c r="K81" s="17">
        <v>17480.597014925374</v>
      </c>
      <c r="P81" s="822" t="s">
        <v>313</v>
      </c>
      <c r="Q81" s="821">
        <v>4.90481142095682E-2</v>
      </c>
      <c r="R81" s="840"/>
      <c r="S81" s="893"/>
      <c r="T81" s="818">
        <v>17594</v>
      </c>
      <c r="V81" s="835" t="s">
        <v>313</v>
      </c>
      <c r="W81" s="821">
        <v>7.8411193197828993E-2</v>
      </c>
      <c r="X81" s="16"/>
      <c r="Y81" s="838"/>
      <c r="Z81" s="17">
        <v>34961.194029850747</v>
      </c>
      <c r="AE81" s="835" t="s">
        <v>313</v>
      </c>
      <c r="AF81" s="821">
        <v>7.387646213831317E-2</v>
      </c>
      <c r="AG81" s="16"/>
      <c r="AH81" s="838"/>
      <c r="AI81" s="17">
        <v>52441.791044776124</v>
      </c>
    </row>
    <row r="82" spans="1:35">
      <c r="A82" s="822" t="s">
        <v>314</v>
      </c>
      <c r="B82" s="821">
        <v>3.3021416000139407E-2</v>
      </c>
      <c r="C82" s="840"/>
      <c r="D82" s="839"/>
      <c r="E82" s="818">
        <v>3790</v>
      </c>
      <c r="G82" s="822" t="s">
        <v>314</v>
      </c>
      <c r="H82" s="821">
        <v>0.09</v>
      </c>
      <c r="I82" s="16"/>
      <c r="J82" s="838"/>
      <c r="K82" s="17">
        <v>15732.537313432835</v>
      </c>
      <c r="P82" s="822" t="s">
        <v>314</v>
      </c>
      <c r="Q82" s="821">
        <v>5.6056580682391575E-2</v>
      </c>
      <c r="R82" s="840"/>
      <c r="S82" s="893"/>
      <c r="T82" s="818">
        <v>20108</v>
      </c>
      <c r="V82" s="822" t="s">
        <v>314</v>
      </c>
      <c r="W82" s="821">
        <v>7.0570073878046091E-2</v>
      </c>
      <c r="X82" s="16"/>
      <c r="Y82" s="838"/>
      <c r="Z82" s="17">
        <v>31465.074626865669</v>
      </c>
      <c r="AE82" s="822" t="s">
        <v>314</v>
      </c>
      <c r="AF82" s="821">
        <v>6.6488815924481845E-2</v>
      </c>
      <c r="AG82" s="16"/>
      <c r="AH82" s="838"/>
      <c r="AI82" s="17">
        <v>47197.611940298506</v>
      </c>
    </row>
    <row r="83" spans="1:35">
      <c r="A83" s="822" t="s">
        <v>344</v>
      </c>
      <c r="B83" s="821">
        <v>1.9812849600083643E-2</v>
      </c>
      <c r="C83" s="840"/>
      <c r="D83" s="839"/>
      <c r="E83" s="818">
        <v>2274</v>
      </c>
      <c r="G83" s="822" t="s">
        <v>344</v>
      </c>
      <c r="H83" s="821">
        <v>0.03</v>
      </c>
      <c r="I83" s="16"/>
      <c r="J83" s="838"/>
      <c r="K83" s="17">
        <v>5244.1791044776119</v>
      </c>
      <c r="P83" s="822" t="s">
        <v>344</v>
      </c>
      <c r="Q83" s="821">
        <v>1.4014145170597894E-2</v>
      </c>
      <c r="R83" s="840"/>
      <c r="S83" s="893"/>
      <c r="T83" s="818">
        <v>5027</v>
      </c>
      <c r="V83" s="822" t="s">
        <v>344</v>
      </c>
      <c r="W83" s="821">
        <v>2.3523357959348696E-2</v>
      </c>
      <c r="X83" s="16"/>
      <c r="Y83" s="838"/>
      <c r="Z83" s="17">
        <v>10488.358208955224</v>
      </c>
      <c r="AE83" s="822" t="s">
        <v>239</v>
      </c>
      <c r="AF83" s="821">
        <v>2.2162938641493952E-2</v>
      </c>
      <c r="AG83" s="16"/>
      <c r="AH83" s="838"/>
      <c r="AI83" s="17">
        <v>15732.537313432837</v>
      </c>
    </row>
    <row r="84" spans="1:35" ht="30">
      <c r="A84" s="827" t="s">
        <v>317</v>
      </c>
      <c r="B84" s="826">
        <v>8.5855681600362457E-2</v>
      </c>
      <c r="C84" s="825"/>
      <c r="D84" s="836"/>
      <c r="E84" s="882">
        <v>9854</v>
      </c>
      <c r="G84" s="835" t="s">
        <v>315</v>
      </c>
      <c r="H84" s="386">
        <v>0.11</v>
      </c>
      <c r="I84" s="834">
        <v>0.12359550561797752</v>
      </c>
      <c r="J84" s="833" t="s">
        <v>316</v>
      </c>
      <c r="K84" s="17">
        <v>19228.656716417911</v>
      </c>
      <c r="P84" s="827" t="s">
        <v>317</v>
      </c>
      <c r="Q84" s="826">
        <v>0.11911884006255767</v>
      </c>
      <c r="R84" s="825"/>
      <c r="S84" s="897"/>
      <c r="T84" s="818">
        <v>42729</v>
      </c>
      <c r="V84" s="835" t="s">
        <v>315</v>
      </c>
      <c r="W84" s="386">
        <v>8.6252312517611895E-2</v>
      </c>
      <c r="X84" s="834">
        <v>9.4394014561349396E-2</v>
      </c>
      <c r="Y84" s="833" t="s">
        <v>316</v>
      </c>
      <c r="Z84" s="17">
        <v>38457.313432835821</v>
      </c>
      <c r="AE84" s="835" t="s">
        <v>315</v>
      </c>
      <c r="AF84" s="386">
        <v>8.1264108352144482E-2</v>
      </c>
      <c r="AG84" s="834">
        <v>8.8452088452088462E-2</v>
      </c>
      <c r="AH84" s="833" t="s">
        <v>316</v>
      </c>
      <c r="AI84" s="17">
        <v>57685.970149253728</v>
      </c>
    </row>
    <row r="85" spans="1:35">
      <c r="A85" s="832" t="s">
        <v>345</v>
      </c>
      <c r="B85" s="831"/>
      <c r="C85" s="830"/>
      <c r="D85" s="829"/>
      <c r="E85" s="828">
        <v>114774</v>
      </c>
      <c r="G85" s="827" t="s">
        <v>317</v>
      </c>
      <c r="H85" s="826">
        <v>0.33</v>
      </c>
      <c r="I85" s="825"/>
      <c r="J85" s="824"/>
      <c r="K85" s="823">
        <v>57685.970149253728</v>
      </c>
      <c r="P85" s="832" t="s">
        <v>345</v>
      </c>
      <c r="Q85" s="896"/>
      <c r="R85" s="830"/>
      <c r="S85" s="893"/>
      <c r="T85" s="895">
        <v>358709</v>
      </c>
      <c r="V85" s="827" t="s">
        <v>317</v>
      </c>
      <c r="W85" s="826">
        <v>0.25875693755283569</v>
      </c>
      <c r="X85" s="825"/>
      <c r="Y85" s="824"/>
      <c r="Z85" s="823">
        <v>115371.94029850746</v>
      </c>
      <c r="AE85" s="827" t="s">
        <v>317</v>
      </c>
      <c r="AF85" s="826">
        <v>0.24379232505643347</v>
      </c>
      <c r="AG85" s="825"/>
      <c r="AH85" s="824"/>
      <c r="AI85" s="823">
        <v>173057.91044776118</v>
      </c>
    </row>
    <row r="86" spans="1:35" ht="15.75" thickBot="1">
      <c r="A86" s="822" t="s">
        <v>315</v>
      </c>
      <c r="B86" s="821">
        <v>0.1</v>
      </c>
      <c r="C86" s="820"/>
      <c r="D86" s="819"/>
      <c r="E86" s="818">
        <v>11477.400000000001</v>
      </c>
      <c r="G86" s="816" t="s">
        <v>203</v>
      </c>
      <c r="H86" s="815"/>
      <c r="I86" s="814"/>
      <c r="J86" s="813"/>
      <c r="K86" s="817">
        <v>174805.97014925373</v>
      </c>
      <c r="P86" s="822" t="s">
        <v>315</v>
      </c>
      <c r="Q86" s="894">
        <v>0.1</v>
      </c>
      <c r="R86" s="820"/>
      <c r="S86" s="893"/>
      <c r="T86" s="818">
        <v>35870.9</v>
      </c>
      <c r="V86" s="816" t="s">
        <v>203</v>
      </c>
      <c r="W86" s="815"/>
      <c r="X86" s="814"/>
      <c r="Y86" s="813"/>
      <c r="Z86" s="817">
        <v>445869.94029850746</v>
      </c>
      <c r="AE86" s="816" t="s">
        <v>203</v>
      </c>
      <c r="AF86" s="815"/>
      <c r="AG86" s="814"/>
      <c r="AH86" s="813"/>
      <c r="AI86" s="817">
        <v>709857.91044776107</v>
      </c>
    </row>
    <row r="87" spans="1:35" ht="16.5" thickTop="1" thickBot="1">
      <c r="A87" s="816" t="s">
        <v>203</v>
      </c>
      <c r="B87" s="815"/>
      <c r="C87" s="814"/>
      <c r="D87" s="813"/>
      <c r="E87" s="812">
        <v>126251.4</v>
      </c>
      <c r="G87" s="798" t="s">
        <v>318</v>
      </c>
      <c r="H87" s="811"/>
      <c r="I87" s="811"/>
      <c r="J87" s="811"/>
      <c r="K87" s="809">
        <v>14567.164179104477</v>
      </c>
      <c r="P87" s="816" t="s">
        <v>203</v>
      </c>
      <c r="Q87" s="815"/>
      <c r="R87" s="814"/>
      <c r="S87" s="813"/>
      <c r="T87" s="817">
        <v>394579.9</v>
      </c>
      <c r="V87" s="798" t="s">
        <v>318</v>
      </c>
      <c r="W87" s="811"/>
      <c r="X87" s="811"/>
      <c r="Y87" s="811"/>
      <c r="Z87" s="809">
        <v>37155.828358208957</v>
      </c>
      <c r="AE87" s="798" t="s">
        <v>318</v>
      </c>
      <c r="AF87" s="811"/>
      <c r="AG87" s="811"/>
      <c r="AH87" s="811"/>
      <c r="AI87" s="809">
        <v>59154.825870646753</v>
      </c>
    </row>
    <row r="88" spans="1:35" ht="16.5" thickTop="1" thickBot="1">
      <c r="A88" s="798" t="s">
        <v>318</v>
      </c>
      <c r="B88" s="811"/>
      <c r="C88" s="811"/>
      <c r="D88" s="810"/>
      <c r="E88" s="809">
        <v>10520.949999999999</v>
      </c>
      <c r="G88" s="808" t="s">
        <v>205</v>
      </c>
      <c r="H88" s="807">
        <v>2.3181925158860972E-2</v>
      </c>
      <c r="I88" s="806"/>
      <c r="J88" s="806"/>
      <c r="K88" s="805">
        <v>14904.859088881318</v>
      </c>
      <c r="P88" s="798" t="s">
        <v>318</v>
      </c>
      <c r="Q88" s="811"/>
      <c r="R88" s="811"/>
      <c r="S88" s="810"/>
      <c r="T88" s="809">
        <v>32881.658333333333</v>
      </c>
      <c r="V88" s="808" t="s">
        <v>205</v>
      </c>
      <c r="W88" s="807">
        <v>2.3181925158860972E-2</v>
      </c>
      <c r="X88" s="806"/>
      <c r="Y88" s="806"/>
      <c r="Z88" s="805">
        <v>38017.171990424438</v>
      </c>
      <c r="AE88" s="808" t="s">
        <v>205</v>
      </c>
      <c r="AF88" s="807">
        <v>2.3181925158860972E-2</v>
      </c>
      <c r="AG88" s="806"/>
      <c r="AH88" s="806"/>
      <c r="AI88" s="805">
        <v>60526</v>
      </c>
    </row>
    <row r="89" spans="1:35" ht="15.75" thickBot="1">
      <c r="A89" s="891" t="s">
        <v>346</v>
      </c>
      <c r="B89" s="890">
        <v>2.3199999999999998E-2</v>
      </c>
      <c r="C89" s="880" t="s">
        <v>347</v>
      </c>
      <c r="D89" s="829"/>
      <c r="E89" s="889">
        <v>10765.036040000001</v>
      </c>
      <c r="G89" s="794" t="s">
        <v>357</v>
      </c>
      <c r="H89" s="794"/>
      <c r="I89" s="794"/>
      <c r="J89" s="794"/>
      <c r="K89" s="799">
        <v>178858.30906657581</v>
      </c>
      <c r="P89" s="891" t="s">
        <v>346</v>
      </c>
      <c r="Q89" s="890">
        <v>2.3199999999999998E-2</v>
      </c>
      <c r="R89" s="880" t="s">
        <v>347</v>
      </c>
      <c r="S89" s="829"/>
      <c r="T89" s="889">
        <v>33644.512806666673</v>
      </c>
      <c r="V89" s="794" t="s">
        <v>357</v>
      </c>
      <c r="W89" s="794"/>
      <c r="X89" s="794"/>
      <c r="Y89" s="794"/>
      <c r="Z89" s="799">
        <v>456206.06388509326</v>
      </c>
      <c r="AE89" s="794" t="s">
        <v>327</v>
      </c>
      <c r="AF89" s="793">
        <v>4.1911189358372423E-2</v>
      </c>
      <c r="AG89" s="794"/>
      <c r="AI89" s="792">
        <v>63062.716647104848</v>
      </c>
    </row>
    <row r="90" spans="1:35" ht="15.75" thickBot="1">
      <c r="A90" s="798" t="s">
        <v>348</v>
      </c>
      <c r="B90" s="797"/>
      <c r="C90" s="797"/>
      <c r="D90" s="796"/>
      <c r="E90" s="795">
        <v>129180.43248000002</v>
      </c>
      <c r="G90" s="794" t="s">
        <v>499</v>
      </c>
      <c r="H90" s="793">
        <f>$B$1</f>
        <v>4.1911189358372423E-2</v>
      </c>
      <c r="I90" s="794"/>
      <c r="K90" s="792">
        <f>K88*(1+$B$1)</f>
        <v>15529.53946051528</v>
      </c>
      <c r="P90" s="798" t="s">
        <v>348</v>
      </c>
      <c r="Q90" s="797"/>
      <c r="R90" s="797"/>
      <c r="S90" s="796"/>
      <c r="T90" s="795">
        <v>403734.1536800001</v>
      </c>
      <c r="V90" s="794" t="s">
        <v>499</v>
      </c>
      <c r="W90" s="793">
        <f>$B$1</f>
        <v>4.1911189358372423E-2</v>
      </c>
      <c r="X90" s="794"/>
      <c r="Z90" s="792">
        <f>Z88*(1+$B$1)-0.18</f>
        <v>39610.336884584925</v>
      </c>
    </row>
    <row r="92" spans="1:35" ht="15.75" thickBot="1"/>
    <row r="93" spans="1:35">
      <c r="A93" s="3145" t="s">
        <v>492</v>
      </c>
      <c r="B93" s="3146"/>
      <c r="C93" s="3146"/>
      <c r="D93" s="3146"/>
      <c r="E93" s="3147"/>
      <c r="G93" s="3142" t="s">
        <v>360</v>
      </c>
      <c r="H93" s="3143"/>
      <c r="I93" s="3143"/>
      <c r="J93" s="3143"/>
      <c r="K93" s="3144"/>
      <c r="P93" s="3145" t="s">
        <v>495</v>
      </c>
      <c r="Q93" s="3146"/>
      <c r="R93" s="3146"/>
      <c r="S93" s="3146"/>
      <c r="T93" s="3147"/>
      <c r="V93" s="3142" t="s">
        <v>486</v>
      </c>
      <c r="W93" s="3143"/>
      <c r="X93" s="3143"/>
      <c r="Y93" s="3143"/>
      <c r="Z93" s="3144"/>
      <c r="AE93" s="3142" t="s">
        <v>323</v>
      </c>
      <c r="AF93" s="3143"/>
      <c r="AG93" s="3143"/>
      <c r="AH93" s="3143"/>
      <c r="AI93" s="3144"/>
    </row>
    <row r="94" spans="1:35" ht="45">
      <c r="A94" s="832"/>
      <c r="B94" s="879" t="s">
        <v>341</v>
      </c>
      <c r="C94" s="830" t="s">
        <v>342</v>
      </c>
      <c r="D94" s="829" t="s">
        <v>190</v>
      </c>
      <c r="E94" s="842" t="s">
        <v>343</v>
      </c>
      <c r="G94" s="832"/>
      <c r="H94" s="879" t="s">
        <v>311</v>
      </c>
      <c r="I94" s="830" t="s">
        <v>342</v>
      </c>
      <c r="J94" s="858" t="s">
        <v>190</v>
      </c>
      <c r="K94" s="842" t="s">
        <v>343</v>
      </c>
      <c r="L94" s="786" t="s">
        <v>363</v>
      </c>
      <c r="P94" s="832"/>
      <c r="Q94" s="879" t="s">
        <v>341</v>
      </c>
      <c r="R94" s="830" t="s">
        <v>342</v>
      </c>
      <c r="S94" s="829" t="s">
        <v>190</v>
      </c>
      <c r="T94" s="842" t="s">
        <v>343</v>
      </c>
      <c r="V94" s="832"/>
      <c r="W94" s="879" t="s">
        <v>311</v>
      </c>
      <c r="X94" s="830" t="s">
        <v>342</v>
      </c>
      <c r="Y94" s="858" t="s">
        <v>190</v>
      </c>
      <c r="Z94" s="842" t="s">
        <v>343</v>
      </c>
      <c r="AE94" s="832"/>
      <c r="AF94" s="879" t="s">
        <v>311</v>
      </c>
      <c r="AG94" s="830" t="s">
        <v>209</v>
      </c>
      <c r="AH94" s="858" t="s">
        <v>190</v>
      </c>
      <c r="AI94" s="842" t="s">
        <v>210</v>
      </c>
    </row>
    <row r="95" spans="1:35">
      <c r="A95" s="878" t="s">
        <v>312</v>
      </c>
      <c r="B95" s="840"/>
      <c r="C95" s="840">
        <v>50000</v>
      </c>
      <c r="D95" s="876">
        <v>0.2</v>
      </c>
      <c r="E95" s="818">
        <v>10000</v>
      </c>
      <c r="G95" s="15" t="s">
        <v>312</v>
      </c>
      <c r="H95" s="16"/>
      <c r="I95" s="871">
        <v>50000</v>
      </c>
      <c r="J95" s="877">
        <v>0.33750000000000002</v>
      </c>
      <c r="K95" s="17">
        <v>16875</v>
      </c>
      <c r="P95" s="878" t="s">
        <v>312</v>
      </c>
      <c r="Q95" s="840"/>
      <c r="R95" s="840">
        <v>50000</v>
      </c>
      <c r="S95" s="876">
        <v>0.5</v>
      </c>
      <c r="T95" s="818">
        <v>25000</v>
      </c>
      <c r="V95" s="15" t="s">
        <v>312</v>
      </c>
      <c r="W95" s="16"/>
      <c r="X95" s="871">
        <v>50000</v>
      </c>
      <c r="Y95" s="877">
        <v>0.66949999999999998</v>
      </c>
      <c r="Z95" s="17">
        <v>33475</v>
      </c>
      <c r="AE95" s="15" t="s">
        <v>312</v>
      </c>
      <c r="AF95" s="16"/>
      <c r="AG95" s="871">
        <v>50000</v>
      </c>
      <c r="AH95" s="876">
        <v>0.78749999999999998</v>
      </c>
      <c r="AI95" s="17">
        <v>39375</v>
      </c>
    </row>
    <row r="96" spans="1:35">
      <c r="A96" s="875" t="s">
        <v>192</v>
      </c>
      <c r="B96" s="874"/>
      <c r="C96" s="840">
        <v>39000</v>
      </c>
      <c r="D96" s="873">
        <v>2.5</v>
      </c>
      <c r="E96" s="872">
        <v>97500</v>
      </c>
      <c r="G96" s="18" t="s">
        <v>192</v>
      </c>
      <c r="H96" s="749"/>
      <c r="I96" s="871">
        <v>40000</v>
      </c>
      <c r="J96" s="870">
        <v>2.5</v>
      </c>
      <c r="K96" s="48">
        <v>100000</v>
      </c>
      <c r="P96" s="875" t="s">
        <v>192</v>
      </c>
      <c r="Q96" s="874"/>
      <c r="R96" s="840">
        <v>39000</v>
      </c>
      <c r="S96" s="873">
        <v>6.5</v>
      </c>
      <c r="T96" s="872">
        <v>253500</v>
      </c>
      <c r="V96" s="18" t="s">
        <v>192</v>
      </c>
      <c r="W96" s="749"/>
      <c r="X96" s="871">
        <v>40000</v>
      </c>
      <c r="Y96" s="870">
        <v>6.5</v>
      </c>
      <c r="Z96" s="48">
        <v>260000</v>
      </c>
      <c r="AE96" s="18" t="s">
        <v>192</v>
      </c>
      <c r="AF96" s="749"/>
      <c r="AG96" s="871">
        <v>40000</v>
      </c>
      <c r="AH96" s="870">
        <v>10.5</v>
      </c>
      <c r="AI96" s="48">
        <v>420000</v>
      </c>
    </row>
    <row r="97" spans="1:35">
      <c r="A97" s="868" t="s">
        <v>194</v>
      </c>
      <c r="B97" s="867"/>
      <c r="C97" s="866"/>
      <c r="D97" s="869">
        <v>2.7</v>
      </c>
      <c r="E97" s="823">
        <v>107500</v>
      </c>
      <c r="G97" s="868" t="s">
        <v>194</v>
      </c>
      <c r="H97" s="867"/>
      <c r="I97" s="866"/>
      <c r="J97" s="865">
        <v>2.8374999999999999</v>
      </c>
      <c r="K97" s="864">
        <v>116875</v>
      </c>
      <c r="P97" s="868" t="s">
        <v>194</v>
      </c>
      <c r="Q97" s="867"/>
      <c r="R97" s="866"/>
      <c r="S97" s="869">
        <v>7</v>
      </c>
      <c r="T97" s="823">
        <v>278500</v>
      </c>
      <c r="V97" s="868" t="s">
        <v>194</v>
      </c>
      <c r="W97" s="867"/>
      <c r="X97" s="866"/>
      <c r="Y97" s="865">
        <v>7.1695000000000002</v>
      </c>
      <c r="Z97" s="864">
        <v>293475</v>
      </c>
      <c r="AE97" s="868" t="s">
        <v>194</v>
      </c>
      <c r="AF97" s="867"/>
      <c r="AG97" s="866"/>
      <c r="AH97" s="865">
        <v>11.2875</v>
      </c>
      <c r="AI97" s="864">
        <v>459375</v>
      </c>
    </row>
    <row r="98" spans="1:35">
      <c r="A98" s="863"/>
      <c r="B98" s="862"/>
      <c r="C98" s="861"/>
      <c r="D98" s="860"/>
      <c r="E98" s="828"/>
      <c r="G98" s="863"/>
      <c r="H98" s="862"/>
      <c r="I98" s="861"/>
      <c r="J98" s="860"/>
      <c r="K98" s="828"/>
      <c r="P98" s="863"/>
      <c r="Q98" s="862"/>
      <c r="R98" s="861"/>
      <c r="S98" s="860"/>
      <c r="T98" s="828"/>
      <c r="V98" s="863"/>
      <c r="W98" s="862"/>
      <c r="X98" s="861"/>
      <c r="Y98" s="860"/>
      <c r="Z98" s="828"/>
      <c r="AE98" s="863"/>
      <c r="AF98" s="862"/>
      <c r="AG98" s="861"/>
      <c r="AH98" s="860"/>
      <c r="AI98" s="828"/>
    </row>
    <row r="99" spans="1:35">
      <c r="A99" s="832" t="s">
        <v>195</v>
      </c>
      <c r="B99" s="859"/>
      <c r="C99" s="830"/>
      <c r="D99" s="829"/>
      <c r="E99" s="842"/>
      <c r="G99" s="832" t="s">
        <v>195</v>
      </c>
      <c r="H99" s="859"/>
      <c r="I99" s="830"/>
      <c r="J99" s="858"/>
      <c r="K99" s="842"/>
      <c r="P99" s="832" t="s">
        <v>195</v>
      </c>
      <c r="Q99" s="859"/>
      <c r="R99" s="830"/>
      <c r="S99" s="829"/>
      <c r="T99" s="842"/>
      <c r="V99" s="832" t="s">
        <v>195</v>
      </c>
      <c r="W99" s="859"/>
      <c r="X99" s="830"/>
      <c r="Y99" s="858"/>
      <c r="Z99" s="842"/>
      <c r="AE99" s="832" t="s">
        <v>195</v>
      </c>
      <c r="AF99" s="859"/>
      <c r="AG99" s="830"/>
      <c r="AH99" s="858"/>
      <c r="AI99" s="842"/>
    </row>
    <row r="100" spans="1:35" ht="30">
      <c r="A100" s="822" t="s">
        <v>196</v>
      </c>
      <c r="B100" s="857">
        <v>0.22</v>
      </c>
      <c r="C100" s="854" t="s">
        <v>197</v>
      </c>
      <c r="D100" s="856"/>
      <c r="E100" s="818">
        <v>23650</v>
      </c>
      <c r="G100" s="822" t="s">
        <v>196</v>
      </c>
      <c r="H100" s="855">
        <v>0.22</v>
      </c>
      <c r="I100" s="854" t="s">
        <v>197</v>
      </c>
      <c r="J100" s="853"/>
      <c r="K100" s="818">
        <v>25712.5</v>
      </c>
      <c r="P100" s="822" t="s">
        <v>196</v>
      </c>
      <c r="Q100" s="857">
        <v>0.22</v>
      </c>
      <c r="R100" s="854" t="s">
        <v>197</v>
      </c>
      <c r="S100" s="856"/>
      <c r="T100" s="818">
        <v>61270</v>
      </c>
      <c r="V100" s="822" t="s">
        <v>196</v>
      </c>
      <c r="W100" s="855">
        <v>0.22</v>
      </c>
      <c r="X100" s="854" t="s">
        <v>197</v>
      </c>
      <c r="Y100" s="853"/>
      <c r="Z100" s="818">
        <v>64564.5</v>
      </c>
      <c r="AE100" s="822" t="s">
        <v>196</v>
      </c>
      <c r="AF100" s="855">
        <v>0.22</v>
      </c>
      <c r="AG100" s="854" t="s">
        <v>197</v>
      </c>
      <c r="AH100" s="853"/>
      <c r="AI100" s="818">
        <v>101062.5</v>
      </c>
    </row>
    <row r="101" spans="1:35">
      <c r="A101" s="852" t="s">
        <v>198</v>
      </c>
      <c r="B101" s="892">
        <v>0.93011545771751158</v>
      </c>
      <c r="C101" s="850"/>
      <c r="D101" s="849"/>
      <c r="E101" s="885">
        <v>131150</v>
      </c>
      <c r="G101" s="787" t="s">
        <v>198</v>
      </c>
      <c r="H101" s="848">
        <v>0.68722094847351289</v>
      </c>
      <c r="I101" s="847"/>
      <c r="J101" s="846"/>
      <c r="K101" s="845">
        <v>142587.5</v>
      </c>
      <c r="P101" s="852" t="s">
        <v>198</v>
      </c>
      <c r="Q101" s="851">
        <v>0.88828990402589292</v>
      </c>
      <c r="R101" s="850"/>
      <c r="S101" s="849"/>
      <c r="T101" s="845">
        <v>339770</v>
      </c>
      <c r="V101" s="787" t="s">
        <v>198</v>
      </c>
      <c r="W101" s="848">
        <v>0.74495000440427239</v>
      </c>
      <c r="X101" s="847"/>
      <c r="Y101" s="846"/>
      <c r="Z101" s="845">
        <v>358039.5</v>
      </c>
      <c r="AE101" s="787" t="s">
        <v>198</v>
      </c>
      <c r="AF101" s="848">
        <v>0.75662595067988003</v>
      </c>
      <c r="AG101" s="847"/>
      <c r="AH101" s="846"/>
      <c r="AI101" s="845">
        <v>560437.5</v>
      </c>
    </row>
    <row r="102" spans="1:35">
      <c r="A102" s="844"/>
      <c r="B102" s="843"/>
      <c r="C102" s="840"/>
      <c r="D102" s="839"/>
      <c r="E102" s="842"/>
      <c r="G102" s="29"/>
      <c r="H102" s="30"/>
      <c r="I102" s="16"/>
      <c r="J102" s="841"/>
      <c r="K102" s="17"/>
      <c r="P102" s="844"/>
      <c r="Q102" s="843"/>
      <c r="R102" s="840"/>
      <c r="S102" s="839"/>
      <c r="T102" s="842"/>
      <c r="V102" s="29"/>
      <c r="W102" s="30"/>
      <c r="X102" s="16"/>
      <c r="Y102" s="841"/>
      <c r="Z102" s="17"/>
      <c r="AE102" s="29"/>
      <c r="AF102" s="30"/>
      <c r="AG102" s="16"/>
      <c r="AH102" s="841"/>
      <c r="AI102" s="17"/>
    </row>
    <row r="103" spans="1:35">
      <c r="A103" s="822" t="s">
        <v>313</v>
      </c>
      <c r="B103" s="821">
        <v>2.6878670108649399E-2</v>
      </c>
      <c r="C103" s="840"/>
      <c r="D103" s="839"/>
      <c r="E103" s="818">
        <v>3790</v>
      </c>
      <c r="G103" s="835" t="s">
        <v>313</v>
      </c>
      <c r="H103" s="821">
        <v>9.4781530765602223E-2</v>
      </c>
      <c r="I103" s="16"/>
      <c r="J103" s="838"/>
      <c r="K103" s="17">
        <v>19665.671641791047</v>
      </c>
      <c r="P103" s="822" t="s">
        <v>313</v>
      </c>
      <c r="Q103" s="821">
        <v>4.5997505875832352E-2</v>
      </c>
      <c r="R103" s="840"/>
      <c r="S103" s="839"/>
      <c r="T103" s="818">
        <v>17594</v>
      </c>
      <c r="V103" s="835" t="s">
        <v>313</v>
      </c>
      <c r="W103" s="821">
        <v>7.7287877453250775E-2</v>
      </c>
      <c r="X103" s="16"/>
      <c r="Y103" s="838"/>
      <c r="Z103" s="17">
        <v>37146.26865671642</v>
      </c>
      <c r="AE103" s="835" t="s">
        <v>313</v>
      </c>
      <c r="AF103" s="821">
        <v>7.3749711915187824E-2</v>
      </c>
      <c r="AG103" s="16"/>
      <c r="AH103" s="838"/>
      <c r="AI103" s="17">
        <v>54626.86567164179</v>
      </c>
    </row>
    <row r="104" spans="1:35">
      <c r="A104" s="822" t="s">
        <v>314</v>
      </c>
      <c r="B104" s="821">
        <v>2.6878670108649399E-2</v>
      </c>
      <c r="C104" s="840"/>
      <c r="D104" s="839"/>
      <c r="E104" s="818">
        <v>3790</v>
      </c>
      <c r="G104" s="822" t="s">
        <v>314</v>
      </c>
      <c r="H104" s="821">
        <v>8.530337768904199E-2</v>
      </c>
      <c r="I104" s="16"/>
      <c r="J104" s="838"/>
      <c r="K104" s="17">
        <v>17699.104477611938</v>
      </c>
      <c r="P104" s="822" t="s">
        <v>314</v>
      </c>
      <c r="Q104" s="821">
        <v>5.2570072078619814E-2</v>
      </c>
      <c r="R104" s="840"/>
      <c r="S104" s="839"/>
      <c r="T104" s="818">
        <v>20108</v>
      </c>
      <c r="V104" s="822" t="s">
        <v>314</v>
      </c>
      <c r="W104" s="821">
        <v>6.9559089707925681E-2</v>
      </c>
      <c r="X104" s="16"/>
      <c r="Y104" s="838"/>
      <c r="Z104" s="17">
        <v>33431.641791044771</v>
      </c>
      <c r="AE104" s="822" t="s">
        <v>314</v>
      </c>
      <c r="AF104" s="821">
        <v>6.6374740723669029E-2</v>
      </c>
      <c r="AG104" s="16"/>
      <c r="AH104" s="838"/>
      <c r="AI104" s="17">
        <v>49164.179104477604</v>
      </c>
    </row>
    <row r="105" spans="1:35">
      <c r="A105" s="822" t="s">
        <v>344</v>
      </c>
      <c r="B105" s="821">
        <v>1.6127202065189639E-2</v>
      </c>
      <c r="C105" s="840"/>
      <c r="D105" s="839"/>
      <c r="E105" s="818">
        <v>2274</v>
      </c>
      <c r="G105" s="822" t="s">
        <v>344</v>
      </c>
      <c r="H105" s="821">
        <v>2.8434459229680666E-2</v>
      </c>
      <c r="I105" s="16"/>
      <c r="J105" s="838"/>
      <c r="K105" s="17">
        <v>5899.7014925373132</v>
      </c>
      <c r="P105" s="822" t="s">
        <v>344</v>
      </c>
      <c r="Q105" s="821">
        <v>1.3142518019654954E-2</v>
      </c>
      <c r="R105" s="840"/>
      <c r="S105" s="839"/>
      <c r="T105" s="818">
        <v>5027</v>
      </c>
      <c r="V105" s="822" t="s">
        <v>344</v>
      </c>
      <c r="W105" s="821">
        <v>2.3186363235975234E-2</v>
      </c>
      <c r="X105" s="16"/>
      <c r="Y105" s="838"/>
      <c r="Z105" s="17">
        <v>11143.880597014926</v>
      </c>
      <c r="AE105" s="822" t="s">
        <v>239</v>
      </c>
      <c r="AF105" s="821">
        <v>2.2124913574556346E-2</v>
      </c>
      <c r="AG105" s="16"/>
      <c r="AH105" s="838"/>
      <c r="AI105" s="17">
        <v>16388.059701492537</v>
      </c>
    </row>
    <row r="106" spans="1:35" ht="30">
      <c r="A106" s="827" t="s">
        <v>317</v>
      </c>
      <c r="B106" s="826">
        <v>6.9884542282488443E-2</v>
      </c>
      <c r="C106" s="825"/>
      <c r="D106" s="836"/>
      <c r="E106" s="882">
        <v>9854</v>
      </c>
      <c r="G106" s="835" t="s">
        <v>315</v>
      </c>
      <c r="H106" s="386">
        <v>0.10425968384216243</v>
      </c>
      <c r="I106" s="834">
        <v>0.11639498854910414</v>
      </c>
      <c r="J106" s="833" t="s">
        <v>316</v>
      </c>
      <c r="K106" s="17">
        <v>21632.238805970148</v>
      </c>
      <c r="P106" s="827" t="s">
        <v>317</v>
      </c>
      <c r="Q106" s="837">
        <v>0.11171009597410712</v>
      </c>
      <c r="R106" s="825"/>
      <c r="S106" s="836"/>
      <c r="T106" s="823">
        <v>42729</v>
      </c>
      <c r="V106" s="835" t="s">
        <v>315</v>
      </c>
      <c r="W106" s="386">
        <v>8.5016665198575855E-2</v>
      </c>
      <c r="X106" s="834">
        <v>9.2916080506566551E-2</v>
      </c>
      <c r="Y106" s="833" t="s">
        <v>316</v>
      </c>
      <c r="Z106" s="17">
        <v>40860.895522388062</v>
      </c>
      <c r="AE106" s="835" t="s">
        <v>315</v>
      </c>
      <c r="AF106" s="386">
        <v>8.1124683106706619E-2</v>
      </c>
      <c r="AG106" s="834">
        <v>8.8286932530724865E-2</v>
      </c>
      <c r="AH106" s="833" t="s">
        <v>316</v>
      </c>
      <c r="AI106" s="17">
        <v>60089.552238805976</v>
      </c>
    </row>
    <row r="107" spans="1:35">
      <c r="A107" s="832" t="s">
        <v>345</v>
      </c>
      <c r="B107" s="831"/>
      <c r="C107" s="830"/>
      <c r="D107" s="829"/>
      <c r="E107" s="828">
        <v>141004</v>
      </c>
      <c r="G107" s="827" t="s">
        <v>317</v>
      </c>
      <c r="H107" s="826">
        <v>0.31277905152648727</v>
      </c>
      <c r="I107" s="825"/>
      <c r="J107" s="824"/>
      <c r="K107" s="823">
        <v>64896.716417910451</v>
      </c>
      <c r="P107" s="832" t="s">
        <v>345</v>
      </c>
      <c r="Q107" s="831"/>
      <c r="R107" s="830"/>
      <c r="S107" s="829"/>
      <c r="T107" s="828">
        <v>382499</v>
      </c>
      <c r="V107" s="827" t="s">
        <v>317</v>
      </c>
      <c r="W107" s="826">
        <v>0.25504999559572755</v>
      </c>
      <c r="X107" s="825"/>
      <c r="Y107" s="824"/>
      <c r="Z107" s="823">
        <v>122582.68656716417</v>
      </c>
      <c r="AE107" s="827" t="s">
        <v>317</v>
      </c>
      <c r="AF107" s="826">
        <v>0.24337404932011983</v>
      </c>
      <c r="AG107" s="825"/>
      <c r="AH107" s="824"/>
      <c r="AI107" s="823">
        <v>180268.6567164179</v>
      </c>
    </row>
    <row r="108" spans="1:35" ht="15.75" thickBot="1">
      <c r="A108" s="822" t="s">
        <v>315</v>
      </c>
      <c r="B108" s="821">
        <v>0.1</v>
      </c>
      <c r="C108" s="820"/>
      <c r="D108" s="819"/>
      <c r="E108" s="818">
        <v>14100.400000000001</v>
      </c>
      <c r="G108" s="816" t="s">
        <v>203</v>
      </c>
      <c r="H108" s="815"/>
      <c r="I108" s="814"/>
      <c r="J108" s="813"/>
      <c r="K108" s="817">
        <v>207484.21641791041</v>
      </c>
      <c r="P108" s="822" t="s">
        <v>315</v>
      </c>
      <c r="Q108" s="821">
        <v>0.1</v>
      </c>
      <c r="R108" s="820"/>
      <c r="S108" s="819"/>
      <c r="T108" s="818">
        <v>38249.9</v>
      </c>
      <c r="V108" s="816" t="s">
        <v>203</v>
      </c>
      <c r="W108" s="815"/>
      <c r="X108" s="814"/>
      <c r="Y108" s="813"/>
      <c r="Z108" s="817">
        <v>480622.1865671642</v>
      </c>
      <c r="AE108" s="816" t="s">
        <v>203</v>
      </c>
      <c r="AF108" s="815"/>
      <c r="AG108" s="814"/>
      <c r="AH108" s="813"/>
      <c r="AI108" s="817">
        <v>740706.15671641799</v>
      </c>
    </row>
    <row r="109" spans="1:35" ht="16.5" thickTop="1" thickBot="1">
      <c r="A109" s="816" t="s">
        <v>203</v>
      </c>
      <c r="B109" s="815"/>
      <c r="C109" s="814"/>
      <c r="D109" s="813"/>
      <c r="E109" s="812">
        <v>155104.4</v>
      </c>
      <c r="G109" s="798" t="s">
        <v>318</v>
      </c>
      <c r="H109" s="811"/>
      <c r="I109" s="811"/>
      <c r="J109" s="811"/>
      <c r="K109" s="809">
        <v>17290.351368159201</v>
      </c>
      <c r="P109" s="816" t="s">
        <v>203</v>
      </c>
      <c r="Q109" s="815"/>
      <c r="R109" s="814"/>
      <c r="S109" s="813"/>
      <c r="T109" s="812">
        <v>420748.9</v>
      </c>
      <c r="V109" s="798" t="s">
        <v>318</v>
      </c>
      <c r="W109" s="811"/>
      <c r="X109" s="811"/>
      <c r="Y109" s="811"/>
      <c r="Z109" s="809">
        <v>40051.848880597019</v>
      </c>
      <c r="AE109" s="798" t="s">
        <v>318</v>
      </c>
      <c r="AF109" s="811"/>
      <c r="AG109" s="811"/>
      <c r="AH109" s="811"/>
      <c r="AI109" s="809">
        <v>61725.513059701501</v>
      </c>
    </row>
    <row r="110" spans="1:35" ht="16.5" thickTop="1" thickBot="1">
      <c r="A110" s="798" t="s">
        <v>318</v>
      </c>
      <c r="B110" s="811"/>
      <c r="C110" s="811"/>
      <c r="D110" s="810"/>
      <c r="E110" s="809">
        <v>12925.366666666667</v>
      </c>
      <c r="G110" s="808" t="s">
        <v>205</v>
      </c>
      <c r="H110" s="807">
        <v>2.3181925158860972E-2</v>
      </c>
      <c r="I110" s="806"/>
      <c r="J110" s="806"/>
      <c r="K110" s="805">
        <v>17691.174999546278</v>
      </c>
      <c r="P110" s="798" t="s">
        <v>318</v>
      </c>
      <c r="Q110" s="811"/>
      <c r="R110" s="811"/>
      <c r="S110" s="810"/>
      <c r="T110" s="809">
        <v>35062.408333333333</v>
      </c>
      <c r="V110" s="808" t="s">
        <v>205</v>
      </c>
      <c r="W110" s="807">
        <v>2.3181925158860972E-2</v>
      </c>
      <c r="X110" s="806"/>
      <c r="Y110" s="806"/>
      <c r="Z110" s="805">
        <v>40980.327843821025</v>
      </c>
      <c r="AE110" s="808" t="s">
        <v>205</v>
      </c>
      <c r="AF110" s="807">
        <v>2.3181925158860972E-2</v>
      </c>
      <c r="AG110" s="806"/>
      <c r="AH110" s="806"/>
      <c r="AI110" s="805">
        <v>63156</v>
      </c>
    </row>
    <row r="111" spans="1:35" ht="15.75" thickBot="1">
      <c r="A111" s="891" t="s">
        <v>346</v>
      </c>
      <c r="B111" s="890">
        <v>2.3199999999999998E-2</v>
      </c>
      <c r="C111" s="880" t="s">
        <v>347</v>
      </c>
      <c r="D111" s="829"/>
      <c r="E111" s="889">
        <v>13225.235173333334</v>
      </c>
      <c r="G111" s="794" t="s">
        <v>357</v>
      </c>
      <c r="H111" s="794"/>
      <c r="I111" s="794"/>
      <c r="J111" s="794"/>
      <c r="K111" s="799">
        <v>212294.09999455535</v>
      </c>
      <c r="P111" s="804" t="s">
        <v>346</v>
      </c>
      <c r="Q111" s="803">
        <v>2.3199999999999998E-2</v>
      </c>
      <c r="R111" s="802" t="s">
        <v>347</v>
      </c>
      <c r="S111" s="801"/>
      <c r="T111" s="800">
        <v>35875.856206666671</v>
      </c>
      <c r="V111" s="794" t="s">
        <v>357</v>
      </c>
      <c r="W111" s="794"/>
      <c r="X111" s="794"/>
      <c r="Y111" s="794"/>
      <c r="Z111" s="799">
        <v>491763.93412585231</v>
      </c>
      <c r="AE111" s="794" t="s">
        <v>327</v>
      </c>
      <c r="AF111" s="793">
        <v>4.1911189358372423E-2</v>
      </c>
      <c r="AG111" s="794"/>
      <c r="AI111" s="792">
        <v>65802.943075117364</v>
      </c>
    </row>
    <row r="112" spans="1:35" ht="15.75" thickBot="1">
      <c r="A112" s="798" t="s">
        <v>348</v>
      </c>
      <c r="B112" s="797"/>
      <c r="C112" s="797"/>
      <c r="D112" s="796"/>
      <c r="E112" s="795">
        <v>158702.82208000001</v>
      </c>
      <c r="G112" s="794" t="s">
        <v>499</v>
      </c>
      <c r="H112" s="793">
        <f>$B$1</f>
        <v>4.1911189358372423E-2</v>
      </c>
      <c r="I112" s="794"/>
      <c r="K112" s="792">
        <f>K110*(1+$B$1)</f>
        <v>18432.633184924365</v>
      </c>
      <c r="P112" s="798" t="s">
        <v>348</v>
      </c>
      <c r="Q112" s="797"/>
      <c r="R112" s="797"/>
      <c r="S112" s="796"/>
      <c r="T112" s="795">
        <v>430510.27448000002</v>
      </c>
      <c r="V112" s="794" t="s">
        <v>499</v>
      </c>
      <c r="W112" s="793">
        <f>$B$1</f>
        <v>4.1911189358372423E-2</v>
      </c>
      <c r="X112" s="794"/>
      <c r="Z112" s="792">
        <f>Z110*(1+$B$1)-0.34</f>
        <v>42697.522124051589</v>
      </c>
    </row>
    <row r="114" spans="1:35" ht="15.75" thickBot="1">
      <c r="P114" s="888"/>
      <c r="Q114" s="888"/>
      <c r="R114" s="888"/>
      <c r="S114" s="888"/>
      <c r="T114" s="888"/>
    </row>
    <row r="115" spans="1:35" ht="15.75" customHeight="1">
      <c r="A115" s="3145" t="s">
        <v>349</v>
      </c>
      <c r="B115" s="3146"/>
      <c r="C115" s="3146"/>
      <c r="D115" s="3146"/>
      <c r="E115" s="3147"/>
      <c r="G115" s="3142" t="s">
        <v>361</v>
      </c>
      <c r="H115" s="3143"/>
      <c r="I115" s="3143"/>
      <c r="J115" s="3143"/>
      <c r="K115" s="3144"/>
      <c r="P115" s="3145" t="s">
        <v>496</v>
      </c>
      <c r="Q115" s="3146"/>
      <c r="R115" s="3146"/>
      <c r="S115" s="3146"/>
      <c r="T115" s="3147"/>
      <c r="V115" s="3142" t="s">
        <v>487</v>
      </c>
      <c r="W115" s="3143"/>
      <c r="X115" s="3143"/>
      <c r="Y115" s="3143"/>
      <c r="Z115" s="3144"/>
      <c r="AA115" s="887"/>
      <c r="AE115" s="3142" t="s">
        <v>324</v>
      </c>
      <c r="AF115" s="3143"/>
      <c r="AG115" s="3143"/>
      <c r="AH115" s="3143"/>
      <c r="AI115" s="3144"/>
    </row>
    <row r="116" spans="1:35" ht="30.75" customHeight="1">
      <c r="A116" s="832"/>
      <c r="B116" s="879" t="s">
        <v>341</v>
      </c>
      <c r="C116" s="830" t="s">
        <v>342</v>
      </c>
      <c r="D116" s="829" t="s">
        <v>190</v>
      </c>
      <c r="E116" s="842" t="s">
        <v>343</v>
      </c>
      <c r="G116" s="832"/>
      <c r="H116" s="879" t="s">
        <v>311</v>
      </c>
      <c r="I116" s="830" t="s">
        <v>342</v>
      </c>
      <c r="J116" s="858" t="s">
        <v>190</v>
      </c>
      <c r="K116" s="842" t="s">
        <v>343</v>
      </c>
      <c r="P116" s="832"/>
      <c r="Q116" s="879" t="s">
        <v>341</v>
      </c>
      <c r="R116" s="830" t="s">
        <v>342</v>
      </c>
      <c r="S116" s="829" t="s">
        <v>190</v>
      </c>
      <c r="T116" s="842" t="s">
        <v>343</v>
      </c>
      <c r="V116" s="832"/>
      <c r="W116" s="879" t="s">
        <v>311</v>
      </c>
      <c r="X116" s="830" t="s">
        <v>342</v>
      </c>
      <c r="Y116" s="858" t="s">
        <v>190</v>
      </c>
      <c r="Z116" s="842" t="s">
        <v>343</v>
      </c>
      <c r="AA116" s="887"/>
      <c r="AE116" s="832"/>
      <c r="AF116" s="879" t="s">
        <v>311</v>
      </c>
      <c r="AG116" s="830" t="s">
        <v>209</v>
      </c>
      <c r="AH116" s="858" t="s">
        <v>190</v>
      </c>
      <c r="AI116" s="842" t="s">
        <v>210</v>
      </c>
    </row>
    <row r="117" spans="1:35">
      <c r="A117" s="878" t="s">
        <v>312</v>
      </c>
      <c r="B117" s="840"/>
      <c r="C117" s="840">
        <v>50000</v>
      </c>
      <c r="D117" s="876">
        <v>0.2</v>
      </c>
      <c r="E117" s="818">
        <v>10000</v>
      </c>
      <c r="G117" s="15" t="s">
        <v>312</v>
      </c>
      <c r="H117" s="16"/>
      <c r="I117" s="871">
        <v>50000</v>
      </c>
      <c r="J117" s="877">
        <v>0.36</v>
      </c>
      <c r="K117" s="17">
        <v>18000</v>
      </c>
      <c r="P117" s="878" t="s">
        <v>312</v>
      </c>
      <c r="Q117" s="840"/>
      <c r="R117" s="840">
        <v>50000</v>
      </c>
      <c r="S117" s="876">
        <v>0.6</v>
      </c>
      <c r="T117" s="818">
        <v>30000</v>
      </c>
      <c r="V117" s="15" t="s">
        <v>312</v>
      </c>
      <c r="W117" s="16"/>
      <c r="X117" s="871">
        <v>50000</v>
      </c>
      <c r="Y117" s="877">
        <v>0.71399999999999997</v>
      </c>
      <c r="Z117" s="17">
        <v>35700</v>
      </c>
      <c r="AA117" s="887"/>
      <c r="AE117" s="15" t="s">
        <v>312</v>
      </c>
      <c r="AF117" s="16"/>
      <c r="AG117" s="871">
        <v>50000</v>
      </c>
      <c r="AH117" s="876">
        <v>0.77</v>
      </c>
      <c r="AI117" s="17">
        <v>38500</v>
      </c>
    </row>
    <row r="118" spans="1:35">
      <c r="A118" s="875" t="s">
        <v>192</v>
      </c>
      <c r="B118" s="874"/>
      <c r="C118" s="840">
        <v>39000</v>
      </c>
      <c r="D118" s="873">
        <v>3</v>
      </c>
      <c r="E118" s="872">
        <v>117000</v>
      </c>
      <c r="G118" s="18" t="s">
        <v>192</v>
      </c>
      <c r="H118" s="749"/>
      <c r="I118" s="871">
        <v>40000</v>
      </c>
      <c r="J118" s="870">
        <v>3</v>
      </c>
      <c r="K118" s="48">
        <v>120000</v>
      </c>
      <c r="P118" s="875" t="s">
        <v>192</v>
      </c>
      <c r="Q118" s="874"/>
      <c r="R118" s="840">
        <v>39000</v>
      </c>
      <c r="S118" s="873">
        <v>7</v>
      </c>
      <c r="T118" s="872">
        <v>273000</v>
      </c>
      <c r="V118" s="18" t="s">
        <v>192</v>
      </c>
      <c r="W118" s="749"/>
      <c r="X118" s="871">
        <v>40000</v>
      </c>
      <c r="Y118" s="870">
        <v>7</v>
      </c>
      <c r="Z118" s="48">
        <v>280000</v>
      </c>
      <c r="AA118" s="789"/>
      <c r="AE118" s="18" t="s">
        <v>192</v>
      </c>
      <c r="AF118" s="749"/>
      <c r="AG118" s="871">
        <v>40000</v>
      </c>
      <c r="AH118" s="870">
        <v>11</v>
      </c>
      <c r="AI118" s="48">
        <v>440000</v>
      </c>
    </row>
    <row r="119" spans="1:35">
      <c r="A119" s="868" t="s">
        <v>194</v>
      </c>
      <c r="B119" s="867"/>
      <c r="C119" s="866"/>
      <c r="D119" s="869">
        <v>3.2</v>
      </c>
      <c r="E119" s="823">
        <v>127000</v>
      </c>
      <c r="G119" s="868" t="s">
        <v>194</v>
      </c>
      <c r="H119" s="867"/>
      <c r="I119" s="866"/>
      <c r="J119" s="865">
        <v>3.36</v>
      </c>
      <c r="K119" s="864">
        <v>138000</v>
      </c>
      <c r="P119" s="868" t="s">
        <v>194</v>
      </c>
      <c r="Q119" s="867"/>
      <c r="R119" s="866"/>
      <c r="S119" s="869">
        <v>7.6</v>
      </c>
      <c r="T119" s="823">
        <v>303000</v>
      </c>
      <c r="V119" s="868" t="s">
        <v>194</v>
      </c>
      <c r="W119" s="867"/>
      <c r="X119" s="866"/>
      <c r="Y119" s="865">
        <v>7.7140000000000004</v>
      </c>
      <c r="Z119" s="864">
        <v>315700</v>
      </c>
      <c r="AE119" s="868" t="s">
        <v>194</v>
      </c>
      <c r="AF119" s="867"/>
      <c r="AG119" s="866"/>
      <c r="AH119" s="865">
        <v>11.77</v>
      </c>
      <c r="AI119" s="864">
        <v>478500</v>
      </c>
    </row>
    <row r="120" spans="1:35">
      <c r="A120" s="863"/>
      <c r="B120" s="862"/>
      <c r="C120" s="861"/>
      <c r="D120" s="860"/>
      <c r="E120" s="828"/>
      <c r="G120" s="863"/>
      <c r="H120" s="862"/>
      <c r="I120" s="861"/>
      <c r="J120" s="860"/>
      <c r="K120" s="828"/>
      <c r="P120" s="863"/>
      <c r="Q120" s="862"/>
      <c r="R120" s="861"/>
      <c r="S120" s="860"/>
      <c r="T120" s="828"/>
      <c r="V120" s="863"/>
      <c r="W120" s="862"/>
      <c r="X120" s="861"/>
      <c r="Y120" s="860"/>
      <c r="Z120" s="828"/>
      <c r="AE120" s="863"/>
      <c r="AF120" s="862"/>
      <c r="AG120" s="861"/>
      <c r="AH120" s="860"/>
      <c r="AI120" s="828"/>
    </row>
    <row r="121" spans="1:35">
      <c r="A121" s="832" t="s">
        <v>195</v>
      </c>
      <c r="B121" s="859"/>
      <c r="C121" s="830"/>
      <c r="D121" s="829"/>
      <c r="E121" s="842"/>
      <c r="G121" s="832" t="s">
        <v>195</v>
      </c>
      <c r="H121" s="859"/>
      <c r="I121" s="830"/>
      <c r="J121" s="858"/>
      <c r="K121" s="842"/>
      <c r="P121" s="832" t="s">
        <v>195</v>
      </c>
      <c r="Q121" s="859"/>
      <c r="R121" s="830"/>
      <c r="S121" s="829"/>
      <c r="T121" s="842"/>
      <c r="V121" s="832" t="s">
        <v>195</v>
      </c>
      <c r="W121" s="859"/>
      <c r="X121" s="830"/>
      <c r="Y121" s="858"/>
      <c r="Z121" s="842"/>
      <c r="AE121" s="832" t="s">
        <v>195</v>
      </c>
      <c r="AF121" s="859"/>
      <c r="AG121" s="830"/>
      <c r="AH121" s="858"/>
      <c r="AI121" s="842"/>
    </row>
    <row r="122" spans="1:35" ht="30">
      <c r="A122" s="822" t="s">
        <v>196</v>
      </c>
      <c r="B122" s="857">
        <v>0.22</v>
      </c>
      <c r="C122" s="854" t="s">
        <v>197</v>
      </c>
      <c r="D122" s="856"/>
      <c r="E122" s="818">
        <v>27940</v>
      </c>
      <c r="G122" s="822" t="s">
        <v>196</v>
      </c>
      <c r="H122" s="855">
        <v>0.22</v>
      </c>
      <c r="I122" s="854" t="s">
        <v>197</v>
      </c>
      <c r="J122" s="853"/>
      <c r="K122" s="818">
        <v>30360</v>
      </c>
      <c r="P122" s="822" t="s">
        <v>196</v>
      </c>
      <c r="Q122" s="857">
        <v>0.22</v>
      </c>
      <c r="R122" s="854" t="s">
        <v>197</v>
      </c>
      <c r="S122" s="856"/>
      <c r="T122" s="818">
        <v>66660</v>
      </c>
      <c r="V122" s="822" t="s">
        <v>196</v>
      </c>
      <c r="W122" s="855">
        <v>0.22</v>
      </c>
      <c r="X122" s="854" t="s">
        <v>197</v>
      </c>
      <c r="Y122" s="853"/>
      <c r="Z122" s="818">
        <v>69454</v>
      </c>
      <c r="AE122" s="822" t="s">
        <v>196</v>
      </c>
      <c r="AF122" s="855">
        <v>0.22</v>
      </c>
      <c r="AG122" s="854" t="s">
        <v>197</v>
      </c>
      <c r="AH122" s="853"/>
      <c r="AI122" s="818">
        <v>105270</v>
      </c>
    </row>
    <row r="123" spans="1:35">
      <c r="A123" s="852" t="s">
        <v>198</v>
      </c>
      <c r="B123" s="851">
        <v>0.7838340273646639</v>
      </c>
      <c r="C123" s="850"/>
      <c r="D123" s="849"/>
      <c r="E123" s="885">
        <v>154940</v>
      </c>
      <c r="G123" s="787" t="s">
        <v>198</v>
      </c>
      <c r="H123" s="848">
        <v>0.70013630168105412</v>
      </c>
      <c r="I123" s="847"/>
      <c r="J123" s="846"/>
      <c r="K123" s="845">
        <v>168360</v>
      </c>
      <c r="P123" s="852" t="s">
        <v>198</v>
      </c>
      <c r="Q123" s="851">
        <v>0.89638666404778011</v>
      </c>
      <c r="R123" s="850"/>
      <c r="S123" s="849"/>
      <c r="T123" s="845">
        <v>369660</v>
      </c>
      <c r="V123" s="787" t="s">
        <v>198</v>
      </c>
      <c r="W123" s="848">
        <v>0.74794818935003315</v>
      </c>
      <c r="X123" s="847"/>
      <c r="Y123" s="846"/>
      <c r="Z123" s="845">
        <v>385154</v>
      </c>
      <c r="AE123" s="787" t="s">
        <v>198</v>
      </c>
      <c r="AF123" s="848">
        <v>0.7569146864043631</v>
      </c>
      <c r="AG123" s="847"/>
      <c r="AH123" s="846"/>
      <c r="AI123" s="845">
        <v>583770</v>
      </c>
    </row>
    <row r="124" spans="1:35">
      <c r="A124" s="844"/>
      <c r="B124" s="843"/>
      <c r="C124" s="840"/>
      <c r="D124" s="839"/>
      <c r="E124" s="842"/>
      <c r="G124" s="29"/>
      <c r="H124" s="30"/>
      <c r="I124" s="16"/>
      <c r="J124" s="841"/>
      <c r="K124" s="17"/>
      <c r="P124" s="844"/>
      <c r="Q124" s="843"/>
      <c r="R124" s="840"/>
      <c r="S124" s="839"/>
      <c r="T124" s="842"/>
      <c r="V124" s="29"/>
      <c r="W124" s="30"/>
      <c r="X124" s="16"/>
      <c r="Y124" s="841"/>
      <c r="Z124" s="17"/>
      <c r="AE124" s="29"/>
      <c r="AF124" s="30"/>
      <c r="AG124" s="16"/>
      <c r="AH124" s="841"/>
      <c r="AI124" s="17"/>
    </row>
    <row r="125" spans="1:35">
      <c r="A125" s="822" t="s">
        <v>313</v>
      </c>
      <c r="B125" s="884">
        <v>8.9009518143961935E-2</v>
      </c>
      <c r="C125" s="840"/>
      <c r="D125" s="839"/>
      <c r="E125" s="818">
        <v>17594.457831325304</v>
      </c>
      <c r="G125" s="835" t="s">
        <v>313</v>
      </c>
      <c r="H125" s="821">
        <v>9.0867787369377562E-2</v>
      </c>
      <c r="I125" s="16"/>
      <c r="J125" s="838"/>
      <c r="K125" s="17">
        <v>21850.746268656716</v>
      </c>
      <c r="P125" s="822" t="s">
        <v>313</v>
      </c>
      <c r="Q125" s="821">
        <v>4.2663601599460706E-2</v>
      </c>
      <c r="R125" s="840"/>
      <c r="S125" s="839"/>
      <c r="T125" s="818">
        <v>17594</v>
      </c>
      <c r="V125" s="835" t="s">
        <v>313</v>
      </c>
      <c r="W125" s="821">
        <v>7.6379336560596048E-2</v>
      </c>
      <c r="X125" s="16"/>
      <c r="Y125" s="838"/>
      <c r="Z125" s="17">
        <v>39331.343283582086</v>
      </c>
      <c r="AE125" s="835" t="s">
        <v>313</v>
      </c>
      <c r="AF125" s="821">
        <v>7.3662216241102113E-2</v>
      </c>
      <c r="AG125" s="16"/>
      <c r="AH125" s="838"/>
      <c r="AI125" s="17">
        <v>56811.94029850747</v>
      </c>
    </row>
    <row r="126" spans="1:35">
      <c r="A126" s="822" t="s">
        <v>314</v>
      </c>
      <c r="B126" s="884">
        <v>0.10172516359309935</v>
      </c>
      <c r="C126" s="840"/>
      <c r="D126" s="839"/>
      <c r="E126" s="818">
        <v>20107.951807228917</v>
      </c>
      <c r="G126" s="822" t="s">
        <v>314</v>
      </c>
      <c r="H126" s="821">
        <v>8.1781008632439797E-2</v>
      </c>
      <c r="I126" s="16"/>
      <c r="J126" s="838"/>
      <c r="K126" s="17">
        <v>19665.671641791043</v>
      </c>
      <c r="P126" s="822" t="s">
        <v>314</v>
      </c>
      <c r="Q126" s="821">
        <v>4.8759787482207335E-2</v>
      </c>
      <c r="R126" s="840"/>
      <c r="S126" s="839"/>
      <c r="T126" s="818">
        <v>20108</v>
      </c>
      <c r="V126" s="822" t="s">
        <v>314</v>
      </c>
      <c r="W126" s="821">
        <v>6.8741402904536439E-2</v>
      </c>
      <c r="X126" s="16"/>
      <c r="Y126" s="838"/>
      <c r="Z126" s="17">
        <v>35398.208955223876</v>
      </c>
      <c r="AE126" s="822" t="s">
        <v>314</v>
      </c>
      <c r="AF126" s="821">
        <v>6.6295994616991885E-2</v>
      </c>
      <c r="AG126" s="16"/>
      <c r="AH126" s="838"/>
      <c r="AI126" s="17">
        <v>51130.746268656709</v>
      </c>
    </row>
    <row r="127" spans="1:35">
      <c r="A127" s="822" t="s">
        <v>344</v>
      </c>
      <c r="B127" s="884">
        <v>2.5431290898274839E-2</v>
      </c>
      <c r="C127" s="840"/>
      <c r="D127" s="839"/>
      <c r="E127" s="818">
        <v>5026.9879518072294</v>
      </c>
      <c r="G127" s="822" t="s">
        <v>344</v>
      </c>
      <c r="H127" s="821">
        <v>2.7260336210813266E-2</v>
      </c>
      <c r="I127" s="16"/>
      <c r="J127" s="838"/>
      <c r="K127" s="17">
        <v>6555.2238805970146</v>
      </c>
      <c r="P127" s="822" t="s">
        <v>344</v>
      </c>
      <c r="Q127" s="821">
        <v>1.2189946870551834E-2</v>
      </c>
      <c r="R127" s="840"/>
      <c r="S127" s="839"/>
      <c r="T127" s="818">
        <v>5027</v>
      </c>
      <c r="V127" s="822" t="s">
        <v>344</v>
      </c>
      <c r="W127" s="821">
        <v>2.2913800968178816E-2</v>
      </c>
      <c r="X127" s="16"/>
      <c r="Y127" s="838"/>
      <c r="Z127" s="17">
        <v>11799.402985074626</v>
      </c>
      <c r="AE127" s="822" t="s">
        <v>239</v>
      </c>
      <c r="AF127" s="821">
        <v>2.2098664872330632E-2</v>
      </c>
      <c r="AG127" s="16"/>
      <c r="AH127" s="838"/>
      <c r="AI127" s="17">
        <v>17043.582089552237</v>
      </c>
    </row>
    <row r="128" spans="1:35" ht="30">
      <c r="A128" s="827" t="s">
        <v>317</v>
      </c>
      <c r="B128" s="883">
        <v>0.21616597263533613</v>
      </c>
      <c r="C128" s="825"/>
      <c r="D128" s="836"/>
      <c r="E128" s="882">
        <v>42729.397590361448</v>
      </c>
      <c r="G128" s="835" t="s">
        <v>315</v>
      </c>
      <c r="H128" s="386">
        <v>9.9954566106315312E-2</v>
      </c>
      <c r="I128" s="834">
        <v>0.11105502271580012</v>
      </c>
      <c r="J128" s="833" t="s">
        <v>316</v>
      </c>
      <c r="K128" s="17">
        <v>24035.820895522389</v>
      </c>
      <c r="P128" s="827" t="s">
        <v>317</v>
      </c>
      <c r="Q128" s="837">
        <v>0.10361333595221987</v>
      </c>
      <c r="R128" s="825"/>
      <c r="S128" s="836"/>
      <c r="T128" s="823">
        <v>42729</v>
      </c>
      <c r="V128" s="835" t="s">
        <v>315</v>
      </c>
      <c r="W128" s="386">
        <v>8.4017270216655657E-2</v>
      </c>
      <c r="X128" s="834">
        <v>9.1723640069642023E-2</v>
      </c>
      <c r="Y128" s="833" t="s">
        <v>316</v>
      </c>
      <c r="Z128" s="17">
        <v>43264.477611940296</v>
      </c>
      <c r="AE128" s="835" t="s">
        <v>315</v>
      </c>
      <c r="AF128" s="386">
        <v>8.1028437865212313E-2</v>
      </c>
      <c r="AG128" s="834">
        <v>8.8172954641797377E-2</v>
      </c>
      <c r="AH128" s="833" t="s">
        <v>316</v>
      </c>
      <c r="AI128" s="17">
        <v>62493.13432835821</v>
      </c>
    </row>
    <row r="129" spans="1:35">
      <c r="A129" s="832" t="s">
        <v>345</v>
      </c>
      <c r="B129" s="831"/>
      <c r="C129" s="830"/>
      <c r="D129" s="829"/>
      <c r="E129" s="828">
        <v>197669.39759036145</v>
      </c>
      <c r="G129" s="827" t="s">
        <v>317</v>
      </c>
      <c r="H129" s="826">
        <v>0.29986369831894594</v>
      </c>
      <c r="I129" s="825"/>
      <c r="J129" s="824"/>
      <c r="K129" s="823">
        <v>72107.46268656716</v>
      </c>
      <c r="P129" s="832" t="s">
        <v>345</v>
      </c>
      <c r="Q129" s="831"/>
      <c r="R129" s="830"/>
      <c r="S129" s="829"/>
      <c r="T129" s="828">
        <v>412389</v>
      </c>
      <c r="V129" s="827" t="s">
        <v>317</v>
      </c>
      <c r="W129" s="826">
        <v>0.25205181064996696</v>
      </c>
      <c r="X129" s="825"/>
      <c r="Y129" s="824"/>
      <c r="Z129" s="823">
        <v>129793.43283582089</v>
      </c>
      <c r="AE129" s="827" t="s">
        <v>317</v>
      </c>
      <c r="AF129" s="826">
        <v>0.24308531359563695</v>
      </c>
      <c r="AG129" s="825"/>
      <c r="AH129" s="824"/>
      <c r="AI129" s="823">
        <v>187479.40298507462</v>
      </c>
    </row>
    <row r="130" spans="1:35" ht="15.75" thickBot="1">
      <c r="A130" s="822" t="s">
        <v>315</v>
      </c>
      <c r="B130" s="821">
        <v>0.1</v>
      </c>
      <c r="C130" s="820"/>
      <c r="D130" s="819"/>
      <c r="E130" s="881">
        <v>19766.939759036148</v>
      </c>
      <c r="G130" s="816" t="s">
        <v>203</v>
      </c>
      <c r="H130" s="815"/>
      <c r="I130" s="814"/>
      <c r="J130" s="813"/>
      <c r="K130" s="817">
        <v>240467.46268656716</v>
      </c>
      <c r="P130" s="822" t="s">
        <v>315</v>
      </c>
      <c r="Q130" s="821">
        <v>0.1</v>
      </c>
      <c r="R130" s="820"/>
      <c r="S130" s="819"/>
      <c r="T130" s="818">
        <v>41238.9</v>
      </c>
      <c r="V130" s="816" t="s">
        <v>203</v>
      </c>
      <c r="W130" s="815"/>
      <c r="X130" s="814"/>
      <c r="Y130" s="813"/>
      <c r="Z130" s="817">
        <v>514947.43283582083</v>
      </c>
      <c r="AE130" s="816" t="s">
        <v>203</v>
      </c>
      <c r="AF130" s="815"/>
      <c r="AG130" s="814"/>
      <c r="AH130" s="813"/>
      <c r="AI130" s="817">
        <v>771249.40298507456</v>
      </c>
    </row>
    <row r="131" spans="1:35" ht="16.5" thickTop="1" thickBot="1">
      <c r="A131" s="816" t="s">
        <v>203</v>
      </c>
      <c r="B131" s="815"/>
      <c r="C131" s="814"/>
      <c r="D131" s="813"/>
      <c r="E131" s="812">
        <v>217436.3373493976</v>
      </c>
      <c r="G131" s="798" t="s">
        <v>318</v>
      </c>
      <c r="H131" s="811"/>
      <c r="I131" s="811"/>
      <c r="J131" s="811"/>
      <c r="K131" s="809">
        <v>20038.955223880595</v>
      </c>
      <c r="P131" s="816" t="s">
        <v>203</v>
      </c>
      <c r="Q131" s="815"/>
      <c r="R131" s="814"/>
      <c r="S131" s="813"/>
      <c r="T131" s="812">
        <v>453627.9</v>
      </c>
      <c r="V131" s="798" t="s">
        <v>318</v>
      </c>
      <c r="W131" s="811"/>
      <c r="X131" s="811"/>
      <c r="Y131" s="811"/>
      <c r="Z131" s="809">
        <v>42912.286069651738</v>
      </c>
      <c r="AE131" s="798" t="s">
        <v>318</v>
      </c>
      <c r="AF131" s="811"/>
      <c r="AG131" s="811"/>
      <c r="AH131" s="811"/>
      <c r="AI131" s="809">
        <v>64270.783582089549</v>
      </c>
    </row>
    <row r="132" spans="1:35" ht="16.5" thickTop="1" thickBot="1">
      <c r="A132" s="798" t="s">
        <v>318</v>
      </c>
      <c r="B132" s="811"/>
      <c r="C132" s="811"/>
      <c r="D132" s="810"/>
      <c r="E132" s="809">
        <v>18119.694779116468</v>
      </c>
      <c r="G132" s="808" t="s">
        <v>205</v>
      </c>
      <c r="H132" s="807">
        <v>2.3181925158860972E-2</v>
      </c>
      <c r="I132" s="806"/>
      <c r="J132" s="806"/>
      <c r="K132" s="805">
        <v>20503.49678414236</v>
      </c>
      <c r="P132" s="798" t="s">
        <v>318</v>
      </c>
      <c r="Q132" s="811"/>
      <c r="R132" s="811"/>
      <c r="S132" s="810"/>
      <c r="T132" s="809">
        <v>37802.325000000004</v>
      </c>
      <c r="V132" s="808" t="s">
        <v>205</v>
      </c>
      <c r="W132" s="807">
        <v>2.3181925158860972E-2</v>
      </c>
      <c r="X132" s="806"/>
      <c r="Y132" s="806"/>
      <c r="Z132" s="805">
        <v>43907.075473714038</v>
      </c>
      <c r="AE132" s="808" t="s">
        <v>205</v>
      </c>
      <c r="AF132" s="807">
        <v>2.3181925158860972E-2</v>
      </c>
      <c r="AG132" s="806"/>
      <c r="AH132" s="806"/>
      <c r="AI132" s="805">
        <v>65760.994999999995</v>
      </c>
    </row>
    <row r="133" spans="1:35" ht="15.75" thickBot="1">
      <c r="A133" s="804" t="s">
        <v>346</v>
      </c>
      <c r="B133" s="803">
        <v>2.3199999999999998E-2</v>
      </c>
      <c r="C133" s="802" t="s">
        <v>347</v>
      </c>
      <c r="D133" s="801"/>
      <c r="E133" s="800">
        <v>18540.071697991971</v>
      </c>
      <c r="G133" s="794" t="s">
        <v>357</v>
      </c>
      <c r="H133" s="794"/>
      <c r="I133" s="794"/>
      <c r="J133" s="794"/>
      <c r="K133" s="799">
        <v>246041.96140970831</v>
      </c>
      <c r="P133" s="804" t="s">
        <v>346</v>
      </c>
      <c r="Q133" s="803">
        <v>2.3199999999999998E-2</v>
      </c>
      <c r="R133" s="802" t="s">
        <v>347</v>
      </c>
      <c r="S133" s="801"/>
      <c r="T133" s="800">
        <v>38679.338940000009</v>
      </c>
      <c r="V133" s="794" t="s">
        <v>357</v>
      </c>
      <c r="W133" s="794"/>
      <c r="X133" s="794"/>
      <c r="Y133" s="794"/>
      <c r="Z133" s="799">
        <v>526884.90568456845</v>
      </c>
      <c r="AE133" s="794" t="s">
        <v>327</v>
      </c>
      <c r="AF133" s="793">
        <v>4.1911189358372423E-2</v>
      </c>
      <c r="AG133" s="794"/>
      <c r="AI133" s="792">
        <v>68517.116513839981</v>
      </c>
    </row>
    <row r="134" spans="1:35" ht="15.75" thickBot="1">
      <c r="A134" s="798" t="s">
        <v>348</v>
      </c>
      <c r="B134" s="797"/>
      <c r="C134" s="797"/>
      <c r="D134" s="796"/>
      <c r="E134" s="795">
        <v>222480.86037590366</v>
      </c>
      <c r="G134" s="794" t="s">
        <v>499</v>
      </c>
      <c r="H134" s="793">
        <f>$B$1</f>
        <v>4.1911189358372423E-2</v>
      </c>
      <c r="K134" s="792">
        <f>K132*(1+$B$1)+0.01</f>
        <v>21362.832720371327</v>
      </c>
      <c r="P134" s="798" t="s">
        <v>348</v>
      </c>
      <c r="Q134" s="797"/>
      <c r="R134" s="797"/>
      <c r="S134" s="796"/>
      <c r="T134" s="795">
        <v>464152.06728000008</v>
      </c>
      <c r="V134" s="794" t="s">
        <v>499</v>
      </c>
      <c r="W134" s="793">
        <f>$B$1</f>
        <v>4.1911189358372423E-2</v>
      </c>
      <c r="Z134" s="792">
        <f>Z132*(1+$B$1)-0.08</f>
        <v>45747.193228065211</v>
      </c>
    </row>
    <row r="135" spans="1:35">
      <c r="A135" s="880"/>
      <c r="B135" s="880"/>
      <c r="C135" s="880"/>
      <c r="D135" s="829"/>
      <c r="E135" s="886"/>
    </row>
    <row r="136" spans="1:35" ht="15.75" thickBot="1"/>
    <row r="137" spans="1:35">
      <c r="A137" s="3145" t="s">
        <v>350</v>
      </c>
      <c r="B137" s="3146"/>
      <c r="C137" s="3146"/>
      <c r="D137" s="3146"/>
      <c r="E137" s="3147"/>
      <c r="G137" s="3142" t="s">
        <v>362</v>
      </c>
      <c r="H137" s="3143"/>
      <c r="I137" s="3143"/>
      <c r="J137" s="3143"/>
      <c r="K137" s="3144"/>
      <c r="P137" s="3145" t="s">
        <v>497</v>
      </c>
      <c r="Q137" s="3146"/>
      <c r="R137" s="3146"/>
      <c r="S137" s="3146"/>
      <c r="T137" s="3147"/>
      <c r="V137" s="3142" t="s">
        <v>488</v>
      </c>
      <c r="W137" s="3143"/>
      <c r="X137" s="3143"/>
      <c r="Y137" s="3143"/>
      <c r="Z137" s="3144"/>
      <c r="AE137" s="3142" t="s">
        <v>325</v>
      </c>
      <c r="AF137" s="3143"/>
      <c r="AG137" s="3143"/>
      <c r="AH137" s="3143"/>
      <c r="AI137" s="3144"/>
    </row>
    <row r="138" spans="1:35" ht="33.75" customHeight="1">
      <c r="A138" s="832"/>
      <c r="B138" s="879" t="s">
        <v>341</v>
      </c>
      <c r="C138" s="830" t="s">
        <v>342</v>
      </c>
      <c r="D138" s="829" t="s">
        <v>190</v>
      </c>
      <c r="E138" s="842" t="s">
        <v>343</v>
      </c>
      <c r="G138" s="832"/>
      <c r="H138" s="879" t="s">
        <v>311</v>
      </c>
      <c r="I138" s="830" t="s">
        <v>342</v>
      </c>
      <c r="J138" s="858" t="s">
        <v>190</v>
      </c>
      <c r="K138" s="842" t="s">
        <v>343</v>
      </c>
      <c r="P138" s="832"/>
      <c r="Q138" s="879" t="s">
        <v>341</v>
      </c>
      <c r="R138" s="830" t="s">
        <v>342</v>
      </c>
      <c r="S138" s="829" t="s">
        <v>190</v>
      </c>
      <c r="T138" s="842" t="s">
        <v>343</v>
      </c>
      <c r="V138" s="832"/>
      <c r="W138" s="879" t="s">
        <v>311</v>
      </c>
      <c r="X138" s="830" t="s">
        <v>342</v>
      </c>
      <c r="Y138" s="858" t="s">
        <v>190</v>
      </c>
      <c r="Z138" s="842" t="s">
        <v>343</v>
      </c>
      <c r="AE138" s="832"/>
      <c r="AF138" s="879" t="s">
        <v>311</v>
      </c>
      <c r="AG138" s="830" t="s">
        <v>209</v>
      </c>
      <c r="AH138" s="858" t="s">
        <v>190</v>
      </c>
      <c r="AI138" s="842" t="s">
        <v>210</v>
      </c>
    </row>
    <row r="139" spans="1:35">
      <c r="A139" s="878" t="s">
        <v>312</v>
      </c>
      <c r="B139" s="840"/>
      <c r="C139" s="840">
        <v>50000</v>
      </c>
      <c r="D139" s="876">
        <v>0.2</v>
      </c>
      <c r="E139" s="818">
        <v>10000</v>
      </c>
      <c r="G139" s="15" t="s">
        <v>312</v>
      </c>
      <c r="H139" s="16"/>
      <c r="I139" s="871">
        <v>50000</v>
      </c>
      <c r="J139" s="877">
        <v>0.38500000000000001</v>
      </c>
      <c r="K139" s="17">
        <v>19250</v>
      </c>
      <c r="P139" s="878" t="s">
        <v>312</v>
      </c>
      <c r="Q139" s="840"/>
      <c r="R139" s="840">
        <v>50000</v>
      </c>
      <c r="S139" s="876">
        <v>0.6</v>
      </c>
      <c r="T139" s="818">
        <v>30000</v>
      </c>
      <c r="V139" s="15" t="s">
        <v>312</v>
      </c>
      <c r="W139" s="16"/>
      <c r="X139" s="871">
        <v>50000</v>
      </c>
      <c r="Y139" s="877">
        <v>0.7649999999999999</v>
      </c>
      <c r="Z139" s="17">
        <v>38249.999999999993</v>
      </c>
      <c r="AE139" s="15" t="s">
        <v>312</v>
      </c>
      <c r="AF139" s="16"/>
      <c r="AG139" s="871">
        <v>50000</v>
      </c>
      <c r="AH139" s="876">
        <v>0.74750000000000005</v>
      </c>
      <c r="AI139" s="17">
        <v>37375</v>
      </c>
    </row>
    <row r="140" spans="1:35">
      <c r="A140" s="875" t="s">
        <v>192</v>
      </c>
      <c r="B140" s="874"/>
      <c r="C140" s="840">
        <v>39000</v>
      </c>
      <c r="D140" s="873">
        <v>3.5</v>
      </c>
      <c r="E140" s="872">
        <v>136500</v>
      </c>
      <c r="G140" s="18" t="s">
        <v>192</v>
      </c>
      <c r="H140" s="749"/>
      <c r="I140" s="871">
        <v>40000</v>
      </c>
      <c r="J140" s="870">
        <v>3.5</v>
      </c>
      <c r="K140" s="48">
        <v>140000</v>
      </c>
      <c r="P140" s="875" t="s">
        <v>192</v>
      </c>
      <c r="Q140" s="874"/>
      <c r="R140" s="840">
        <v>39000</v>
      </c>
      <c r="S140" s="873">
        <v>7.5</v>
      </c>
      <c r="T140" s="872">
        <v>292500</v>
      </c>
      <c r="V140" s="18" t="s">
        <v>192</v>
      </c>
      <c r="W140" s="749"/>
      <c r="X140" s="871">
        <v>40000</v>
      </c>
      <c r="Y140" s="870">
        <v>7.5</v>
      </c>
      <c r="Z140" s="48">
        <v>300000</v>
      </c>
      <c r="AE140" s="18" t="s">
        <v>192</v>
      </c>
      <c r="AF140" s="749"/>
      <c r="AG140" s="871">
        <v>40000</v>
      </c>
      <c r="AH140" s="870">
        <v>11.5</v>
      </c>
      <c r="AI140" s="48">
        <v>460000</v>
      </c>
    </row>
    <row r="141" spans="1:35">
      <c r="A141" s="868" t="s">
        <v>194</v>
      </c>
      <c r="B141" s="867"/>
      <c r="C141" s="866"/>
      <c r="D141" s="869">
        <v>3.7</v>
      </c>
      <c r="E141" s="823">
        <v>146500</v>
      </c>
      <c r="G141" s="868" t="s">
        <v>194</v>
      </c>
      <c r="H141" s="867"/>
      <c r="I141" s="866"/>
      <c r="J141" s="865">
        <v>3.8849999999999998</v>
      </c>
      <c r="K141" s="864">
        <v>159250</v>
      </c>
      <c r="P141" s="868" t="s">
        <v>194</v>
      </c>
      <c r="Q141" s="867"/>
      <c r="R141" s="866"/>
      <c r="S141" s="869">
        <v>8.1</v>
      </c>
      <c r="T141" s="823">
        <v>322500</v>
      </c>
      <c r="V141" s="868" t="s">
        <v>194</v>
      </c>
      <c r="W141" s="867"/>
      <c r="X141" s="866"/>
      <c r="Y141" s="865">
        <v>8.2650000000000006</v>
      </c>
      <c r="Z141" s="864">
        <v>338250</v>
      </c>
      <c r="AE141" s="868" t="s">
        <v>194</v>
      </c>
      <c r="AF141" s="867"/>
      <c r="AG141" s="866"/>
      <c r="AH141" s="865">
        <v>12.2475</v>
      </c>
      <c r="AI141" s="864">
        <v>497375</v>
      </c>
    </row>
    <row r="142" spans="1:35">
      <c r="A142" s="863"/>
      <c r="B142" s="862"/>
      <c r="C142" s="861"/>
      <c r="D142" s="860"/>
      <c r="E142" s="828"/>
      <c r="G142" s="863"/>
      <c r="H142" s="862"/>
      <c r="I142" s="861"/>
      <c r="J142" s="860"/>
      <c r="K142" s="828"/>
      <c r="P142" s="863"/>
      <c r="Q142" s="862"/>
      <c r="R142" s="861"/>
      <c r="S142" s="860"/>
      <c r="T142" s="828"/>
      <c r="V142" s="863"/>
      <c r="W142" s="862"/>
      <c r="X142" s="861"/>
      <c r="Y142" s="860"/>
      <c r="Z142" s="828"/>
      <c r="AE142" s="863"/>
      <c r="AF142" s="862"/>
      <c r="AG142" s="861"/>
      <c r="AH142" s="860"/>
      <c r="AI142" s="828"/>
    </row>
    <row r="143" spans="1:35">
      <c r="A143" s="832" t="s">
        <v>195</v>
      </c>
      <c r="B143" s="859"/>
      <c r="C143" s="830"/>
      <c r="D143" s="829"/>
      <c r="E143" s="842"/>
      <c r="G143" s="832" t="s">
        <v>195</v>
      </c>
      <c r="H143" s="859"/>
      <c r="I143" s="830"/>
      <c r="J143" s="858"/>
      <c r="K143" s="842"/>
      <c r="P143" s="832" t="s">
        <v>195</v>
      </c>
      <c r="Q143" s="859"/>
      <c r="R143" s="830"/>
      <c r="S143" s="829"/>
      <c r="T143" s="842"/>
      <c r="V143" s="832" t="s">
        <v>195</v>
      </c>
      <c r="W143" s="859"/>
      <c r="X143" s="830"/>
      <c r="Y143" s="858"/>
      <c r="Z143" s="842"/>
      <c r="AE143" s="832" t="s">
        <v>195</v>
      </c>
      <c r="AF143" s="859"/>
      <c r="AG143" s="830"/>
      <c r="AH143" s="858"/>
      <c r="AI143" s="842"/>
    </row>
    <row r="144" spans="1:35" ht="30">
      <c r="A144" s="822" t="s">
        <v>196</v>
      </c>
      <c r="B144" s="857">
        <v>0.22</v>
      </c>
      <c r="C144" s="854" t="s">
        <v>197</v>
      </c>
      <c r="D144" s="856"/>
      <c r="E144" s="818">
        <v>32230</v>
      </c>
      <c r="G144" s="822" t="s">
        <v>196</v>
      </c>
      <c r="H144" s="855">
        <v>0.22</v>
      </c>
      <c r="I144" s="854" t="s">
        <v>197</v>
      </c>
      <c r="J144" s="853"/>
      <c r="K144" s="818">
        <v>35035</v>
      </c>
      <c r="P144" s="822" t="s">
        <v>196</v>
      </c>
      <c r="Q144" s="857">
        <v>0.22</v>
      </c>
      <c r="R144" s="854" t="s">
        <v>197</v>
      </c>
      <c r="S144" s="856"/>
      <c r="T144" s="818">
        <v>70950</v>
      </c>
      <c r="V144" s="822" t="s">
        <v>196</v>
      </c>
      <c r="W144" s="855">
        <v>0.22</v>
      </c>
      <c r="X144" s="854" t="s">
        <v>197</v>
      </c>
      <c r="Y144" s="853"/>
      <c r="Z144" s="818">
        <v>74415</v>
      </c>
      <c r="AE144" s="822" t="s">
        <v>196</v>
      </c>
      <c r="AF144" s="855">
        <v>0.22</v>
      </c>
      <c r="AG144" s="854" t="s">
        <v>197</v>
      </c>
      <c r="AH144" s="853"/>
      <c r="AI144" s="818">
        <v>109422.5</v>
      </c>
    </row>
    <row r="145" spans="1:35">
      <c r="A145" s="852" t="s">
        <v>198</v>
      </c>
      <c r="B145" s="851">
        <v>0.8070553877808383</v>
      </c>
      <c r="C145" s="850"/>
      <c r="D145" s="849"/>
      <c r="E145" s="885">
        <v>178730</v>
      </c>
      <c r="G145" s="787" t="s">
        <v>198</v>
      </c>
      <c r="H145" s="848">
        <v>0.7100976656739264</v>
      </c>
      <c r="I145" s="847"/>
      <c r="J145" s="846"/>
      <c r="K145" s="845">
        <v>194285</v>
      </c>
      <c r="P145" s="852" t="s">
        <v>198</v>
      </c>
      <c r="Q145" s="851">
        <v>0.90203792479692968</v>
      </c>
      <c r="R145" s="850"/>
      <c r="S145" s="849"/>
      <c r="T145" s="845">
        <v>393450</v>
      </c>
      <c r="V145" s="787" t="s">
        <v>198</v>
      </c>
      <c r="W145" s="848">
        <v>0.75075157146761429</v>
      </c>
      <c r="X145" s="847"/>
      <c r="Y145" s="846"/>
      <c r="Z145" s="845">
        <v>412665</v>
      </c>
      <c r="AE145" s="787" t="s">
        <v>198</v>
      </c>
      <c r="AF145" s="848">
        <v>0.75708902135297007</v>
      </c>
      <c r="AG145" s="847"/>
      <c r="AH145" s="846"/>
      <c r="AI145" s="845">
        <v>606797.5</v>
      </c>
    </row>
    <row r="146" spans="1:35">
      <c r="A146" s="844"/>
      <c r="B146" s="843"/>
      <c r="C146" s="840"/>
      <c r="D146" s="839"/>
      <c r="E146" s="842"/>
      <c r="G146" s="29"/>
      <c r="H146" s="30"/>
      <c r="I146" s="16"/>
      <c r="J146" s="841"/>
      <c r="K146" s="17"/>
      <c r="P146" s="844"/>
      <c r="Q146" s="843"/>
      <c r="R146" s="840"/>
      <c r="S146" s="839"/>
      <c r="T146" s="842"/>
      <c r="V146" s="29"/>
      <c r="W146" s="30"/>
      <c r="X146" s="16"/>
      <c r="Y146" s="841"/>
      <c r="Z146" s="17"/>
      <c r="AE146" s="29"/>
      <c r="AF146" s="30"/>
      <c r="AG146" s="16"/>
      <c r="AH146" s="841"/>
      <c r="AI146" s="17"/>
    </row>
    <row r="147" spans="1:35">
      <c r="A147" s="822" t="s">
        <v>313</v>
      </c>
      <c r="B147" s="884">
        <v>7.9447781502007778E-2</v>
      </c>
      <c r="C147" s="840"/>
      <c r="D147" s="839"/>
      <c r="E147" s="818">
        <v>17594.457831325304</v>
      </c>
      <c r="G147" s="835" t="s">
        <v>313</v>
      </c>
      <c r="H147" s="821">
        <v>8.7849192220022285E-2</v>
      </c>
      <c r="I147" s="16"/>
      <c r="J147" s="838"/>
      <c r="K147" s="17">
        <v>24035.820895522389</v>
      </c>
      <c r="P147" s="822" t="s">
        <v>313</v>
      </c>
      <c r="Q147" s="821">
        <v>4.0336650778694069E-2</v>
      </c>
      <c r="R147" s="840"/>
      <c r="S147" s="839"/>
      <c r="T147" s="818">
        <v>17594</v>
      </c>
      <c r="V147" s="835" t="s">
        <v>313</v>
      </c>
      <c r="W147" s="821">
        <v>7.552982682799575E-2</v>
      </c>
      <c r="X147" s="16"/>
      <c r="Y147" s="838"/>
      <c r="Z147" s="17">
        <v>41516.417910447766</v>
      </c>
      <c r="AE147" s="835" t="s">
        <v>313</v>
      </c>
      <c r="AF147" s="821">
        <v>7.3609387468796944E-2</v>
      </c>
      <c r="AG147" s="16"/>
      <c r="AH147" s="838"/>
      <c r="AI147" s="17">
        <v>58997.014925373136</v>
      </c>
    </row>
    <row r="148" spans="1:35">
      <c r="A148" s="822" t="s">
        <v>314</v>
      </c>
      <c r="B148" s="884">
        <v>9.0797464573723174E-2</v>
      </c>
      <c r="C148" s="840"/>
      <c r="D148" s="839"/>
      <c r="E148" s="818">
        <v>20107.951807228917</v>
      </c>
      <c r="G148" s="822" t="s">
        <v>314</v>
      </c>
      <c r="H148" s="821">
        <v>7.906427299802006E-2</v>
      </c>
      <c r="I148" s="16"/>
      <c r="J148" s="838"/>
      <c r="K148" s="17">
        <v>21632.238805970148</v>
      </c>
      <c r="P148" s="822" t="s">
        <v>314</v>
      </c>
      <c r="Q148" s="821">
        <v>4.6100339539500983E-2</v>
      </c>
      <c r="R148" s="840"/>
      <c r="S148" s="839"/>
      <c r="T148" s="818">
        <v>20108</v>
      </c>
      <c r="V148" s="822" t="s">
        <v>314</v>
      </c>
      <c r="W148" s="821">
        <v>6.7976844145196155E-2</v>
      </c>
      <c r="X148" s="16"/>
      <c r="Y148" s="838"/>
      <c r="Z148" s="17">
        <v>37364.776119402981</v>
      </c>
      <c r="AE148" s="822" t="s">
        <v>314</v>
      </c>
      <c r="AF148" s="821">
        <v>6.6248448721917236E-2</v>
      </c>
      <c r="AG148" s="16"/>
      <c r="AH148" s="838"/>
      <c r="AI148" s="17">
        <v>53097.313432835814</v>
      </c>
    </row>
    <row r="149" spans="1:35">
      <c r="A149" s="822" t="s">
        <v>344</v>
      </c>
      <c r="B149" s="884">
        <v>2.2699366143430794E-2</v>
      </c>
      <c r="C149" s="840"/>
      <c r="D149" s="839"/>
      <c r="E149" s="818">
        <v>5026.9879518072294</v>
      </c>
      <c r="G149" s="822" t="s">
        <v>344</v>
      </c>
      <c r="H149" s="821">
        <v>2.6354757666006683E-2</v>
      </c>
      <c r="I149" s="16"/>
      <c r="J149" s="838"/>
      <c r="K149" s="17">
        <v>7210.746268656716</v>
      </c>
      <c r="P149" s="822" t="s">
        <v>344</v>
      </c>
      <c r="Q149" s="821">
        <v>1.1525084884875246E-2</v>
      </c>
      <c r="R149" s="840"/>
      <c r="S149" s="839"/>
      <c r="T149" s="818">
        <v>5027</v>
      </c>
      <c r="V149" s="822" t="s">
        <v>344</v>
      </c>
      <c r="W149" s="821">
        <v>2.2658948048398721E-2</v>
      </c>
      <c r="X149" s="16"/>
      <c r="Y149" s="838"/>
      <c r="Z149" s="17">
        <v>12454.925373134327</v>
      </c>
      <c r="AE149" s="822" t="s">
        <v>239</v>
      </c>
      <c r="AF149" s="821">
        <v>2.2082816240639087E-2</v>
      </c>
      <c r="AG149" s="16"/>
      <c r="AH149" s="838"/>
      <c r="AI149" s="17">
        <v>17699.104477611942</v>
      </c>
    </row>
    <row r="150" spans="1:35" ht="30">
      <c r="A150" s="827" t="s">
        <v>317</v>
      </c>
      <c r="B150" s="883">
        <v>0.19294461221916173</v>
      </c>
      <c r="C150" s="825"/>
      <c r="D150" s="836"/>
      <c r="E150" s="882">
        <v>42729.397590361448</v>
      </c>
      <c r="G150" s="835" t="s">
        <v>315</v>
      </c>
      <c r="H150" s="386">
        <v>9.6634111442024509E-2</v>
      </c>
      <c r="I150" s="834">
        <v>0.10697117598305553</v>
      </c>
      <c r="J150" s="833" t="s">
        <v>316</v>
      </c>
      <c r="K150" s="17">
        <v>26439.402985074626</v>
      </c>
      <c r="P150" s="827" t="s">
        <v>317</v>
      </c>
      <c r="Q150" s="837">
        <v>9.7962075203070292E-2</v>
      </c>
      <c r="R150" s="825"/>
      <c r="S150" s="836"/>
      <c r="T150" s="823">
        <v>42729</v>
      </c>
      <c r="V150" s="835" t="s">
        <v>315</v>
      </c>
      <c r="W150" s="386">
        <v>8.3082809510795316E-2</v>
      </c>
      <c r="X150" s="834">
        <v>9.0611028315946363E-2</v>
      </c>
      <c r="Y150" s="833" t="s">
        <v>316</v>
      </c>
      <c r="Z150" s="17">
        <v>45668.059701492537</v>
      </c>
      <c r="AE150" s="835" t="s">
        <v>315</v>
      </c>
      <c r="AF150" s="386">
        <v>8.0970326215676638E-2</v>
      </c>
      <c r="AG150" s="834">
        <v>8.8104147804348956E-2</v>
      </c>
      <c r="AH150" s="833" t="s">
        <v>316</v>
      </c>
      <c r="AI150" s="17">
        <v>64896.716417910444</v>
      </c>
    </row>
    <row r="151" spans="1:35">
      <c r="A151" s="832" t="s">
        <v>345</v>
      </c>
      <c r="B151" s="831"/>
      <c r="C151" s="830"/>
      <c r="D151" s="829"/>
      <c r="E151" s="828">
        <v>221459.39759036145</v>
      </c>
      <c r="G151" s="827" t="s">
        <v>317</v>
      </c>
      <c r="H151" s="826">
        <v>0.28990233432607354</v>
      </c>
      <c r="I151" s="825"/>
      <c r="J151" s="824"/>
      <c r="K151" s="823">
        <v>79318.208955223876</v>
      </c>
      <c r="P151" s="832" t="s">
        <v>345</v>
      </c>
      <c r="Q151" s="831"/>
      <c r="R151" s="830"/>
      <c r="S151" s="829"/>
      <c r="T151" s="828">
        <v>436179</v>
      </c>
      <c r="V151" s="827" t="s">
        <v>317</v>
      </c>
      <c r="W151" s="826">
        <v>0.24924842853238593</v>
      </c>
      <c r="X151" s="825"/>
      <c r="Y151" s="824"/>
      <c r="Z151" s="823">
        <v>137004.1791044776</v>
      </c>
      <c r="AE151" s="827" t="s">
        <v>317</v>
      </c>
      <c r="AF151" s="826">
        <v>0.24291097864702993</v>
      </c>
      <c r="AG151" s="825"/>
      <c r="AH151" s="824"/>
      <c r="AI151" s="823">
        <v>194690.14925373133</v>
      </c>
    </row>
    <row r="152" spans="1:35" ht="15.75" thickBot="1">
      <c r="A152" s="822" t="s">
        <v>315</v>
      </c>
      <c r="B152" s="821">
        <v>0.1</v>
      </c>
      <c r="C152" s="820"/>
      <c r="D152" s="819"/>
      <c r="E152" s="881">
        <v>22145.939759036148</v>
      </c>
      <c r="G152" s="816" t="s">
        <v>203</v>
      </c>
      <c r="H152" s="815"/>
      <c r="I152" s="814"/>
      <c r="J152" s="813"/>
      <c r="K152" s="817">
        <v>273603.2089552239</v>
      </c>
      <c r="P152" s="822" t="s">
        <v>315</v>
      </c>
      <c r="Q152" s="821">
        <v>0.1</v>
      </c>
      <c r="R152" s="820"/>
      <c r="S152" s="819"/>
      <c r="T152" s="818">
        <v>43617.9</v>
      </c>
      <c r="V152" s="816" t="s">
        <v>203</v>
      </c>
      <c r="W152" s="815"/>
      <c r="X152" s="814"/>
      <c r="Y152" s="813"/>
      <c r="Z152" s="817">
        <v>549669.17910447752</v>
      </c>
      <c r="AE152" s="816" t="s">
        <v>203</v>
      </c>
      <c r="AF152" s="815"/>
      <c r="AG152" s="814"/>
      <c r="AH152" s="813"/>
      <c r="AI152" s="817">
        <v>801487.64925373136</v>
      </c>
    </row>
    <row r="153" spans="1:35" ht="16.5" thickTop="1" thickBot="1">
      <c r="A153" s="816" t="s">
        <v>203</v>
      </c>
      <c r="B153" s="815"/>
      <c r="C153" s="814"/>
      <c r="D153" s="813"/>
      <c r="E153" s="812">
        <v>243605.3373493976</v>
      </c>
      <c r="G153" s="798" t="s">
        <v>318</v>
      </c>
      <c r="H153" s="811"/>
      <c r="I153" s="811"/>
      <c r="J153" s="811"/>
      <c r="K153" s="809">
        <v>22800.267412935325</v>
      </c>
      <c r="P153" s="816" t="s">
        <v>203</v>
      </c>
      <c r="Q153" s="815"/>
      <c r="R153" s="814"/>
      <c r="S153" s="813"/>
      <c r="T153" s="812">
        <v>479796.9</v>
      </c>
      <c r="V153" s="798" t="s">
        <v>318</v>
      </c>
      <c r="W153" s="811"/>
      <c r="X153" s="811"/>
      <c r="Y153" s="811"/>
      <c r="Z153" s="809">
        <v>45805.764925373129</v>
      </c>
      <c r="AE153" s="798" t="s">
        <v>318</v>
      </c>
      <c r="AF153" s="811"/>
      <c r="AG153" s="811"/>
      <c r="AH153" s="811"/>
      <c r="AI153" s="809">
        <v>66790.637437810947</v>
      </c>
    </row>
    <row r="154" spans="1:35" ht="16.5" thickTop="1" thickBot="1">
      <c r="A154" s="798" t="s">
        <v>318</v>
      </c>
      <c r="B154" s="811"/>
      <c r="C154" s="811"/>
      <c r="D154" s="810"/>
      <c r="E154" s="809">
        <v>20300.444779116468</v>
      </c>
      <c r="G154" s="808" t="s">
        <v>205</v>
      </c>
      <c r="H154" s="807">
        <v>2.3181925158860972E-2</v>
      </c>
      <c r="I154" s="806"/>
      <c r="J154" s="806"/>
      <c r="K154" s="805">
        <v>23328.821505704007</v>
      </c>
      <c r="P154" s="798" t="s">
        <v>318</v>
      </c>
      <c r="Q154" s="811"/>
      <c r="R154" s="811"/>
      <c r="S154" s="810"/>
      <c r="T154" s="809">
        <v>39983.075000000004</v>
      </c>
      <c r="V154" s="808" t="s">
        <v>205</v>
      </c>
      <c r="W154" s="807">
        <v>2.3181925158860972E-2</v>
      </c>
      <c r="X154" s="806"/>
      <c r="Y154" s="806"/>
      <c r="Z154" s="805">
        <v>46867.630739717504</v>
      </c>
      <c r="AE154" s="808" t="s">
        <v>205</v>
      </c>
      <c r="AF154" s="807">
        <v>2.3181925158860972E-2</v>
      </c>
      <c r="AG154" s="806"/>
      <c r="AH154" s="806"/>
      <c r="AI154" s="805">
        <v>68338.998996206894</v>
      </c>
    </row>
    <row r="155" spans="1:35" ht="15.75" thickBot="1">
      <c r="A155" s="804" t="s">
        <v>346</v>
      </c>
      <c r="B155" s="803">
        <v>2.3199999999999998E-2</v>
      </c>
      <c r="C155" s="802" t="s">
        <v>347</v>
      </c>
      <c r="D155" s="801"/>
      <c r="E155" s="800">
        <v>20771.415097991972</v>
      </c>
      <c r="G155" s="794" t="s">
        <v>357</v>
      </c>
      <c r="H155" s="794"/>
      <c r="I155" s="794"/>
      <c r="J155" s="794"/>
      <c r="K155" s="799">
        <v>279945.85806844808</v>
      </c>
      <c r="P155" s="804" t="s">
        <v>346</v>
      </c>
      <c r="Q155" s="803">
        <v>2.3199999999999998E-2</v>
      </c>
      <c r="R155" s="802" t="s">
        <v>347</v>
      </c>
      <c r="S155" s="801"/>
      <c r="T155" s="800">
        <v>40910.682340000007</v>
      </c>
      <c r="V155" s="794" t="s">
        <v>357</v>
      </c>
      <c r="W155" s="794"/>
      <c r="X155" s="794"/>
      <c r="Y155" s="794"/>
      <c r="Z155" s="799">
        <v>562411.56887661002</v>
      </c>
      <c r="AE155" s="794" t="s">
        <v>327</v>
      </c>
      <c r="AF155" s="793">
        <v>4.1911189358372423E-2</v>
      </c>
      <c r="AG155" s="794"/>
      <c r="AI155" s="792">
        <v>71203.167723698542</v>
      </c>
    </row>
    <row r="156" spans="1:35" ht="15.75" thickBot="1">
      <c r="A156" s="798" t="s">
        <v>348</v>
      </c>
      <c r="B156" s="797"/>
      <c r="C156" s="797"/>
      <c r="D156" s="796"/>
      <c r="E156" s="795">
        <v>249256.98117590367</v>
      </c>
      <c r="G156" s="794" t="s">
        <v>499</v>
      </c>
      <c r="H156" s="793">
        <f>$B$1</f>
        <v>4.1911189358372423E-2</v>
      </c>
      <c r="K156" s="792">
        <f>K154*(1+$B$1)</f>
        <v>24306.560161337238</v>
      </c>
      <c r="P156" s="798" t="s">
        <v>348</v>
      </c>
      <c r="Q156" s="797"/>
      <c r="R156" s="797"/>
      <c r="S156" s="796"/>
      <c r="T156" s="795">
        <v>490928.18808000011</v>
      </c>
      <c r="V156" s="794" t="s">
        <v>499</v>
      </c>
      <c r="W156" s="793">
        <f>$B$1</f>
        <v>4.1911189358372423E-2</v>
      </c>
      <c r="Z156" s="792">
        <f>Z154*(1+$B$1)+0.38</f>
        <v>48832.288886428076</v>
      </c>
    </row>
    <row r="157" spans="1:35">
      <c r="A157" s="880"/>
      <c r="B157" s="843"/>
      <c r="C157" s="843"/>
      <c r="D157" s="819"/>
      <c r="E157" s="799"/>
    </row>
    <row r="158" spans="1:35" ht="15.75" thickBot="1"/>
    <row r="159" spans="1:35">
      <c r="A159" s="3145" t="s">
        <v>351</v>
      </c>
      <c r="B159" s="3146"/>
      <c r="C159" s="3146"/>
      <c r="D159" s="3146"/>
      <c r="E159" s="3147"/>
      <c r="G159" s="3142" t="s">
        <v>364</v>
      </c>
      <c r="H159" s="3143"/>
      <c r="I159" s="3143"/>
      <c r="J159" s="3143"/>
      <c r="K159" s="3144"/>
      <c r="P159" s="3145" t="s">
        <v>498</v>
      </c>
      <c r="Q159" s="3146"/>
      <c r="R159" s="3146"/>
      <c r="S159" s="3146"/>
      <c r="T159" s="3147"/>
      <c r="V159" s="3142" t="s">
        <v>365</v>
      </c>
      <c r="W159" s="3143"/>
      <c r="X159" s="3143"/>
      <c r="Y159" s="3143"/>
      <c r="Z159" s="3144"/>
      <c r="AE159" s="3142" t="s">
        <v>326</v>
      </c>
      <c r="AF159" s="3143"/>
      <c r="AG159" s="3143"/>
      <c r="AH159" s="3143"/>
      <c r="AI159" s="3144"/>
    </row>
    <row r="160" spans="1:35" ht="45">
      <c r="A160" s="832"/>
      <c r="B160" s="879" t="s">
        <v>341</v>
      </c>
      <c r="C160" s="830" t="s">
        <v>342</v>
      </c>
      <c r="D160" s="829" t="s">
        <v>190</v>
      </c>
      <c r="E160" s="842" t="s">
        <v>343</v>
      </c>
      <c r="G160" s="832"/>
      <c r="H160" s="879" t="s">
        <v>311</v>
      </c>
      <c r="I160" s="830" t="s">
        <v>342</v>
      </c>
      <c r="J160" s="858" t="s">
        <v>190</v>
      </c>
      <c r="K160" s="842" t="s">
        <v>343</v>
      </c>
      <c r="P160" s="832"/>
      <c r="Q160" s="879" t="s">
        <v>341</v>
      </c>
      <c r="R160" s="830" t="s">
        <v>342</v>
      </c>
      <c r="S160" s="829" t="s">
        <v>190</v>
      </c>
      <c r="T160" s="842" t="s">
        <v>343</v>
      </c>
      <c r="V160" s="832"/>
      <c r="W160" s="879" t="s">
        <v>311</v>
      </c>
      <c r="X160" s="830" t="s">
        <v>342</v>
      </c>
      <c r="Y160" s="858" t="s">
        <v>190</v>
      </c>
      <c r="Z160" s="842" t="s">
        <v>343</v>
      </c>
      <c r="AE160" s="832"/>
      <c r="AF160" s="879" t="s">
        <v>311</v>
      </c>
      <c r="AG160" s="830" t="s">
        <v>209</v>
      </c>
      <c r="AH160" s="858" t="s">
        <v>190</v>
      </c>
      <c r="AI160" s="842" t="s">
        <v>210</v>
      </c>
    </row>
    <row r="161" spans="1:35">
      <c r="A161" s="878" t="s">
        <v>312</v>
      </c>
      <c r="B161" s="840"/>
      <c r="C161" s="840">
        <v>50000</v>
      </c>
      <c r="D161" s="876">
        <v>0.3</v>
      </c>
      <c r="E161" s="818">
        <v>15000</v>
      </c>
      <c r="G161" s="15" t="s">
        <v>312</v>
      </c>
      <c r="H161" s="16"/>
      <c r="I161" s="871">
        <v>50000</v>
      </c>
      <c r="J161" s="877">
        <v>0.42</v>
      </c>
      <c r="K161" s="17">
        <v>21000</v>
      </c>
      <c r="P161" s="878" t="s">
        <v>312</v>
      </c>
      <c r="Q161" s="840"/>
      <c r="R161" s="840">
        <v>50000</v>
      </c>
      <c r="S161" s="876">
        <v>0.7</v>
      </c>
      <c r="T161" s="818">
        <v>35000</v>
      </c>
      <c r="V161" s="15" t="s">
        <v>312</v>
      </c>
      <c r="W161" s="16"/>
      <c r="X161" s="871">
        <v>50000</v>
      </c>
      <c r="Y161" s="877">
        <v>0.8</v>
      </c>
      <c r="Z161" s="17">
        <v>40000</v>
      </c>
      <c r="AE161" s="15" t="s">
        <v>312</v>
      </c>
      <c r="AF161" s="16"/>
      <c r="AG161" s="871">
        <v>50000</v>
      </c>
      <c r="AH161" s="876">
        <v>0.72</v>
      </c>
      <c r="AI161" s="17">
        <v>36000</v>
      </c>
    </row>
    <row r="162" spans="1:35">
      <c r="A162" s="875" t="s">
        <v>192</v>
      </c>
      <c r="B162" s="874"/>
      <c r="C162" s="840">
        <v>39000</v>
      </c>
      <c r="D162" s="873">
        <v>4</v>
      </c>
      <c r="E162" s="872">
        <v>156000</v>
      </c>
      <c r="G162" s="18" t="s">
        <v>192</v>
      </c>
      <c r="H162" s="749"/>
      <c r="I162" s="871">
        <v>40000</v>
      </c>
      <c r="J162" s="870">
        <v>4</v>
      </c>
      <c r="K162" s="48">
        <v>160000</v>
      </c>
      <c r="P162" s="875" t="s">
        <v>192</v>
      </c>
      <c r="Q162" s="874"/>
      <c r="R162" s="840">
        <v>39000</v>
      </c>
      <c r="S162" s="873">
        <v>8</v>
      </c>
      <c r="T162" s="872">
        <v>312000</v>
      </c>
      <c r="V162" s="18" t="s">
        <v>192</v>
      </c>
      <c r="W162" s="749"/>
      <c r="X162" s="871">
        <v>40000</v>
      </c>
      <c r="Y162" s="870">
        <v>8</v>
      </c>
      <c r="Z162" s="48">
        <v>320000</v>
      </c>
      <c r="AE162" s="18" t="s">
        <v>192</v>
      </c>
      <c r="AF162" s="749"/>
      <c r="AG162" s="871">
        <v>40000</v>
      </c>
      <c r="AH162" s="870">
        <v>12</v>
      </c>
      <c r="AI162" s="48">
        <v>480000</v>
      </c>
    </row>
    <row r="163" spans="1:35">
      <c r="A163" s="868" t="s">
        <v>194</v>
      </c>
      <c r="B163" s="867"/>
      <c r="C163" s="866"/>
      <c r="D163" s="869">
        <v>4.3</v>
      </c>
      <c r="E163" s="823">
        <v>171000</v>
      </c>
      <c r="G163" s="868" t="s">
        <v>194</v>
      </c>
      <c r="H163" s="867"/>
      <c r="I163" s="866"/>
      <c r="J163" s="865">
        <v>4.42</v>
      </c>
      <c r="K163" s="864">
        <v>181000</v>
      </c>
      <c r="P163" s="868" t="s">
        <v>194</v>
      </c>
      <c r="Q163" s="867"/>
      <c r="R163" s="866"/>
      <c r="S163" s="869">
        <v>8.6999999999999993</v>
      </c>
      <c r="T163" s="823">
        <v>347000</v>
      </c>
      <c r="V163" s="868" t="s">
        <v>194</v>
      </c>
      <c r="W163" s="867"/>
      <c r="X163" s="866"/>
      <c r="Y163" s="865">
        <v>8.8000000000000007</v>
      </c>
      <c r="Z163" s="864">
        <v>360000</v>
      </c>
      <c r="AE163" s="868" t="s">
        <v>194</v>
      </c>
      <c r="AF163" s="867"/>
      <c r="AG163" s="866"/>
      <c r="AH163" s="865">
        <v>12.72</v>
      </c>
      <c r="AI163" s="864">
        <v>516000</v>
      </c>
    </row>
    <row r="164" spans="1:35">
      <c r="A164" s="863"/>
      <c r="B164" s="862"/>
      <c r="C164" s="861"/>
      <c r="D164" s="860"/>
      <c r="E164" s="828"/>
      <c r="G164" s="863"/>
      <c r="H164" s="862"/>
      <c r="I164" s="861"/>
      <c r="J164" s="860"/>
      <c r="K164" s="828"/>
      <c r="P164" s="863"/>
      <c r="Q164" s="862"/>
      <c r="R164" s="861"/>
      <c r="S164" s="860"/>
      <c r="T164" s="828"/>
      <c r="V164" s="863"/>
      <c r="W164" s="862"/>
      <c r="X164" s="861"/>
      <c r="Y164" s="860"/>
      <c r="Z164" s="828"/>
      <c r="AE164" s="863"/>
      <c r="AF164" s="862"/>
      <c r="AG164" s="861"/>
      <c r="AH164" s="860"/>
      <c r="AI164" s="828"/>
    </row>
    <row r="165" spans="1:35">
      <c r="A165" s="832" t="s">
        <v>195</v>
      </c>
      <c r="B165" s="859"/>
      <c r="C165" s="830"/>
      <c r="D165" s="829"/>
      <c r="E165" s="842"/>
      <c r="G165" s="832" t="s">
        <v>195</v>
      </c>
      <c r="H165" s="859"/>
      <c r="I165" s="830"/>
      <c r="J165" s="858"/>
      <c r="K165" s="842"/>
      <c r="P165" s="832" t="s">
        <v>195</v>
      </c>
      <c r="Q165" s="859"/>
      <c r="R165" s="830"/>
      <c r="S165" s="829"/>
      <c r="T165" s="842"/>
      <c r="V165" s="832" t="s">
        <v>195</v>
      </c>
      <c r="W165" s="859"/>
      <c r="X165" s="830"/>
      <c r="Y165" s="858"/>
      <c r="Z165" s="842"/>
      <c r="AE165" s="832" t="s">
        <v>195</v>
      </c>
      <c r="AF165" s="859"/>
      <c r="AG165" s="830"/>
      <c r="AH165" s="858"/>
      <c r="AI165" s="842"/>
    </row>
    <row r="166" spans="1:35" ht="30">
      <c r="A166" s="822" t="s">
        <v>196</v>
      </c>
      <c r="B166" s="857">
        <v>0.22</v>
      </c>
      <c r="C166" s="854" t="s">
        <v>197</v>
      </c>
      <c r="D166" s="856"/>
      <c r="E166" s="818">
        <v>37620</v>
      </c>
      <c r="G166" s="822" t="s">
        <v>196</v>
      </c>
      <c r="H166" s="855">
        <v>0.22</v>
      </c>
      <c r="I166" s="854" t="s">
        <v>197</v>
      </c>
      <c r="J166" s="853"/>
      <c r="K166" s="818">
        <v>39820</v>
      </c>
      <c r="P166" s="822" t="s">
        <v>196</v>
      </c>
      <c r="Q166" s="857">
        <v>0.22</v>
      </c>
      <c r="R166" s="854" t="s">
        <v>197</v>
      </c>
      <c r="S166" s="856"/>
      <c r="T166" s="818">
        <v>76340</v>
      </c>
      <c r="V166" s="822" t="s">
        <v>196</v>
      </c>
      <c r="W166" s="855">
        <v>0.22</v>
      </c>
      <c r="X166" s="854" t="s">
        <v>197</v>
      </c>
      <c r="Y166" s="853"/>
      <c r="Z166" s="818">
        <v>79200</v>
      </c>
      <c r="AE166" s="822" t="s">
        <v>196</v>
      </c>
      <c r="AF166" s="855">
        <v>0.22</v>
      </c>
      <c r="AG166" s="854" t="s">
        <v>197</v>
      </c>
      <c r="AH166" s="853"/>
      <c r="AI166" s="818">
        <v>113520</v>
      </c>
    </row>
    <row r="167" spans="1:35">
      <c r="A167" s="852" t="s">
        <v>198</v>
      </c>
      <c r="B167" s="851">
        <v>0.83</v>
      </c>
      <c r="C167" s="850"/>
      <c r="D167" s="849"/>
      <c r="E167" s="845">
        <v>208620</v>
      </c>
      <c r="G167" s="787" t="s">
        <v>198</v>
      </c>
      <c r="H167" s="848">
        <v>0.71846673381124493</v>
      </c>
      <c r="I167" s="847"/>
      <c r="J167" s="846"/>
      <c r="K167" s="845">
        <v>220820</v>
      </c>
      <c r="P167" s="852" t="s">
        <v>198</v>
      </c>
      <c r="Q167" s="851">
        <v>0.90832044182299188</v>
      </c>
      <c r="R167" s="850"/>
      <c r="S167" s="849"/>
      <c r="T167" s="845">
        <v>423340</v>
      </c>
      <c r="V167" s="787" t="s">
        <v>198</v>
      </c>
      <c r="W167" s="848">
        <v>0.74582560296846001</v>
      </c>
      <c r="X167" s="847"/>
      <c r="Y167" s="846"/>
      <c r="Z167" s="845">
        <v>439200</v>
      </c>
      <c r="AE167" s="787" t="s">
        <v>198</v>
      </c>
      <c r="AF167" s="848">
        <v>0.75716162943495402</v>
      </c>
      <c r="AG167" s="847"/>
      <c r="AH167" s="846"/>
      <c r="AI167" s="845">
        <v>629520</v>
      </c>
    </row>
    <row r="168" spans="1:35">
      <c r="A168" s="844"/>
      <c r="B168" s="843"/>
      <c r="C168" s="840"/>
      <c r="D168" s="839"/>
      <c r="E168" s="842"/>
      <c r="G168" s="29"/>
      <c r="H168" s="30"/>
      <c r="I168" s="16"/>
      <c r="J168" s="841"/>
      <c r="K168" s="17"/>
      <c r="P168" s="844"/>
      <c r="Q168" s="843"/>
      <c r="R168" s="840"/>
      <c r="S168" s="839"/>
      <c r="T168" s="842"/>
      <c r="V168" s="29"/>
      <c r="W168" s="30"/>
      <c r="X168" s="16"/>
      <c r="Y168" s="841"/>
      <c r="Z168" s="17"/>
      <c r="AE168" s="29"/>
      <c r="AF168" s="30"/>
      <c r="AG168" s="16"/>
      <c r="AH168" s="841"/>
      <c r="AI168" s="17"/>
    </row>
    <row r="169" spans="1:35">
      <c r="A169" s="822" t="s">
        <v>313</v>
      </c>
      <c r="B169" s="821">
        <v>7.0000000000000007E-2</v>
      </c>
      <c r="C169" s="840"/>
      <c r="D169" s="839"/>
      <c r="E169" s="818">
        <v>17594.457831325304</v>
      </c>
      <c r="G169" s="835" t="s">
        <v>313</v>
      </c>
      <c r="H169" s="821">
        <v>8.5313110966289504E-2</v>
      </c>
      <c r="I169" s="16"/>
      <c r="J169" s="838"/>
      <c r="K169" s="17">
        <v>26220.895522388062</v>
      </c>
      <c r="P169" s="822" t="s">
        <v>313</v>
      </c>
      <c r="Q169" s="821">
        <v>3.7749775247871022E-2</v>
      </c>
      <c r="R169" s="840"/>
      <c r="S169" s="839"/>
      <c r="T169" s="818">
        <v>17594</v>
      </c>
      <c r="V169" s="835" t="s">
        <v>313</v>
      </c>
      <c r="W169" s="821">
        <v>7.4211502782931343E-2</v>
      </c>
      <c r="X169" s="16"/>
      <c r="Y169" s="838"/>
      <c r="Z169" s="17">
        <v>43701.492537313432</v>
      </c>
      <c r="AE169" s="835" t="s">
        <v>313</v>
      </c>
      <c r="AF169" s="821">
        <v>7.3587385019710905E-2</v>
      </c>
      <c r="AG169" s="16"/>
      <c r="AH169" s="838"/>
      <c r="AI169" s="17">
        <v>61182.089552238802</v>
      </c>
    </row>
    <row r="170" spans="1:35">
      <c r="A170" s="822" t="s">
        <v>314</v>
      </c>
      <c r="B170" s="821">
        <v>0.08</v>
      </c>
      <c r="C170" s="840"/>
      <c r="D170" s="839"/>
      <c r="E170" s="818">
        <v>20107.951807228917</v>
      </c>
      <c r="G170" s="822" t="s">
        <v>314</v>
      </c>
      <c r="H170" s="821">
        <v>7.6781799869660536E-2</v>
      </c>
      <c r="I170" s="16"/>
      <c r="J170" s="838"/>
      <c r="K170" s="17">
        <v>23598.805970149253</v>
      </c>
      <c r="P170" s="822" t="s">
        <v>314</v>
      </c>
      <c r="Q170" s="821">
        <v>4.3143826343309682E-2</v>
      </c>
      <c r="R170" s="840"/>
      <c r="S170" s="839"/>
      <c r="T170" s="818">
        <v>20108</v>
      </c>
      <c r="V170" s="822" t="s">
        <v>314</v>
      </c>
      <c r="W170" s="821">
        <v>6.6790352504638204E-2</v>
      </c>
      <c r="X170" s="16"/>
      <c r="Y170" s="838"/>
      <c r="Z170" s="17">
        <v>39331.343283582086</v>
      </c>
      <c r="AE170" s="822" t="s">
        <v>314</v>
      </c>
      <c r="AF170" s="821">
        <v>6.6228646517739811E-2</v>
      </c>
      <c r="AG170" s="16"/>
      <c r="AH170" s="838"/>
      <c r="AI170" s="17">
        <v>55063.880597014919</v>
      </c>
    </row>
    <row r="171" spans="1:35">
      <c r="A171" s="822" t="s">
        <v>344</v>
      </c>
      <c r="B171" s="821">
        <v>0.02</v>
      </c>
      <c r="C171" s="840"/>
      <c r="D171" s="839"/>
      <c r="E171" s="818">
        <v>5026.9879518072294</v>
      </c>
      <c r="G171" s="822" t="s">
        <v>344</v>
      </c>
      <c r="H171" s="821">
        <v>2.5593933289886846E-2</v>
      </c>
      <c r="I171" s="16"/>
      <c r="J171" s="838"/>
      <c r="K171" s="17">
        <v>7866.2686567164183</v>
      </c>
      <c r="P171" s="822" t="s">
        <v>344</v>
      </c>
      <c r="Q171" s="821">
        <v>1.0785956585827421E-2</v>
      </c>
      <c r="R171" s="840"/>
      <c r="S171" s="839"/>
      <c r="T171" s="818">
        <v>5027</v>
      </c>
      <c r="V171" s="822" t="s">
        <v>239</v>
      </c>
      <c r="W171" s="821">
        <v>2.2263450834879406E-2</v>
      </c>
      <c r="X171" s="16"/>
      <c r="Y171" s="838"/>
      <c r="Z171" s="17">
        <v>13110.447761194031</v>
      </c>
      <c r="AE171" s="822" t="s">
        <v>239</v>
      </c>
      <c r="AF171" s="821">
        <v>2.2076215505913273E-2</v>
      </c>
      <c r="AG171" s="16"/>
      <c r="AH171" s="838"/>
      <c r="AI171" s="17">
        <v>18354.626865671642</v>
      </c>
    </row>
    <row r="172" spans="1:35" ht="30">
      <c r="A172" s="827" t="s">
        <v>317</v>
      </c>
      <c r="B172" s="837">
        <v>0.17</v>
      </c>
      <c r="C172" s="825"/>
      <c r="D172" s="836"/>
      <c r="E172" s="823">
        <v>42729.397590361448</v>
      </c>
      <c r="G172" s="835" t="s">
        <v>315</v>
      </c>
      <c r="H172" s="386">
        <v>9.3844422062918431E-2</v>
      </c>
      <c r="I172" s="834">
        <v>0.10356325596600198</v>
      </c>
      <c r="J172" s="833" t="s">
        <v>316</v>
      </c>
      <c r="K172" s="17">
        <v>28842.985074626864</v>
      </c>
      <c r="P172" s="827" t="s">
        <v>317</v>
      </c>
      <c r="Q172" s="837">
        <v>9.1679558177008125E-2</v>
      </c>
      <c r="R172" s="825"/>
      <c r="S172" s="836"/>
      <c r="T172" s="823">
        <v>42729</v>
      </c>
      <c r="V172" s="835" t="s">
        <v>315</v>
      </c>
      <c r="W172" s="386">
        <v>9.0909090909090912E-2</v>
      </c>
      <c r="X172" s="834">
        <v>0.1</v>
      </c>
      <c r="Y172" s="833" t="s">
        <v>316</v>
      </c>
      <c r="Z172" s="17">
        <v>53534.328358208964</v>
      </c>
      <c r="AE172" s="835" t="s">
        <v>315</v>
      </c>
      <c r="AF172" s="386">
        <v>8.0946123521682012E-2</v>
      </c>
      <c r="AG172" s="834">
        <v>8.8075493279954259E-2</v>
      </c>
      <c r="AH172" s="833" t="s">
        <v>316</v>
      </c>
      <c r="AI172" s="17">
        <v>67300.298507462692</v>
      </c>
    </row>
    <row r="173" spans="1:35">
      <c r="A173" s="832" t="s">
        <v>345</v>
      </c>
      <c r="B173" s="831"/>
      <c r="C173" s="830"/>
      <c r="D173" s="829"/>
      <c r="E173" s="828">
        <v>251349.39759036145</v>
      </c>
      <c r="G173" s="827" t="s">
        <v>317</v>
      </c>
      <c r="H173" s="826">
        <v>0.28153326618875529</v>
      </c>
      <c r="I173" s="825"/>
      <c r="J173" s="824"/>
      <c r="K173" s="823">
        <v>86528.955223880592</v>
      </c>
      <c r="P173" s="832" t="s">
        <v>345</v>
      </c>
      <c r="Q173" s="831"/>
      <c r="R173" s="830"/>
      <c r="S173" s="829"/>
      <c r="T173" s="828">
        <v>466069</v>
      </c>
      <c r="V173" s="827" t="s">
        <v>317</v>
      </c>
      <c r="W173" s="826">
        <v>0.25417439703153988</v>
      </c>
      <c r="X173" s="825"/>
      <c r="Y173" s="824"/>
      <c r="Z173" s="823">
        <v>149677.61194029852</v>
      </c>
      <c r="AE173" s="827" t="s">
        <v>317</v>
      </c>
      <c r="AF173" s="826">
        <v>0.24283837056504598</v>
      </c>
      <c r="AG173" s="825"/>
      <c r="AH173" s="824"/>
      <c r="AI173" s="823">
        <v>201900.89552238808</v>
      </c>
    </row>
    <row r="174" spans="1:35" ht="15.75" thickBot="1">
      <c r="A174" s="822" t="s">
        <v>315</v>
      </c>
      <c r="B174" s="821">
        <v>0.1</v>
      </c>
      <c r="C174" s="820"/>
      <c r="D174" s="819"/>
      <c r="E174" s="818">
        <v>25134.939759036148</v>
      </c>
      <c r="G174" s="816" t="s">
        <v>203</v>
      </c>
      <c r="H174" s="815"/>
      <c r="I174" s="814"/>
      <c r="J174" s="813"/>
      <c r="K174" s="817">
        <v>307348.95522388053</v>
      </c>
      <c r="P174" s="822" t="s">
        <v>315</v>
      </c>
      <c r="Q174" s="821">
        <v>0.1</v>
      </c>
      <c r="R174" s="820"/>
      <c r="S174" s="819"/>
      <c r="T174" s="818">
        <v>46606.9</v>
      </c>
      <c r="V174" s="816" t="s">
        <v>203</v>
      </c>
      <c r="W174" s="815"/>
      <c r="X174" s="814"/>
      <c r="Y174" s="813"/>
      <c r="Z174" s="817">
        <v>588877.61194029858</v>
      </c>
      <c r="AE174" s="816" t="s">
        <v>203</v>
      </c>
      <c r="AF174" s="815"/>
      <c r="AG174" s="814"/>
      <c r="AH174" s="813"/>
      <c r="AI174" s="817">
        <v>831420.89552238805</v>
      </c>
    </row>
    <row r="175" spans="1:35" ht="16.5" thickTop="1" thickBot="1">
      <c r="A175" s="816" t="s">
        <v>203</v>
      </c>
      <c r="B175" s="815"/>
      <c r="C175" s="814"/>
      <c r="D175" s="813"/>
      <c r="E175" s="812">
        <v>276484.3373493976</v>
      </c>
      <c r="G175" s="798" t="s">
        <v>318</v>
      </c>
      <c r="H175" s="811"/>
      <c r="I175" s="811"/>
      <c r="J175" s="811"/>
      <c r="K175" s="809">
        <v>25612.412935323377</v>
      </c>
      <c r="P175" s="816" t="s">
        <v>203</v>
      </c>
      <c r="Q175" s="815"/>
      <c r="R175" s="814"/>
      <c r="S175" s="813"/>
      <c r="T175" s="812">
        <v>512675.9</v>
      </c>
      <c r="V175" s="798" t="s">
        <v>318</v>
      </c>
      <c r="W175" s="811"/>
      <c r="X175" s="811"/>
      <c r="Y175" s="811"/>
      <c r="Z175" s="809">
        <v>49073.134328358217</v>
      </c>
      <c r="AE175" s="798" t="s">
        <v>318</v>
      </c>
      <c r="AF175" s="811"/>
      <c r="AG175" s="811"/>
      <c r="AH175" s="811"/>
      <c r="AI175" s="809">
        <v>69285.074626865666</v>
      </c>
    </row>
    <row r="176" spans="1:35" ht="16.5" thickTop="1" thickBot="1">
      <c r="A176" s="798" t="s">
        <v>318</v>
      </c>
      <c r="B176" s="811"/>
      <c r="C176" s="811"/>
      <c r="D176" s="810"/>
      <c r="E176" s="809">
        <v>23040.361445783132</v>
      </c>
      <c r="G176" s="808" t="s">
        <v>205</v>
      </c>
      <c r="H176" s="807">
        <v>2.3181925158860972E-2</v>
      </c>
      <c r="I176" s="806"/>
      <c r="J176" s="806"/>
      <c r="K176" s="805">
        <v>26206.157975127884</v>
      </c>
      <c r="P176" s="798" t="s">
        <v>318</v>
      </c>
      <c r="Q176" s="811"/>
      <c r="R176" s="811"/>
      <c r="S176" s="810"/>
      <c r="T176" s="809">
        <v>42722.991666666669</v>
      </c>
      <c r="V176" s="808" t="s">
        <v>205</v>
      </c>
      <c r="W176" s="807">
        <v>2.3181925158860972E-2</v>
      </c>
      <c r="X176" s="806"/>
      <c r="Y176" s="806"/>
      <c r="Z176" s="805">
        <v>50210.744055668947</v>
      </c>
      <c r="AE176" s="808" t="s">
        <v>205</v>
      </c>
      <c r="AF176" s="807">
        <v>2.3181925158860972E-2</v>
      </c>
      <c r="AG176" s="806"/>
      <c r="AH176" s="806"/>
      <c r="AI176" s="805">
        <v>70891</v>
      </c>
    </row>
    <row r="177" spans="1:35" ht="15.75" thickBot="1">
      <c r="A177" s="804" t="s">
        <v>346</v>
      </c>
      <c r="B177" s="803">
        <v>2.3199999999999998E-2</v>
      </c>
      <c r="C177" s="802" t="s">
        <v>347</v>
      </c>
      <c r="D177" s="801"/>
      <c r="E177" s="800">
        <v>23574.897831325303</v>
      </c>
      <c r="G177" s="794" t="s">
        <v>357</v>
      </c>
      <c r="H177" s="794"/>
      <c r="I177" s="794"/>
      <c r="J177" s="794"/>
      <c r="K177" s="799">
        <v>314473.89570153458</v>
      </c>
      <c r="P177" s="804" t="s">
        <v>346</v>
      </c>
      <c r="Q177" s="803">
        <v>2.3199999999999998E-2</v>
      </c>
      <c r="R177" s="802" t="s">
        <v>347</v>
      </c>
      <c r="S177" s="801"/>
      <c r="T177" s="800">
        <v>43714.165073333337</v>
      </c>
      <c r="V177" s="794" t="s">
        <v>357</v>
      </c>
      <c r="W177" s="794"/>
      <c r="X177" s="794"/>
      <c r="Y177" s="794"/>
      <c r="Z177" s="799">
        <v>602528.92866802739</v>
      </c>
      <c r="AE177" s="794" t="s">
        <v>327</v>
      </c>
      <c r="AF177" s="793">
        <v>4.1911189358372423E-2</v>
      </c>
      <c r="AG177" s="794"/>
      <c r="AI177" s="792">
        <v>73862.126124804374</v>
      </c>
    </row>
    <row r="178" spans="1:35" ht="15.75" thickBot="1">
      <c r="A178" s="798" t="s">
        <v>348</v>
      </c>
      <c r="B178" s="797"/>
      <c r="C178" s="797"/>
      <c r="D178" s="796"/>
      <c r="E178" s="795">
        <v>282898.77397590363</v>
      </c>
      <c r="G178" s="794" t="s">
        <v>499</v>
      </c>
      <c r="H178" s="793">
        <f>$B$1</f>
        <v>4.1911189358372423E-2</v>
      </c>
      <c r="K178" s="792">
        <f>K176*(1+$B$1)</f>
        <v>27304.489224378889</v>
      </c>
      <c r="P178" s="798" t="s">
        <v>348</v>
      </c>
      <c r="Q178" s="797"/>
      <c r="R178" s="797"/>
      <c r="S178" s="796"/>
      <c r="T178" s="795">
        <v>524569.98088000005</v>
      </c>
      <c r="V178" s="794" t="s">
        <v>499</v>
      </c>
      <c r="W178" s="793">
        <f>$B$1</f>
        <v>4.1911189358372423E-2</v>
      </c>
      <c r="Z178" s="792">
        <f>Z176*(1+$B$1)-0.01</f>
        <v>52315.126057610854</v>
      </c>
    </row>
    <row r="180" spans="1:35">
      <c r="Y180" s="790"/>
    </row>
    <row r="181" spans="1:35">
      <c r="D181" s="786"/>
      <c r="Y181" s="790"/>
    </row>
    <row r="182" spans="1:35">
      <c r="D182" s="786"/>
      <c r="Y182" s="790"/>
    </row>
    <row r="183" spans="1:35">
      <c r="D183" s="786"/>
      <c r="Y183" s="790"/>
    </row>
    <row r="184" spans="1:35">
      <c r="D184" s="786"/>
      <c r="Y184" s="790"/>
    </row>
    <row r="185" spans="1:35">
      <c r="D185" s="786"/>
      <c r="Y185" s="790"/>
    </row>
    <row r="186" spans="1:35">
      <c r="D186" s="786"/>
      <c r="Y186" s="790"/>
    </row>
    <row r="187" spans="1:35">
      <c r="D187" s="786"/>
      <c r="Y187" s="790"/>
    </row>
    <row r="188" spans="1:35">
      <c r="D188" s="786"/>
      <c r="Y188" s="790"/>
    </row>
    <row r="189" spans="1:35">
      <c r="D189" s="786"/>
      <c r="Y189" s="790"/>
    </row>
    <row r="190" spans="1:35">
      <c r="D190" s="786"/>
      <c r="Y190" s="790"/>
    </row>
    <row r="191" spans="1:35">
      <c r="D191" s="786"/>
      <c r="Y191" s="790"/>
    </row>
    <row r="192" spans="1:35">
      <c r="D192" s="786"/>
      <c r="Y192" s="791"/>
    </row>
    <row r="193" spans="4:25">
      <c r="D193" s="786"/>
      <c r="Y193" s="790"/>
    </row>
    <row r="194" spans="4:25">
      <c r="D194" s="786"/>
      <c r="Y194" s="790"/>
    </row>
    <row r="195" spans="4:25">
      <c r="D195" s="786"/>
      <c r="Y195" s="790"/>
    </row>
    <row r="196" spans="4:25">
      <c r="D196" s="786"/>
      <c r="Y196" s="789"/>
    </row>
    <row r="197" spans="4:25">
      <c r="D197" s="786"/>
      <c r="Y197" s="789"/>
    </row>
    <row r="198" spans="4:25">
      <c r="D198" s="786"/>
      <c r="Y198" s="789"/>
    </row>
    <row r="199" spans="4:25">
      <c r="D199" s="786"/>
    </row>
    <row r="200" spans="4:25">
      <c r="D200" s="786"/>
    </row>
  </sheetData>
  <customSheetViews>
    <customSheetView guid="{4C1AD9FE-DB97-4D30-8CF1-D476DD376A5A}" scale="78" state="hidden" topLeftCell="A100">
      <selection activeCell="M153" sqref="M153"/>
      <pageMargins left="0.7" right="0.7" top="0.75" bottom="0.75" header="0.3" footer="0.3"/>
    </customSheetView>
    <customSheetView guid="{6A16E15D-0E79-4250-8AEC-339F57F63027}" scale="78" state="hidden" topLeftCell="A100">
      <selection activeCell="M153" sqref="M153"/>
      <pageMargins left="0.7" right="0.7" top="0.75" bottom="0.75" header="0.3" footer="0.3"/>
    </customSheetView>
  </customSheetViews>
  <mergeCells count="39">
    <mergeCell ref="A93:E93"/>
    <mergeCell ref="A115:E115"/>
    <mergeCell ref="A159:E159"/>
    <mergeCell ref="A137:E137"/>
    <mergeCell ref="P5:T5"/>
    <mergeCell ref="G5:K5"/>
    <mergeCell ref="G27:K27"/>
    <mergeCell ref="G49:K49"/>
    <mergeCell ref="G71:K71"/>
    <mergeCell ref="G93:K93"/>
    <mergeCell ref="A27:E27"/>
    <mergeCell ref="A49:E49"/>
    <mergeCell ref="A71:E71"/>
    <mergeCell ref="G115:K115"/>
    <mergeCell ref="G137:K137"/>
    <mergeCell ref="G159:K159"/>
    <mergeCell ref="P159:T159"/>
    <mergeCell ref="P137:T137"/>
    <mergeCell ref="P93:T93"/>
    <mergeCell ref="P115:T115"/>
    <mergeCell ref="V93:Z93"/>
    <mergeCell ref="V115:Z115"/>
    <mergeCell ref="V137:Z137"/>
    <mergeCell ref="V159:Z159"/>
    <mergeCell ref="AE5:AI5"/>
    <mergeCell ref="AE93:AI93"/>
    <mergeCell ref="V27:Z27"/>
    <mergeCell ref="P27:T27"/>
    <mergeCell ref="P49:T49"/>
    <mergeCell ref="P71:T71"/>
    <mergeCell ref="AE27:AI27"/>
    <mergeCell ref="V5:Z5"/>
    <mergeCell ref="V49:Z49"/>
    <mergeCell ref="V71:Z71"/>
    <mergeCell ref="AE115:AI115"/>
    <mergeCell ref="AE137:AI137"/>
    <mergeCell ref="AE159:AI159"/>
    <mergeCell ref="AE71:AI71"/>
    <mergeCell ref="AE49:AI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="87" zoomScaleNormal="87" workbookViewId="0">
      <selection activeCell="H22" sqref="H22"/>
    </sheetView>
  </sheetViews>
  <sheetFormatPr defaultColWidth="9.140625" defaultRowHeight="12.75"/>
  <cols>
    <col min="1" max="1" width="24" style="173" customWidth="1"/>
    <col min="2" max="2" width="30" style="173" customWidth="1"/>
    <col min="3" max="3" width="19.42578125" style="173" customWidth="1"/>
    <col min="4" max="4" width="11.85546875" style="173" customWidth="1"/>
    <col min="5" max="5" width="12" style="173" customWidth="1"/>
    <col min="6" max="6" width="5.7109375" style="173" customWidth="1"/>
    <col min="7" max="7" width="24.5703125" style="173" customWidth="1"/>
    <col min="8" max="8" width="18" style="173" customWidth="1"/>
    <col min="9" max="9" width="10" style="173" customWidth="1"/>
    <col min="10" max="10" width="9.140625" style="173"/>
    <col min="11" max="11" width="13.7109375" style="174" customWidth="1"/>
    <col min="12" max="12" width="15.85546875" style="173" customWidth="1"/>
    <col min="13" max="16384" width="9.140625" style="173"/>
  </cols>
  <sheetData>
    <row r="1" spans="1:11" ht="13.5" thickBot="1">
      <c r="A1" s="171"/>
      <c r="B1" s="172"/>
    </row>
    <row r="2" spans="1:11" ht="15.75" customHeight="1" thickBot="1">
      <c r="A2" s="171"/>
      <c r="B2" s="3148" t="s">
        <v>261</v>
      </c>
      <c r="C2" s="3149"/>
      <c r="D2" s="3149"/>
      <c r="E2" s="3150"/>
    </row>
    <row r="3" spans="1:11" ht="15" customHeight="1">
      <c r="A3" s="171"/>
      <c r="B3" s="175" t="s">
        <v>262</v>
      </c>
      <c r="C3" s="3151" t="s">
        <v>263</v>
      </c>
      <c r="D3" s="3151"/>
      <c r="E3" s="176">
        <v>5</v>
      </c>
    </row>
    <row r="4" spans="1:11">
      <c r="B4" s="177" t="s">
        <v>264</v>
      </c>
      <c r="C4" s="178" t="s">
        <v>209</v>
      </c>
      <c r="D4" s="178" t="s">
        <v>190</v>
      </c>
      <c r="E4" s="179" t="s">
        <v>210</v>
      </c>
    </row>
    <row r="5" spans="1:11">
      <c r="B5" s="180" t="str">
        <f t="shared" ref="B5:D6" si="0">B32</f>
        <v>Program Director</v>
      </c>
      <c r="C5" s="181">
        <f t="shared" si="0"/>
        <v>50000</v>
      </c>
      <c r="D5" s="182">
        <f t="shared" si="0"/>
        <v>8.2000000000000003E-2</v>
      </c>
      <c r="E5" s="183">
        <f>D5*C5</f>
        <v>4100</v>
      </c>
    </row>
    <row r="6" spans="1:11" ht="12.75" customHeight="1">
      <c r="B6" s="184" t="str">
        <f t="shared" si="0"/>
        <v>Direct Care Staffing</v>
      </c>
      <c r="C6" s="181">
        <f t="shared" si="0"/>
        <v>40000</v>
      </c>
      <c r="D6" s="182">
        <f t="shared" si="0"/>
        <v>2</v>
      </c>
      <c r="E6" s="183">
        <f t="shared" ref="E6" si="1">D6*C6</f>
        <v>80000</v>
      </c>
    </row>
    <row r="7" spans="1:11">
      <c r="B7" s="185"/>
      <c r="C7" s="181"/>
      <c r="D7" s="182"/>
      <c r="E7" s="183"/>
    </row>
    <row r="8" spans="1:11">
      <c r="B8" s="186" t="s">
        <v>265</v>
      </c>
      <c r="C8" s="187"/>
      <c r="D8" s="188">
        <f>SUM(D5:D7)</f>
        <v>2.0819999999999999</v>
      </c>
      <c r="E8" s="189">
        <f>SUM(E5:E7)</f>
        <v>84100</v>
      </c>
    </row>
    <row r="9" spans="1:11">
      <c r="B9" s="190"/>
      <c r="C9" s="191"/>
      <c r="D9" s="192"/>
      <c r="E9" s="193"/>
    </row>
    <row r="10" spans="1:11" ht="13.5" thickBot="1">
      <c r="B10" s="194" t="s">
        <v>220</v>
      </c>
      <c r="C10" s="195">
        <f>C35</f>
        <v>0.22</v>
      </c>
      <c r="D10" s="191"/>
      <c r="E10" s="183">
        <f>C10*E8</f>
        <v>18502</v>
      </c>
    </row>
    <row r="11" spans="1:11" ht="13.5" thickBot="1">
      <c r="B11" s="196" t="s">
        <v>198</v>
      </c>
      <c r="C11" s="197"/>
      <c r="D11" s="198"/>
      <c r="E11" s="199">
        <f>SUM(E8:E10)</f>
        <v>102602</v>
      </c>
      <c r="G11" s="200" t="s">
        <v>266</v>
      </c>
      <c r="H11" s="201"/>
      <c r="I11" s="201"/>
      <c r="J11" s="201"/>
      <c r="K11" s="202"/>
    </row>
    <row r="12" spans="1:11" ht="13.5" thickTop="1">
      <c r="B12" s="190"/>
      <c r="C12" s="192"/>
      <c r="D12" s="203"/>
      <c r="E12" s="204"/>
      <c r="G12" s="205" t="s">
        <v>306</v>
      </c>
      <c r="H12" s="206"/>
      <c r="I12" s="206"/>
      <c r="J12" s="206"/>
      <c r="K12" s="207"/>
    </row>
    <row r="13" spans="1:11">
      <c r="B13" s="208" t="s">
        <v>267</v>
      </c>
      <c r="C13" s="195">
        <f>C37</f>
        <v>0.12</v>
      </c>
      <c r="D13" s="203"/>
      <c r="E13" s="209">
        <f>C13*E8</f>
        <v>10092</v>
      </c>
      <c r="G13" s="205" t="s">
        <v>268</v>
      </c>
      <c r="H13" s="206"/>
      <c r="I13" s="206"/>
      <c r="J13" s="206"/>
      <c r="K13" s="207"/>
    </row>
    <row r="14" spans="1:11" ht="13.5" thickBot="1">
      <c r="B14" s="186" t="s">
        <v>269</v>
      </c>
      <c r="C14" s="187"/>
      <c r="D14" s="187"/>
      <c r="E14" s="189">
        <f>SUM(E11:E13)</f>
        <v>112694</v>
      </c>
      <c r="G14" s="210" t="s">
        <v>307</v>
      </c>
      <c r="H14" s="211"/>
      <c r="I14" s="211"/>
      <c r="J14" s="211"/>
      <c r="K14" s="212"/>
    </row>
    <row r="15" spans="1:11">
      <c r="B15" s="194" t="s">
        <v>247</v>
      </c>
      <c r="C15" s="195">
        <f>C40</f>
        <v>0.11</v>
      </c>
      <c r="D15" s="191"/>
      <c r="E15" s="183">
        <f>C15*E14</f>
        <v>12396.34</v>
      </c>
    </row>
    <row r="16" spans="1:11">
      <c r="B16" s="194"/>
      <c r="C16" s="195"/>
      <c r="D16" s="191"/>
      <c r="E16" s="183"/>
    </row>
    <row r="17" spans="1:11" ht="13.5" thickBot="1">
      <c r="B17" s="316" t="s">
        <v>203</v>
      </c>
      <c r="C17" s="317"/>
      <c r="D17" s="317"/>
      <c r="E17" s="318">
        <f>SUM(E14:E15)</f>
        <v>125090.34</v>
      </c>
    </row>
    <row r="18" spans="1:11">
      <c r="B18" s="319" t="s">
        <v>182</v>
      </c>
      <c r="C18" s="320">
        <f>C45</f>
        <v>2.3199999999999998E-2</v>
      </c>
      <c r="D18" s="321"/>
      <c r="E18" s="322">
        <f>E17+(C18*E17)</f>
        <v>127992.43588799999</v>
      </c>
    </row>
    <row r="19" spans="1:11">
      <c r="B19" s="194" t="s">
        <v>270</v>
      </c>
      <c r="C19" s="213" t="e">
        <f>C48</f>
        <v>#REF!</v>
      </c>
      <c r="D19" s="191"/>
      <c r="E19" s="323" t="e">
        <f>E18+(E18*C19)</f>
        <v>#REF!</v>
      </c>
    </row>
    <row r="20" spans="1:11" ht="15" customHeight="1" thickBot="1">
      <c r="B20" s="324" t="s">
        <v>271</v>
      </c>
      <c r="C20" s="317"/>
      <c r="D20" s="325"/>
      <c r="E20" s="326" t="e">
        <f>E19/E29+0.01</f>
        <v>#REF!</v>
      </c>
    </row>
    <row r="21" spans="1:11" ht="13.5" thickBot="1">
      <c r="B21" s="324" t="s">
        <v>272</v>
      </c>
      <c r="C21" s="317"/>
      <c r="D21" s="325"/>
      <c r="E21" s="334" t="e">
        <f>E20*E3+0.01</f>
        <v>#REF!</v>
      </c>
    </row>
    <row r="22" spans="1:11">
      <c r="B22" s="192"/>
      <c r="C22" s="192"/>
      <c r="D22" s="214"/>
      <c r="E22" s="214"/>
    </row>
    <row r="23" spans="1:11">
      <c r="B23" s="192"/>
      <c r="C23" s="192"/>
      <c r="D23" s="214"/>
      <c r="E23" s="214"/>
    </row>
    <row r="24" spans="1:11">
      <c r="B24" s="192"/>
      <c r="C24" s="192"/>
      <c r="D24" s="214"/>
      <c r="E24" s="214"/>
    </row>
    <row r="25" spans="1:11">
      <c r="B25" s="192"/>
      <c r="C25" s="192"/>
      <c r="D25" s="214"/>
      <c r="E25" s="214"/>
    </row>
    <row r="27" spans="1:11" ht="13.5" thickBot="1"/>
    <row r="28" spans="1:11" ht="15.75">
      <c r="A28" s="3152" t="s">
        <v>273</v>
      </c>
      <c r="B28" s="3153"/>
      <c r="C28" s="3153"/>
      <c r="D28" s="3153"/>
      <c r="E28" s="3154"/>
      <c r="G28" s="215" t="s">
        <v>274</v>
      </c>
      <c r="H28" s="216"/>
      <c r="I28" s="217" t="s">
        <v>232</v>
      </c>
      <c r="J28" s="217" t="s">
        <v>231</v>
      </c>
      <c r="K28" s="218" t="s">
        <v>275</v>
      </c>
    </row>
    <row r="29" spans="1:11" ht="15.75" thickBot="1">
      <c r="A29" s="219" t="s">
        <v>276</v>
      </c>
      <c r="B29" s="220"/>
      <c r="C29" s="3155" t="s">
        <v>277</v>
      </c>
      <c r="D29" s="3155"/>
      <c r="E29" s="221">
        <f>K39</f>
        <v>2720</v>
      </c>
      <c r="G29" s="222" t="s">
        <v>278</v>
      </c>
      <c r="H29" s="223"/>
      <c r="I29" s="224">
        <v>52</v>
      </c>
      <c r="J29" s="225">
        <v>40</v>
      </c>
      <c r="K29" s="226">
        <f>52*40</f>
        <v>2080</v>
      </c>
    </row>
    <row r="30" spans="1:11" ht="15">
      <c r="A30" s="227" t="s">
        <v>279</v>
      </c>
      <c r="B30" s="228"/>
      <c r="C30" s="229" t="s">
        <v>209</v>
      </c>
      <c r="D30" s="230" t="s">
        <v>222</v>
      </c>
      <c r="E30" s="231" t="s">
        <v>210</v>
      </c>
      <c r="F30" s="232"/>
      <c r="G30" s="233" t="s">
        <v>280</v>
      </c>
      <c r="H30" s="234" t="s">
        <v>281</v>
      </c>
      <c r="I30" s="235">
        <v>3</v>
      </c>
      <c r="J30" s="236">
        <v>40</v>
      </c>
      <c r="K30" s="237">
        <f t="shared" ref="K30:K35" si="2">I30*J30</f>
        <v>120</v>
      </c>
    </row>
    <row r="31" spans="1:11" ht="15">
      <c r="A31" s="238" t="s">
        <v>282</v>
      </c>
      <c r="B31" s="239"/>
      <c r="C31" s="240"/>
      <c r="D31" s="241"/>
      <c r="E31" s="242"/>
      <c r="F31" s="243"/>
      <c r="G31" s="233"/>
      <c r="H31" s="234" t="s">
        <v>283</v>
      </c>
      <c r="I31" s="235">
        <v>2</v>
      </c>
      <c r="J31" s="236">
        <v>40</v>
      </c>
      <c r="K31" s="237">
        <f t="shared" si="2"/>
        <v>80</v>
      </c>
    </row>
    <row r="32" spans="1:11" ht="15">
      <c r="A32" s="238"/>
      <c r="B32" s="244" t="s">
        <v>191</v>
      </c>
      <c r="C32" s="245">
        <v>50000</v>
      </c>
      <c r="D32" s="246">
        <v>8.2000000000000003E-2</v>
      </c>
      <c r="E32" s="245">
        <f>C32*D32</f>
        <v>4100</v>
      </c>
      <c r="F32" s="247"/>
      <c r="G32" s="233"/>
      <c r="H32" s="248" t="s">
        <v>284</v>
      </c>
      <c r="I32" s="235">
        <v>2</v>
      </c>
      <c r="J32" s="236">
        <v>40</v>
      </c>
      <c r="K32" s="237">
        <f t="shared" si="2"/>
        <v>80</v>
      </c>
    </row>
    <row r="33" spans="1:11" ht="15">
      <c r="A33" s="249"/>
      <c r="B33" s="250" t="s">
        <v>192</v>
      </c>
      <c r="C33" s="251">
        <v>40000</v>
      </c>
      <c r="D33" s="252">
        <v>2</v>
      </c>
      <c r="E33" s="251">
        <f>C33*D33</f>
        <v>80000</v>
      </c>
      <c r="F33" s="247"/>
      <c r="G33" s="233"/>
      <c r="H33" s="234" t="s">
        <v>285</v>
      </c>
      <c r="I33" s="235">
        <v>1</v>
      </c>
      <c r="J33" s="236">
        <v>24</v>
      </c>
      <c r="K33" s="237">
        <f t="shared" si="2"/>
        <v>24</v>
      </c>
    </row>
    <row r="34" spans="1:11" ht="15">
      <c r="A34" s="249" t="s">
        <v>286</v>
      </c>
      <c r="B34" s="253"/>
      <c r="C34" s="254"/>
      <c r="D34" s="252">
        <f>SUM(D32:D33)</f>
        <v>2.0819999999999999</v>
      </c>
      <c r="E34" s="251">
        <f>SUM(E32:E33)</f>
        <v>84100</v>
      </c>
      <c r="F34" s="255"/>
      <c r="G34" s="233"/>
      <c r="H34" s="248" t="s">
        <v>287</v>
      </c>
      <c r="I34" s="235">
        <v>52</v>
      </c>
      <c r="J34" s="236">
        <v>4</v>
      </c>
      <c r="K34" s="237">
        <f t="shared" si="2"/>
        <v>208</v>
      </c>
    </row>
    <row r="35" spans="1:11" ht="15">
      <c r="A35" s="256" t="s">
        <v>288</v>
      </c>
      <c r="B35" s="257" t="s">
        <v>289</v>
      </c>
      <c r="C35" s="258">
        <v>0.22</v>
      </c>
      <c r="D35" s="259"/>
      <c r="E35" s="260">
        <f>E34*C35</f>
        <v>18502</v>
      </c>
      <c r="F35" s="247"/>
      <c r="G35" s="261"/>
      <c r="H35" s="234" t="s">
        <v>290</v>
      </c>
      <c r="I35" s="235">
        <v>52</v>
      </c>
      <c r="J35" s="236">
        <v>4</v>
      </c>
      <c r="K35" s="237">
        <f t="shared" si="2"/>
        <v>208</v>
      </c>
    </row>
    <row r="36" spans="1:11" ht="15">
      <c r="A36" s="262"/>
      <c r="B36" s="263"/>
      <c r="C36" s="264"/>
      <c r="D36" s="265"/>
      <c r="E36" s="266"/>
      <c r="F36" s="247"/>
      <c r="G36" s="234" t="s">
        <v>291</v>
      </c>
      <c r="H36" s="267"/>
      <c r="I36" s="268"/>
      <c r="J36" s="225"/>
      <c r="K36" s="226">
        <f>SUM(K30:K35)</f>
        <v>720</v>
      </c>
    </row>
    <row r="37" spans="1:11" ht="15">
      <c r="A37" s="262" t="s">
        <v>292</v>
      </c>
      <c r="B37" s="263" t="s">
        <v>293</v>
      </c>
      <c r="C37" s="269">
        <v>0.12</v>
      </c>
      <c r="D37" s="265"/>
      <c r="E37" s="266">
        <f>C37*E34</f>
        <v>10092</v>
      </c>
      <c r="F37" s="270"/>
      <c r="G37" s="271" t="s">
        <v>294</v>
      </c>
      <c r="H37" s="270"/>
      <c r="I37" s="247"/>
      <c r="J37" s="236"/>
      <c r="K37" s="272">
        <f>K29-K36</f>
        <v>1360</v>
      </c>
    </row>
    <row r="38" spans="1:11" ht="15">
      <c r="A38" s="256" t="s">
        <v>295</v>
      </c>
      <c r="B38" s="257"/>
      <c r="C38" s="273"/>
      <c r="D38" s="259"/>
      <c r="E38" s="260">
        <f>SUM(E34,E35,E37)</f>
        <v>112694</v>
      </c>
      <c r="F38" s="270"/>
      <c r="G38" s="274" t="s">
        <v>296</v>
      </c>
      <c r="H38" s="275"/>
      <c r="I38" s="275"/>
      <c r="J38" s="275"/>
      <c r="K38" s="276">
        <f>D33</f>
        <v>2</v>
      </c>
    </row>
    <row r="39" spans="1:11" ht="15">
      <c r="A39" s="277"/>
      <c r="B39" s="263"/>
      <c r="C39" s="278"/>
      <c r="D39" s="265"/>
      <c r="E39" s="266"/>
      <c r="F39" s="247"/>
      <c r="G39" s="279" t="s">
        <v>277</v>
      </c>
      <c r="H39" s="275"/>
      <c r="I39" s="275"/>
      <c r="J39" s="275"/>
      <c r="K39" s="280">
        <f>K38*K37</f>
        <v>2720</v>
      </c>
    </row>
    <row r="40" spans="1:11" ht="15">
      <c r="A40" s="281" t="s">
        <v>297</v>
      </c>
      <c r="B40" s="282" t="s">
        <v>298</v>
      </c>
      <c r="C40" s="283">
        <v>0.11</v>
      </c>
      <c r="D40" s="284"/>
      <c r="E40" s="260">
        <f>C40*E38</f>
        <v>12396.34</v>
      </c>
      <c r="F40" s="247"/>
    </row>
    <row r="41" spans="1:11" ht="15">
      <c r="A41" s="285" t="s">
        <v>299</v>
      </c>
      <c r="B41" s="286"/>
      <c r="C41" s="287"/>
      <c r="D41" s="288"/>
      <c r="E41" s="289">
        <f>SUM(E40)</f>
        <v>12396.34</v>
      </c>
      <c r="F41" s="247"/>
    </row>
    <row r="42" spans="1:11" ht="15">
      <c r="A42" s="290"/>
      <c r="B42" s="291"/>
      <c r="C42" s="292"/>
      <c r="D42" s="293"/>
      <c r="E42" s="294"/>
      <c r="F42" s="247"/>
    </row>
    <row r="43" spans="1:11" ht="15">
      <c r="A43" s="295" t="s">
        <v>300</v>
      </c>
      <c r="B43" s="296"/>
      <c r="C43" s="297"/>
      <c r="D43" s="298"/>
      <c r="E43" s="299">
        <f>SUM(E38,E41)</f>
        <v>125090.34</v>
      </c>
      <c r="F43" s="247"/>
    </row>
    <row r="44" spans="1:11" ht="15">
      <c r="A44" s="300" t="s">
        <v>301</v>
      </c>
      <c r="B44" s="301"/>
      <c r="C44" s="301"/>
      <c r="D44" s="302"/>
      <c r="E44" s="303">
        <f>E43/E29</f>
        <v>45.989095588235294</v>
      </c>
      <c r="F44" s="247"/>
    </row>
    <row r="45" spans="1:11" ht="15" customHeight="1">
      <c r="A45" s="304" t="s">
        <v>256</v>
      </c>
      <c r="C45" s="305">
        <v>2.3199999999999998E-2</v>
      </c>
      <c r="D45" s="306"/>
      <c r="E45" s="307">
        <f>C45*E44</f>
        <v>1.0669470176470588</v>
      </c>
    </row>
    <row r="46" spans="1:11" ht="15">
      <c r="A46" s="308" t="s">
        <v>302</v>
      </c>
      <c r="B46" s="309"/>
      <c r="C46" s="309"/>
      <c r="D46" s="310"/>
      <c r="E46" s="327">
        <f>SUM(E44:E45)-0.02</f>
        <v>47.036042605882351</v>
      </c>
    </row>
    <row r="47" spans="1:11" ht="15">
      <c r="A47" s="311" t="s">
        <v>303</v>
      </c>
      <c r="D47" s="306"/>
      <c r="E47" s="307">
        <f>E46/4</f>
        <v>11.759010651470588</v>
      </c>
    </row>
    <row r="48" spans="1:11" ht="15.75" thickBot="1">
      <c r="A48" s="315" t="s">
        <v>270</v>
      </c>
      <c r="C48" s="305" t="e">
        <f>#REF!</f>
        <v>#REF!</v>
      </c>
      <c r="E48" s="307" t="e">
        <f>E46*C48</f>
        <v>#REF!</v>
      </c>
    </row>
    <row r="49" spans="1:5" ht="15.75" thickBot="1">
      <c r="A49" s="173" t="s">
        <v>304</v>
      </c>
      <c r="E49" s="328" t="e">
        <f>E46+E48+0.03</f>
        <v>#REF!</v>
      </c>
    </row>
    <row r="50" spans="1:5" ht="15">
      <c r="A50" s="313" t="s">
        <v>305</v>
      </c>
      <c r="B50" s="312"/>
      <c r="C50" s="312"/>
      <c r="D50" s="312"/>
      <c r="E50" s="314" t="e">
        <f>E49/4</f>
        <v>#REF!</v>
      </c>
    </row>
    <row r="51" spans="1:5" ht="18.75" customHeight="1"/>
  </sheetData>
  <customSheetViews>
    <customSheetView guid="{4C1AD9FE-DB97-4D30-8CF1-D476DD376A5A}" scale="87" fitToPage="1" state="hidden">
      <selection activeCell="H22" sqref="H22"/>
      <pageMargins left="0.25" right="0.25" top="0" bottom="0" header="0.3" footer="0.3"/>
      <pageSetup orientation="landscape" r:id="rId1"/>
    </customSheetView>
    <customSheetView guid="{6A16E15D-0E79-4250-8AEC-339F57F63027}" scale="87" showPageBreaks="1" fitToPage="1" printArea="1" state="hidden">
      <selection activeCell="H22" sqref="H22"/>
      <pageMargins left="0.25" right="0.25" top="0" bottom="0" header="0.3" footer="0.3"/>
      <pageSetup orientation="landscape" r:id="rId2"/>
    </customSheetView>
  </customSheetViews>
  <mergeCells count="4">
    <mergeCell ref="B2:E2"/>
    <mergeCell ref="C3:D3"/>
    <mergeCell ref="A28:E28"/>
    <mergeCell ref="C29:D29"/>
  </mergeCells>
  <pageMargins left="0.25" right="0.25" top="0" bottom="0" header="0.3" footer="0.3"/>
  <pageSetup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C12" zoomScaleNormal="100" workbookViewId="0">
      <selection activeCell="I48" sqref="I48"/>
    </sheetView>
  </sheetViews>
  <sheetFormatPr defaultRowHeight="12.75"/>
  <cols>
    <col min="1" max="1" width="24.7109375" style="6" customWidth="1"/>
    <col min="2" max="2" width="16.140625" style="406" customWidth="1"/>
    <col min="3" max="3" width="10.140625" style="6" customWidth="1"/>
    <col min="4" max="4" width="13.85546875" style="412" customWidth="1"/>
    <col min="5" max="5" width="12.85546875" style="413" customWidth="1"/>
    <col min="6" max="6" width="10.28515625" style="6" bestFit="1" customWidth="1"/>
    <col min="7" max="7" width="45.85546875" style="6" customWidth="1"/>
    <col min="8" max="8" width="12.140625" style="6" customWidth="1"/>
    <col min="9" max="9" width="25" style="6" bestFit="1" customWidth="1"/>
    <col min="10" max="10" width="10.7109375" style="6" customWidth="1"/>
    <col min="11" max="11" width="15.7109375" style="6" customWidth="1"/>
    <col min="12" max="256" width="9.140625" style="6"/>
    <col min="257" max="257" width="24.7109375" style="6" customWidth="1"/>
    <col min="258" max="258" width="16.140625" style="6" customWidth="1"/>
    <col min="259" max="259" width="10.140625" style="6" customWidth="1"/>
    <col min="260" max="260" width="12.28515625" style="6" customWidth="1"/>
    <col min="261" max="261" width="12" style="6" customWidth="1"/>
    <col min="262" max="262" width="8.7109375" style="6" customWidth="1"/>
    <col min="263" max="263" width="9.5703125" style="6" customWidth="1"/>
    <col min="264" max="264" width="12.140625" style="6" customWidth="1"/>
    <col min="265" max="512" width="9.140625" style="6"/>
    <col min="513" max="513" width="24.7109375" style="6" customWidth="1"/>
    <col min="514" max="514" width="16.140625" style="6" customWidth="1"/>
    <col min="515" max="515" width="10.140625" style="6" customWidth="1"/>
    <col min="516" max="516" width="12.28515625" style="6" customWidth="1"/>
    <col min="517" max="517" width="12" style="6" customWidth="1"/>
    <col min="518" max="518" width="8.7109375" style="6" customWidth="1"/>
    <col min="519" max="519" width="9.5703125" style="6" customWidth="1"/>
    <col min="520" max="520" width="12.140625" style="6" customWidth="1"/>
    <col min="521" max="768" width="9.140625" style="6"/>
    <col min="769" max="769" width="24.7109375" style="6" customWidth="1"/>
    <col min="770" max="770" width="16.140625" style="6" customWidth="1"/>
    <col min="771" max="771" width="10.140625" style="6" customWidth="1"/>
    <col min="772" max="772" width="12.28515625" style="6" customWidth="1"/>
    <col min="773" max="773" width="12" style="6" customWidth="1"/>
    <col min="774" max="774" width="8.7109375" style="6" customWidth="1"/>
    <col min="775" max="775" width="9.5703125" style="6" customWidth="1"/>
    <col min="776" max="776" width="12.140625" style="6" customWidth="1"/>
    <col min="777" max="1024" width="9.140625" style="6"/>
    <col min="1025" max="1025" width="24.7109375" style="6" customWidth="1"/>
    <col min="1026" max="1026" width="16.140625" style="6" customWidth="1"/>
    <col min="1027" max="1027" width="10.140625" style="6" customWidth="1"/>
    <col min="1028" max="1028" width="12.28515625" style="6" customWidth="1"/>
    <col min="1029" max="1029" width="12" style="6" customWidth="1"/>
    <col min="1030" max="1030" width="8.7109375" style="6" customWidth="1"/>
    <col min="1031" max="1031" width="9.5703125" style="6" customWidth="1"/>
    <col min="1032" max="1032" width="12.140625" style="6" customWidth="1"/>
    <col min="1033" max="1280" width="9.140625" style="6"/>
    <col min="1281" max="1281" width="24.7109375" style="6" customWidth="1"/>
    <col min="1282" max="1282" width="16.140625" style="6" customWidth="1"/>
    <col min="1283" max="1283" width="10.140625" style="6" customWidth="1"/>
    <col min="1284" max="1284" width="12.28515625" style="6" customWidth="1"/>
    <col min="1285" max="1285" width="12" style="6" customWidth="1"/>
    <col min="1286" max="1286" width="8.7109375" style="6" customWidth="1"/>
    <col min="1287" max="1287" width="9.5703125" style="6" customWidth="1"/>
    <col min="1288" max="1288" width="12.140625" style="6" customWidth="1"/>
    <col min="1289" max="1536" width="9.140625" style="6"/>
    <col min="1537" max="1537" width="24.7109375" style="6" customWidth="1"/>
    <col min="1538" max="1538" width="16.140625" style="6" customWidth="1"/>
    <col min="1539" max="1539" width="10.140625" style="6" customWidth="1"/>
    <col min="1540" max="1540" width="12.28515625" style="6" customWidth="1"/>
    <col min="1541" max="1541" width="12" style="6" customWidth="1"/>
    <col min="1542" max="1542" width="8.7109375" style="6" customWidth="1"/>
    <col min="1543" max="1543" width="9.5703125" style="6" customWidth="1"/>
    <col min="1544" max="1544" width="12.140625" style="6" customWidth="1"/>
    <col min="1545" max="1792" width="9.140625" style="6"/>
    <col min="1793" max="1793" width="24.7109375" style="6" customWidth="1"/>
    <col min="1794" max="1794" width="16.140625" style="6" customWidth="1"/>
    <col min="1795" max="1795" width="10.140625" style="6" customWidth="1"/>
    <col min="1796" max="1796" width="12.28515625" style="6" customWidth="1"/>
    <col min="1797" max="1797" width="12" style="6" customWidth="1"/>
    <col min="1798" max="1798" width="8.7109375" style="6" customWidth="1"/>
    <col min="1799" max="1799" width="9.5703125" style="6" customWidth="1"/>
    <col min="1800" max="1800" width="12.140625" style="6" customWidth="1"/>
    <col min="1801" max="2048" width="9.140625" style="6"/>
    <col min="2049" max="2049" width="24.7109375" style="6" customWidth="1"/>
    <col min="2050" max="2050" width="16.140625" style="6" customWidth="1"/>
    <col min="2051" max="2051" width="10.140625" style="6" customWidth="1"/>
    <col min="2052" max="2052" width="12.28515625" style="6" customWidth="1"/>
    <col min="2053" max="2053" width="12" style="6" customWidth="1"/>
    <col min="2054" max="2054" width="8.7109375" style="6" customWidth="1"/>
    <col min="2055" max="2055" width="9.5703125" style="6" customWidth="1"/>
    <col min="2056" max="2056" width="12.140625" style="6" customWidth="1"/>
    <col min="2057" max="2304" width="9.140625" style="6"/>
    <col min="2305" max="2305" width="24.7109375" style="6" customWidth="1"/>
    <col min="2306" max="2306" width="16.140625" style="6" customWidth="1"/>
    <col min="2307" max="2307" width="10.140625" style="6" customWidth="1"/>
    <col min="2308" max="2308" width="12.28515625" style="6" customWidth="1"/>
    <col min="2309" max="2309" width="12" style="6" customWidth="1"/>
    <col min="2310" max="2310" width="8.7109375" style="6" customWidth="1"/>
    <col min="2311" max="2311" width="9.5703125" style="6" customWidth="1"/>
    <col min="2312" max="2312" width="12.140625" style="6" customWidth="1"/>
    <col min="2313" max="2560" width="9.140625" style="6"/>
    <col min="2561" max="2561" width="24.7109375" style="6" customWidth="1"/>
    <col min="2562" max="2562" width="16.140625" style="6" customWidth="1"/>
    <col min="2563" max="2563" width="10.140625" style="6" customWidth="1"/>
    <col min="2564" max="2564" width="12.28515625" style="6" customWidth="1"/>
    <col min="2565" max="2565" width="12" style="6" customWidth="1"/>
    <col min="2566" max="2566" width="8.7109375" style="6" customWidth="1"/>
    <col min="2567" max="2567" width="9.5703125" style="6" customWidth="1"/>
    <col min="2568" max="2568" width="12.140625" style="6" customWidth="1"/>
    <col min="2569" max="2816" width="9.140625" style="6"/>
    <col min="2817" max="2817" width="24.7109375" style="6" customWidth="1"/>
    <col min="2818" max="2818" width="16.140625" style="6" customWidth="1"/>
    <col min="2819" max="2819" width="10.140625" style="6" customWidth="1"/>
    <col min="2820" max="2820" width="12.28515625" style="6" customWidth="1"/>
    <col min="2821" max="2821" width="12" style="6" customWidth="1"/>
    <col min="2822" max="2822" width="8.7109375" style="6" customWidth="1"/>
    <col min="2823" max="2823" width="9.5703125" style="6" customWidth="1"/>
    <col min="2824" max="2824" width="12.140625" style="6" customWidth="1"/>
    <col min="2825" max="3072" width="9.140625" style="6"/>
    <col min="3073" max="3073" width="24.7109375" style="6" customWidth="1"/>
    <col min="3074" max="3074" width="16.140625" style="6" customWidth="1"/>
    <col min="3075" max="3075" width="10.140625" style="6" customWidth="1"/>
    <col min="3076" max="3076" width="12.28515625" style="6" customWidth="1"/>
    <col min="3077" max="3077" width="12" style="6" customWidth="1"/>
    <col min="3078" max="3078" width="8.7109375" style="6" customWidth="1"/>
    <col min="3079" max="3079" width="9.5703125" style="6" customWidth="1"/>
    <col min="3080" max="3080" width="12.140625" style="6" customWidth="1"/>
    <col min="3081" max="3328" width="9.140625" style="6"/>
    <col min="3329" max="3329" width="24.7109375" style="6" customWidth="1"/>
    <col min="3330" max="3330" width="16.140625" style="6" customWidth="1"/>
    <col min="3331" max="3331" width="10.140625" style="6" customWidth="1"/>
    <col min="3332" max="3332" width="12.28515625" style="6" customWidth="1"/>
    <col min="3333" max="3333" width="12" style="6" customWidth="1"/>
    <col min="3334" max="3334" width="8.7109375" style="6" customWidth="1"/>
    <col min="3335" max="3335" width="9.5703125" style="6" customWidth="1"/>
    <col min="3336" max="3336" width="12.140625" style="6" customWidth="1"/>
    <col min="3337" max="3584" width="9.140625" style="6"/>
    <col min="3585" max="3585" width="24.7109375" style="6" customWidth="1"/>
    <col min="3586" max="3586" width="16.140625" style="6" customWidth="1"/>
    <col min="3587" max="3587" width="10.140625" style="6" customWidth="1"/>
    <col min="3588" max="3588" width="12.28515625" style="6" customWidth="1"/>
    <col min="3589" max="3589" width="12" style="6" customWidth="1"/>
    <col min="3590" max="3590" width="8.7109375" style="6" customWidth="1"/>
    <col min="3591" max="3591" width="9.5703125" style="6" customWidth="1"/>
    <col min="3592" max="3592" width="12.140625" style="6" customWidth="1"/>
    <col min="3593" max="3840" width="9.140625" style="6"/>
    <col min="3841" max="3841" width="24.7109375" style="6" customWidth="1"/>
    <col min="3842" max="3842" width="16.140625" style="6" customWidth="1"/>
    <col min="3843" max="3843" width="10.140625" style="6" customWidth="1"/>
    <col min="3844" max="3844" width="12.28515625" style="6" customWidth="1"/>
    <col min="3845" max="3845" width="12" style="6" customWidth="1"/>
    <col min="3846" max="3846" width="8.7109375" style="6" customWidth="1"/>
    <col min="3847" max="3847" width="9.5703125" style="6" customWidth="1"/>
    <col min="3848" max="3848" width="12.140625" style="6" customWidth="1"/>
    <col min="3849" max="4096" width="9.140625" style="6"/>
    <col min="4097" max="4097" width="24.7109375" style="6" customWidth="1"/>
    <col min="4098" max="4098" width="16.140625" style="6" customWidth="1"/>
    <col min="4099" max="4099" width="10.140625" style="6" customWidth="1"/>
    <col min="4100" max="4100" width="12.28515625" style="6" customWidth="1"/>
    <col min="4101" max="4101" width="12" style="6" customWidth="1"/>
    <col min="4102" max="4102" width="8.7109375" style="6" customWidth="1"/>
    <col min="4103" max="4103" width="9.5703125" style="6" customWidth="1"/>
    <col min="4104" max="4104" width="12.140625" style="6" customWidth="1"/>
    <col min="4105" max="4352" width="9.140625" style="6"/>
    <col min="4353" max="4353" width="24.7109375" style="6" customWidth="1"/>
    <col min="4354" max="4354" width="16.140625" style="6" customWidth="1"/>
    <col min="4355" max="4355" width="10.140625" style="6" customWidth="1"/>
    <col min="4356" max="4356" width="12.28515625" style="6" customWidth="1"/>
    <col min="4357" max="4357" width="12" style="6" customWidth="1"/>
    <col min="4358" max="4358" width="8.7109375" style="6" customWidth="1"/>
    <col min="4359" max="4359" width="9.5703125" style="6" customWidth="1"/>
    <col min="4360" max="4360" width="12.140625" style="6" customWidth="1"/>
    <col min="4361" max="4608" width="9.140625" style="6"/>
    <col min="4609" max="4609" width="24.7109375" style="6" customWidth="1"/>
    <col min="4610" max="4610" width="16.140625" style="6" customWidth="1"/>
    <col min="4611" max="4611" width="10.140625" style="6" customWidth="1"/>
    <col min="4612" max="4612" width="12.28515625" style="6" customWidth="1"/>
    <col min="4613" max="4613" width="12" style="6" customWidth="1"/>
    <col min="4614" max="4614" width="8.7109375" style="6" customWidth="1"/>
    <col min="4615" max="4615" width="9.5703125" style="6" customWidth="1"/>
    <col min="4616" max="4616" width="12.140625" style="6" customWidth="1"/>
    <col min="4617" max="4864" width="9.140625" style="6"/>
    <col min="4865" max="4865" width="24.7109375" style="6" customWidth="1"/>
    <col min="4866" max="4866" width="16.140625" style="6" customWidth="1"/>
    <col min="4867" max="4867" width="10.140625" style="6" customWidth="1"/>
    <col min="4868" max="4868" width="12.28515625" style="6" customWidth="1"/>
    <col min="4869" max="4869" width="12" style="6" customWidth="1"/>
    <col min="4870" max="4870" width="8.7109375" style="6" customWidth="1"/>
    <col min="4871" max="4871" width="9.5703125" style="6" customWidth="1"/>
    <col min="4872" max="4872" width="12.140625" style="6" customWidth="1"/>
    <col min="4873" max="5120" width="9.140625" style="6"/>
    <col min="5121" max="5121" width="24.7109375" style="6" customWidth="1"/>
    <col min="5122" max="5122" width="16.140625" style="6" customWidth="1"/>
    <col min="5123" max="5123" width="10.140625" style="6" customWidth="1"/>
    <col min="5124" max="5124" width="12.28515625" style="6" customWidth="1"/>
    <col min="5125" max="5125" width="12" style="6" customWidth="1"/>
    <col min="5126" max="5126" width="8.7109375" style="6" customWidth="1"/>
    <col min="5127" max="5127" width="9.5703125" style="6" customWidth="1"/>
    <col min="5128" max="5128" width="12.140625" style="6" customWidth="1"/>
    <col min="5129" max="5376" width="9.140625" style="6"/>
    <col min="5377" max="5377" width="24.7109375" style="6" customWidth="1"/>
    <col min="5378" max="5378" width="16.140625" style="6" customWidth="1"/>
    <col min="5379" max="5379" width="10.140625" style="6" customWidth="1"/>
    <col min="5380" max="5380" width="12.28515625" style="6" customWidth="1"/>
    <col min="5381" max="5381" width="12" style="6" customWidth="1"/>
    <col min="5382" max="5382" width="8.7109375" style="6" customWidth="1"/>
    <col min="5383" max="5383" width="9.5703125" style="6" customWidth="1"/>
    <col min="5384" max="5384" width="12.140625" style="6" customWidth="1"/>
    <col min="5385" max="5632" width="9.140625" style="6"/>
    <col min="5633" max="5633" width="24.7109375" style="6" customWidth="1"/>
    <col min="5634" max="5634" width="16.140625" style="6" customWidth="1"/>
    <col min="5635" max="5635" width="10.140625" style="6" customWidth="1"/>
    <col min="5636" max="5636" width="12.28515625" style="6" customWidth="1"/>
    <col min="5637" max="5637" width="12" style="6" customWidth="1"/>
    <col min="5638" max="5638" width="8.7109375" style="6" customWidth="1"/>
    <col min="5639" max="5639" width="9.5703125" style="6" customWidth="1"/>
    <col min="5640" max="5640" width="12.140625" style="6" customWidth="1"/>
    <col min="5641" max="5888" width="9.140625" style="6"/>
    <col min="5889" max="5889" width="24.7109375" style="6" customWidth="1"/>
    <col min="5890" max="5890" width="16.140625" style="6" customWidth="1"/>
    <col min="5891" max="5891" width="10.140625" style="6" customWidth="1"/>
    <col min="5892" max="5892" width="12.28515625" style="6" customWidth="1"/>
    <col min="5893" max="5893" width="12" style="6" customWidth="1"/>
    <col min="5894" max="5894" width="8.7109375" style="6" customWidth="1"/>
    <col min="5895" max="5895" width="9.5703125" style="6" customWidth="1"/>
    <col min="5896" max="5896" width="12.140625" style="6" customWidth="1"/>
    <col min="5897" max="6144" width="9.140625" style="6"/>
    <col min="6145" max="6145" width="24.7109375" style="6" customWidth="1"/>
    <col min="6146" max="6146" width="16.140625" style="6" customWidth="1"/>
    <col min="6147" max="6147" width="10.140625" style="6" customWidth="1"/>
    <col min="6148" max="6148" width="12.28515625" style="6" customWidth="1"/>
    <col min="6149" max="6149" width="12" style="6" customWidth="1"/>
    <col min="6150" max="6150" width="8.7109375" style="6" customWidth="1"/>
    <col min="6151" max="6151" width="9.5703125" style="6" customWidth="1"/>
    <col min="6152" max="6152" width="12.140625" style="6" customWidth="1"/>
    <col min="6153" max="6400" width="9.140625" style="6"/>
    <col min="6401" max="6401" width="24.7109375" style="6" customWidth="1"/>
    <col min="6402" max="6402" width="16.140625" style="6" customWidth="1"/>
    <col min="6403" max="6403" width="10.140625" style="6" customWidth="1"/>
    <col min="6404" max="6404" width="12.28515625" style="6" customWidth="1"/>
    <col min="6405" max="6405" width="12" style="6" customWidth="1"/>
    <col min="6406" max="6406" width="8.7109375" style="6" customWidth="1"/>
    <col min="6407" max="6407" width="9.5703125" style="6" customWidth="1"/>
    <col min="6408" max="6408" width="12.140625" style="6" customWidth="1"/>
    <col min="6409" max="6656" width="9.140625" style="6"/>
    <col min="6657" max="6657" width="24.7109375" style="6" customWidth="1"/>
    <col min="6658" max="6658" width="16.140625" style="6" customWidth="1"/>
    <col min="6659" max="6659" width="10.140625" style="6" customWidth="1"/>
    <col min="6660" max="6660" width="12.28515625" style="6" customWidth="1"/>
    <col min="6661" max="6661" width="12" style="6" customWidth="1"/>
    <col min="6662" max="6662" width="8.7109375" style="6" customWidth="1"/>
    <col min="6663" max="6663" width="9.5703125" style="6" customWidth="1"/>
    <col min="6664" max="6664" width="12.140625" style="6" customWidth="1"/>
    <col min="6665" max="6912" width="9.140625" style="6"/>
    <col min="6913" max="6913" width="24.7109375" style="6" customWidth="1"/>
    <col min="6914" max="6914" width="16.140625" style="6" customWidth="1"/>
    <col min="6915" max="6915" width="10.140625" style="6" customWidth="1"/>
    <col min="6916" max="6916" width="12.28515625" style="6" customWidth="1"/>
    <col min="6917" max="6917" width="12" style="6" customWidth="1"/>
    <col min="6918" max="6918" width="8.7109375" style="6" customWidth="1"/>
    <col min="6919" max="6919" width="9.5703125" style="6" customWidth="1"/>
    <col min="6920" max="6920" width="12.140625" style="6" customWidth="1"/>
    <col min="6921" max="7168" width="9.140625" style="6"/>
    <col min="7169" max="7169" width="24.7109375" style="6" customWidth="1"/>
    <col min="7170" max="7170" width="16.140625" style="6" customWidth="1"/>
    <col min="7171" max="7171" width="10.140625" style="6" customWidth="1"/>
    <col min="7172" max="7172" width="12.28515625" style="6" customWidth="1"/>
    <col min="7173" max="7173" width="12" style="6" customWidth="1"/>
    <col min="7174" max="7174" width="8.7109375" style="6" customWidth="1"/>
    <col min="7175" max="7175" width="9.5703125" style="6" customWidth="1"/>
    <col min="7176" max="7176" width="12.140625" style="6" customWidth="1"/>
    <col min="7177" max="7424" width="9.140625" style="6"/>
    <col min="7425" max="7425" width="24.7109375" style="6" customWidth="1"/>
    <col min="7426" max="7426" width="16.140625" style="6" customWidth="1"/>
    <col min="7427" max="7427" width="10.140625" style="6" customWidth="1"/>
    <col min="7428" max="7428" width="12.28515625" style="6" customWidth="1"/>
    <col min="7429" max="7429" width="12" style="6" customWidth="1"/>
    <col min="7430" max="7430" width="8.7109375" style="6" customWidth="1"/>
    <col min="7431" max="7431" width="9.5703125" style="6" customWidth="1"/>
    <col min="7432" max="7432" width="12.140625" style="6" customWidth="1"/>
    <col min="7433" max="7680" width="9.140625" style="6"/>
    <col min="7681" max="7681" width="24.7109375" style="6" customWidth="1"/>
    <col min="7682" max="7682" width="16.140625" style="6" customWidth="1"/>
    <col min="7683" max="7683" width="10.140625" style="6" customWidth="1"/>
    <col min="7684" max="7684" width="12.28515625" style="6" customWidth="1"/>
    <col min="7685" max="7685" width="12" style="6" customWidth="1"/>
    <col min="7686" max="7686" width="8.7109375" style="6" customWidth="1"/>
    <col min="7687" max="7687" width="9.5703125" style="6" customWidth="1"/>
    <col min="7688" max="7688" width="12.140625" style="6" customWidth="1"/>
    <col min="7689" max="7936" width="9.140625" style="6"/>
    <col min="7937" max="7937" width="24.7109375" style="6" customWidth="1"/>
    <col min="7938" max="7938" width="16.140625" style="6" customWidth="1"/>
    <col min="7939" max="7939" width="10.140625" style="6" customWidth="1"/>
    <col min="7940" max="7940" width="12.28515625" style="6" customWidth="1"/>
    <col min="7941" max="7941" width="12" style="6" customWidth="1"/>
    <col min="7942" max="7942" width="8.7109375" style="6" customWidth="1"/>
    <col min="7943" max="7943" width="9.5703125" style="6" customWidth="1"/>
    <col min="7944" max="7944" width="12.140625" style="6" customWidth="1"/>
    <col min="7945" max="8192" width="9.140625" style="6"/>
    <col min="8193" max="8193" width="24.7109375" style="6" customWidth="1"/>
    <col min="8194" max="8194" width="16.140625" style="6" customWidth="1"/>
    <col min="8195" max="8195" width="10.140625" style="6" customWidth="1"/>
    <col min="8196" max="8196" width="12.28515625" style="6" customWidth="1"/>
    <col min="8197" max="8197" width="12" style="6" customWidth="1"/>
    <col min="8198" max="8198" width="8.7109375" style="6" customWidth="1"/>
    <col min="8199" max="8199" width="9.5703125" style="6" customWidth="1"/>
    <col min="8200" max="8200" width="12.140625" style="6" customWidth="1"/>
    <col min="8201" max="8448" width="9.140625" style="6"/>
    <col min="8449" max="8449" width="24.7109375" style="6" customWidth="1"/>
    <col min="8450" max="8450" width="16.140625" style="6" customWidth="1"/>
    <col min="8451" max="8451" width="10.140625" style="6" customWidth="1"/>
    <col min="8452" max="8452" width="12.28515625" style="6" customWidth="1"/>
    <col min="8453" max="8453" width="12" style="6" customWidth="1"/>
    <col min="8454" max="8454" width="8.7109375" style="6" customWidth="1"/>
    <col min="8455" max="8455" width="9.5703125" style="6" customWidth="1"/>
    <col min="8456" max="8456" width="12.140625" style="6" customWidth="1"/>
    <col min="8457" max="8704" width="9.140625" style="6"/>
    <col min="8705" max="8705" width="24.7109375" style="6" customWidth="1"/>
    <col min="8706" max="8706" width="16.140625" style="6" customWidth="1"/>
    <col min="8707" max="8707" width="10.140625" style="6" customWidth="1"/>
    <col min="8708" max="8708" width="12.28515625" style="6" customWidth="1"/>
    <col min="8709" max="8709" width="12" style="6" customWidth="1"/>
    <col min="8710" max="8710" width="8.7109375" style="6" customWidth="1"/>
    <col min="8711" max="8711" width="9.5703125" style="6" customWidth="1"/>
    <col min="8712" max="8712" width="12.140625" style="6" customWidth="1"/>
    <col min="8713" max="8960" width="9.140625" style="6"/>
    <col min="8961" max="8961" width="24.7109375" style="6" customWidth="1"/>
    <col min="8962" max="8962" width="16.140625" style="6" customWidth="1"/>
    <col min="8963" max="8963" width="10.140625" style="6" customWidth="1"/>
    <col min="8964" max="8964" width="12.28515625" style="6" customWidth="1"/>
    <col min="8965" max="8965" width="12" style="6" customWidth="1"/>
    <col min="8966" max="8966" width="8.7109375" style="6" customWidth="1"/>
    <col min="8967" max="8967" width="9.5703125" style="6" customWidth="1"/>
    <col min="8968" max="8968" width="12.140625" style="6" customWidth="1"/>
    <col min="8969" max="9216" width="9.140625" style="6"/>
    <col min="9217" max="9217" width="24.7109375" style="6" customWidth="1"/>
    <col min="9218" max="9218" width="16.140625" style="6" customWidth="1"/>
    <col min="9219" max="9219" width="10.140625" style="6" customWidth="1"/>
    <col min="9220" max="9220" width="12.28515625" style="6" customWidth="1"/>
    <col min="9221" max="9221" width="12" style="6" customWidth="1"/>
    <col min="9222" max="9222" width="8.7109375" style="6" customWidth="1"/>
    <col min="9223" max="9223" width="9.5703125" style="6" customWidth="1"/>
    <col min="9224" max="9224" width="12.140625" style="6" customWidth="1"/>
    <col min="9225" max="9472" width="9.140625" style="6"/>
    <col min="9473" max="9473" width="24.7109375" style="6" customWidth="1"/>
    <col min="9474" max="9474" width="16.140625" style="6" customWidth="1"/>
    <col min="9475" max="9475" width="10.140625" style="6" customWidth="1"/>
    <col min="9476" max="9476" width="12.28515625" style="6" customWidth="1"/>
    <col min="9477" max="9477" width="12" style="6" customWidth="1"/>
    <col min="9478" max="9478" width="8.7109375" style="6" customWidth="1"/>
    <col min="9479" max="9479" width="9.5703125" style="6" customWidth="1"/>
    <col min="9480" max="9480" width="12.140625" style="6" customWidth="1"/>
    <col min="9481" max="9728" width="9.140625" style="6"/>
    <col min="9729" max="9729" width="24.7109375" style="6" customWidth="1"/>
    <col min="9730" max="9730" width="16.140625" style="6" customWidth="1"/>
    <col min="9731" max="9731" width="10.140625" style="6" customWidth="1"/>
    <col min="9732" max="9732" width="12.28515625" style="6" customWidth="1"/>
    <col min="9733" max="9733" width="12" style="6" customWidth="1"/>
    <col min="9734" max="9734" width="8.7109375" style="6" customWidth="1"/>
    <col min="9735" max="9735" width="9.5703125" style="6" customWidth="1"/>
    <col min="9736" max="9736" width="12.140625" style="6" customWidth="1"/>
    <col min="9737" max="9984" width="9.140625" style="6"/>
    <col min="9985" max="9985" width="24.7109375" style="6" customWidth="1"/>
    <col min="9986" max="9986" width="16.140625" style="6" customWidth="1"/>
    <col min="9987" max="9987" width="10.140625" style="6" customWidth="1"/>
    <col min="9988" max="9988" width="12.28515625" style="6" customWidth="1"/>
    <col min="9989" max="9989" width="12" style="6" customWidth="1"/>
    <col min="9990" max="9990" width="8.7109375" style="6" customWidth="1"/>
    <col min="9991" max="9991" width="9.5703125" style="6" customWidth="1"/>
    <col min="9992" max="9992" width="12.140625" style="6" customWidth="1"/>
    <col min="9993" max="10240" width="9.140625" style="6"/>
    <col min="10241" max="10241" width="24.7109375" style="6" customWidth="1"/>
    <col min="10242" max="10242" width="16.140625" style="6" customWidth="1"/>
    <col min="10243" max="10243" width="10.140625" style="6" customWidth="1"/>
    <col min="10244" max="10244" width="12.28515625" style="6" customWidth="1"/>
    <col min="10245" max="10245" width="12" style="6" customWidth="1"/>
    <col min="10246" max="10246" width="8.7109375" style="6" customWidth="1"/>
    <col min="10247" max="10247" width="9.5703125" style="6" customWidth="1"/>
    <col min="10248" max="10248" width="12.140625" style="6" customWidth="1"/>
    <col min="10249" max="10496" width="9.140625" style="6"/>
    <col min="10497" max="10497" width="24.7109375" style="6" customWidth="1"/>
    <col min="10498" max="10498" width="16.140625" style="6" customWidth="1"/>
    <col min="10499" max="10499" width="10.140625" style="6" customWidth="1"/>
    <col min="10500" max="10500" width="12.28515625" style="6" customWidth="1"/>
    <col min="10501" max="10501" width="12" style="6" customWidth="1"/>
    <col min="10502" max="10502" width="8.7109375" style="6" customWidth="1"/>
    <col min="10503" max="10503" width="9.5703125" style="6" customWidth="1"/>
    <col min="10504" max="10504" width="12.140625" style="6" customWidth="1"/>
    <col min="10505" max="10752" width="9.140625" style="6"/>
    <col min="10753" max="10753" width="24.7109375" style="6" customWidth="1"/>
    <col min="10754" max="10754" width="16.140625" style="6" customWidth="1"/>
    <col min="10755" max="10755" width="10.140625" style="6" customWidth="1"/>
    <col min="10756" max="10756" width="12.28515625" style="6" customWidth="1"/>
    <col min="10757" max="10757" width="12" style="6" customWidth="1"/>
    <col min="10758" max="10758" width="8.7109375" style="6" customWidth="1"/>
    <col min="10759" max="10759" width="9.5703125" style="6" customWidth="1"/>
    <col min="10760" max="10760" width="12.140625" style="6" customWidth="1"/>
    <col min="10761" max="11008" width="9.140625" style="6"/>
    <col min="11009" max="11009" width="24.7109375" style="6" customWidth="1"/>
    <col min="11010" max="11010" width="16.140625" style="6" customWidth="1"/>
    <col min="11011" max="11011" width="10.140625" style="6" customWidth="1"/>
    <col min="11012" max="11012" width="12.28515625" style="6" customWidth="1"/>
    <col min="11013" max="11013" width="12" style="6" customWidth="1"/>
    <col min="11014" max="11014" width="8.7109375" style="6" customWidth="1"/>
    <col min="11015" max="11015" width="9.5703125" style="6" customWidth="1"/>
    <col min="11016" max="11016" width="12.140625" style="6" customWidth="1"/>
    <col min="11017" max="11264" width="9.140625" style="6"/>
    <col min="11265" max="11265" width="24.7109375" style="6" customWidth="1"/>
    <col min="11266" max="11266" width="16.140625" style="6" customWidth="1"/>
    <col min="11267" max="11267" width="10.140625" style="6" customWidth="1"/>
    <col min="11268" max="11268" width="12.28515625" style="6" customWidth="1"/>
    <col min="11269" max="11269" width="12" style="6" customWidth="1"/>
    <col min="11270" max="11270" width="8.7109375" style="6" customWidth="1"/>
    <col min="11271" max="11271" width="9.5703125" style="6" customWidth="1"/>
    <col min="11272" max="11272" width="12.140625" style="6" customWidth="1"/>
    <col min="11273" max="11520" width="9.140625" style="6"/>
    <col min="11521" max="11521" width="24.7109375" style="6" customWidth="1"/>
    <col min="11522" max="11522" width="16.140625" style="6" customWidth="1"/>
    <col min="11523" max="11523" width="10.140625" style="6" customWidth="1"/>
    <col min="11524" max="11524" width="12.28515625" style="6" customWidth="1"/>
    <col min="11525" max="11525" width="12" style="6" customWidth="1"/>
    <col min="11526" max="11526" width="8.7109375" style="6" customWidth="1"/>
    <col min="11527" max="11527" width="9.5703125" style="6" customWidth="1"/>
    <col min="11528" max="11528" width="12.140625" style="6" customWidth="1"/>
    <col min="11529" max="11776" width="9.140625" style="6"/>
    <col min="11777" max="11777" width="24.7109375" style="6" customWidth="1"/>
    <col min="11778" max="11778" width="16.140625" style="6" customWidth="1"/>
    <col min="11779" max="11779" width="10.140625" style="6" customWidth="1"/>
    <col min="11780" max="11780" width="12.28515625" style="6" customWidth="1"/>
    <col min="11781" max="11781" width="12" style="6" customWidth="1"/>
    <col min="11782" max="11782" width="8.7109375" style="6" customWidth="1"/>
    <col min="11783" max="11783" width="9.5703125" style="6" customWidth="1"/>
    <col min="11784" max="11784" width="12.140625" style="6" customWidth="1"/>
    <col min="11785" max="12032" width="9.140625" style="6"/>
    <col min="12033" max="12033" width="24.7109375" style="6" customWidth="1"/>
    <col min="12034" max="12034" width="16.140625" style="6" customWidth="1"/>
    <col min="12035" max="12035" width="10.140625" style="6" customWidth="1"/>
    <col min="12036" max="12036" width="12.28515625" style="6" customWidth="1"/>
    <col min="12037" max="12037" width="12" style="6" customWidth="1"/>
    <col min="12038" max="12038" width="8.7109375" style="6" customWidth="1"/>
    <col min="12039" max="12039" width="9.5703125" style="6" customWidth="1"/>
    <col min="12040" max="12040" width="12.140625" style="6" customWidth="1"/>
    <col min="12041" max="12288" width="9.140625" style="6"/>
    <col min="12289" max="12289" width="24.7109375" style="6" customWidth="1"/>
    <col min="12290" max="12290" width="16.140625" style="6" customWidth="1"/>
    <col min="12291" max="12291" width="10.140625" style="6" customWidth="1"/>
    <col min="12292" max="12292" width="12.28515625" style="6" customWidth="1"/>
    <col min="12293" max="12293" width="12" style="6" customWidth="1"/>
    <col min="12294" max="12294" width="8.7109375" style="6" customWidth="1"/>
    <col min="12295" max="12295" width="9.5703125" style="6" customWidth="1"/>
    <col min="12296" max="12296" width="12.140625" style="6" customWidth="1"/>
    <col min="12297" max="12544" width="9.140625" style="6"/>
    <col min="12545" max="12545" width="24.7109375" style="6" customWidth="1"/>
    <col min="12546" max="12546" width="16.140625" style="6" customWidth="1"/>
    <col min="12547" max="12547" width="10.140625" style="6" customWidth="1"/>
    <col min="12548" max="12548" width="12.28515625" style="6" customWidth="1"/>
    <col min="12549" max="12549" width="12" style="6" customWidth="1"/>
    <col min="12550" max="12550" width="8.7109375" style="6" customWidth="1"/>
    <col min="12551" max="12551" width="9.5703125" style="6" customWidth="1"/>
    <col min="12552" max="12552" width="12.140625" style="6" customWidth="1"/>
    <col min="12553" max="12800" width="9.140625" style="6"/>
    <col min="12801" max="12801" width="24.7109375" style="6" customWidth="1"/>
    <col min="12802" max="12802" width="16.140625" style="6" customWidth="1"/>
    <col min="12803" max="12803" width="10.140625" style="6" customWidth="1"/>
    <col min="12804" max="12804" width="12.28515625" style="6" customWidth="1"/>
    <col min="12805" max="12805" width="12" style="6" customWidth="1"/>
    <col min="12806" max="12806" width="8.7109375" style="6" customWidth="1"/>
    <col min="12807" max="12807" width="9.5703125" style="6" customWidth="1"/>
    <col min="12808" max="12808" width="12.140625" style="6" customWidth="1"/>
    <col min="12809" max="13056" width="9.140625" style="6"/>
    <col min="13057" max="13057" width="24.7109375" style="6" customWidth="1"/>
    <col min="13058" max="13058" width="16.140625" style="6" customWidth="1"/>
    <col min="13059" max="13059" width="10.140625" style="6" customWidth="1"/>
    <col min="13060" max="13060" width="12.28515625" style="6" customWidth="1"/>
    <col min="13061" max="13061" width="12" style="6" customWidth="1"/>
    <col min="13062" max="13062" width="8.7109375" style="6" customWidth="1"/>
    <col min="13063" max="13063" width="9.5703125" style="6" customWidth="1"/>
    <col min="13064" max="13064" width="12.140625" style="6" customWidth="1"/>
    <col min="13065" max="13312" width="9.140625" style="6"/>
    <col min="13313" max="13313" width="24.7109375" style="6" customWidth="1"/>
    <col min="13314" max="13314" width="16.140625" style="6" customWidth="1"/>
    <col min="13315" max="13315" width="10.140625" style="6" customWidth="1"/>
    <col min="13316" max="13316" width="12.28515625" style="6" customWidth="1"/>
    <col min="13317" max="13317" width="12" style="6" customWidth="1"/>
    <col min="13318" max="13318" width="8.7109375" style="6" customWidth="1"/>
    <col min="13319" max="13319" width="9.5703125" style="6" customWidth="1"/>
    <col min="13320" max="13320" width="12.140625" style="6" customWidth="1"/>
    <col min="13321" max="13568" width="9.140625" style="6"/>
    <col min="13569" max="13569" width="24.7109375" style="6" customWidth="1"/>
    <col min="13570" max="13570" width="16.140625" style="6" customWidth="1"/>
    <col min="13571" max="13571" width="10.140625" style="6" customWidth="1"/>
    <col min="13572" max="13572" width="12.28515625" style="6" customWidth="1"/>
    <col min="13573" max="13573" width="12" style="6" customWidth="1"/>
    <col min="13574" max="13574" width="8.7109375" style="6" customWidth="1"/>
    <col min="13575" max="13575" width="9.5703125" style="6" customWidth="1"/>
    <col min="13576" max="13576" width="12.140625" style="6" customWidth="1"/>
    <col min="13577" max="13824" width="9.140625" style="6"/>
    <col min="13825" max="13825" width="24.7109375" style="6" customWidth="1"/>
    <col min="13826" max="13826" width="16.140625" style="6" customWidth="1"/>
    <col min="13827" max="13827" width="10.140625" style="6" customWidth="1"/>
    <col min="13828" max="13828" width="12.28515625" style="6" customWidth="1"/>
    <col min="13829" max="13829" width="12" style="6" customWidth="1"/>
    <col min="13830" max="13830" width="8.7109375" style="6" customWidth="1"/>
    <col min="13831" max="13831" width="9.5703125" style="6" customWidth="1"/>
    <col min="13832" max="13832" width="12.140625" style="6" customWidth="1"/>
    <col min="13833" max="14080" width="9.140625" style="6"/>
    <col min="14081" max="14081" width="24.7109375" style="6" customWidth="1"/>
    <col min="14082" max="14082" width="16.140625" style="6" customWidth="1"/>
    <col min="14083" max="14083" width="10.140625" style="6" customWidth="1"/>
    <col min="14084" max="14084" width="12.28515625" style="6" customWidth="1"/>
    <col min="14085" max="14085" width="12" style="6" customWidth="1"/>
    <col min="14086" max="14086" width="8.7109375" style="6" customWidth="1"/>
    <col min="14087" max="14087" width="9.5703125" style="6" customWidth="1"/>
    <col min="14088" max="14088" width="12.140625" style="6" customWidth="1"/>
    <col min="14089" max="14336" width="9.140625" style="6"/>
    <col min="14337" max="14337" width="24.7109375" style="6" customWidth="1"/>
    <col min="14338" max="14338" width="16.140625" style="6" customWidth="1"/>
    <col min="14339" max="14339" width="10.140625" style="6" customWidth="1"/>
    <col min="14340" max="14340" width="12.28515625" style="6" customWidth="1"/>
    <col min="14341" max="14341" width="12" style="6" customWidth="1"/>
    <col min="14342" max="14342" width="8.7109375" style="6" customWidth="1"/>
    <col min="14343" max="14343" width="9.5703125" style="6" customWidth="1"/>
    <col min="14344" max="14344" width="12.140625" style="6" customWidth="1"/>
    <col min="14345" max="14592" width="9.140625" style="6"/>
    <col min="14593" max="14593" width="24.7109375" style="6" customWidth="1"/>
    <col min="14594" max="14594" width="16.140625" style="6" customWidth="1"/>
    <col min="14595" max="14595" width="10.140625" style="6" customWidth="1"/>
    <col min="14596" max="14596" width="12.28515625" style="6" customWidth="1"/>
    <col min="14597" max="14597" width="12" style="6" customWidth="1"/>
    <col min="14598" max="14598" width="8.7109375" style="6" customWidth="1"/>
    <col min="14599" max="14599" width="9.5703125" style="6" customWidth="1"/>
    <col min="14600" max="14600" width="12.140625" style="6" customWidth="1"/>
    <col min="14601" max="14848" width="9.140625" style="6"/>
    <col min="14849" max="14849" width="24.7109375" style="6" customWidth="1"/>
    <col min="14850" max="14850" width="16.140625" style="6" customWidth="1"/>
    <col min="14851" max="14851" width="10.140625" style="6" customWidth="1"/>
    <col min="14852" max="14852" width="12.28515625" style="6" customWidth="1"/>
    <col min="14853" max="14853" width="12" style="6" customWidth="1"/>
    <col min="14854" max="14854" width="8.7109375" style="6" customWidth="1"/>
    <col min="14855" max="14855" width="9.5703125" style="6" customWidth="1"/>
    <col min="14856" max="14856" width="12.140625" style="6" customWidth="1"/>
    <col min="14857" max="15104" width="9.140625" style="6"/>
    <col min="15105" max="15105" width="24.7109375" style="6" customWidth="1"/>
    <col min="15106" max="15106" width="16.140625" style="6" customWidth="1"/>
    <col min="15107" max="15107" width="10.140625" style="6" customWidth="1"/>
    <col min="15108" max="15108" width="12.28515625" style="6" customWidth="1"/>
    <col min="15109" max="15109" width="12" style="6" customWidth="1"/>
    <col min="15110" max="15110" width="8.7109375" style="6" customWidth="1"/>
    <col min="15111" max="15111" width="9.5703125" style="6" customWidth="1"/>
    <col min="15112" max="15112" width="12.140625" style="6" customWidth="1"/>
    <col min="15113" max="15360" width="9.140625" style="6"/>
    <col min="15361" max="15361" width="24.7109375" style="6" customWidth="1"/>
    <col min="15362" max="15362" width="16.140625" style="6" customWidth="1"/>
    <col min="15363" max="15363" width="10.140625" style="6" customWidth="1"/>
    <col min="15364" max="15364" width="12.28515625" style="6" customWidth="1"/>
    <col min="15365" max="15365" width="12" style="6" customWidth="1"/>
    <col min="15366" max="15366" width="8.7109375" style="6" customWidth="1"/>
    <col min="15367" max="15367" width="9.5703125" style="6" customWidth="1"/>
    <col min="15368" max="15368" width="12.140625" style="6" customWidth="1"/>
    <col min="15369" max="15616" width="9.140625" style="6"/>
    <col min="15617" max="15617" width="24.7109375" style="6" customWidth="1"/>
    <col min="15618" max="15618" width="16.140625" style="6" customWidth="1"/>
    <col min="15619" max="15619" width="10.140625" style="6" customWidth="1"/>
    <col min="15620" max="15620" width="12.28515625" style="6" customWidth="1"/>
    <col min="15621" max="15621" width="12" style="6" customWidth="1"/>
    <col min="15622" max="15622" width="8.7109375" style="6" customWidth="1"/>
    <col min="15623" max="15623" width="9.5703125" style="6" customWidth="1"/>
    <col min="15624" max="15624" width="12.140625" style="6" customWidth="1"/>
    <col min="15625" max="15872" width="9.140625" style="6"/>
    <col min="15873" max="15873" width="24.7109375" style="6" customWidth="1"/>
    <col min="15874" max="15874" width="16.140625" style="6" customWidth="1"/>
    <col min="15875" max="15875" width="10.140625" style="6" customWidth="1"/>
    <col min="15876" max="15876" width="12.28515625" style="6" customWidth="1"/>
    <col min="15877" max="15877" width="12" style="6" customWidth="1"/>
    <col min="15878" max="15878" width="8.7109375" style="6" customWidth="1"/>
    <col min="15879" max="15879" width="9.5703125" style="6" customWidth="1"/>
    <col min="15880" max="15880" width="12.140625" style="6" customWidth="1"/>
    <col min="15881" max="16128" width="9.140625" style="6"/>
    <col min="16129" max="16129" width="24.7109375" style="6" customWidth="1"/>
    <col min="16130" max="16130" width="16.140625" style="6" customWidth="1"/>
    <col min="16131" max="16131" width="10.140625" style="6" customWidth="1"/>
    <col min="16132" max="16132" width="12.28515625" style="6" customWidth="1"/>
    <col min="16133" max="16133" width="12" style="6" customWidth="1"/>
    <col min="16134" max="16134" width="8.7109375" style="6" customWidth="1"/>
    <col min="16135" max="16135" width="9.5703125" style="6" customWidth="1"/>
    <col min="16136" max="16136" width="12.140625" style="6" customWidth="1"/>
    <col min="16137" max="16384" width="9.140625" style="6"/>
  </cols>
  <sheetData>
    <row r="1" spans="1:12" s="401" customFormat="1" ht="20.25" hidden="1">
      <c r="A1" s="397" t="s">
        <v>335</v>
      </c>
      <c r="B1" s="398"/>
      <c r="C1" s="397"/>
      <c r="D1" s="399"/>
      <c r="E1" s="400" t="s">
        <v>512</v>
      </c>
      <c r="F1" s="929">
        <f>'[4]CAF Spring17'!BK27</f>
        <v>2.7235921972764018E-2</v>
      </c>
    </row>
    <row r="2" spans="1:12" s="4" customFormat="1" ht="15.75" hidden="1">
      <c r="A2" s="402" t="s">
        <v>336</v>
      </c>
    </row>
    <row r="3" spans="1:12" ht="27" hidden="1" customHeight="1">
      <c r="A3" s="403" t="s">
        <v>337</v>
      </c>
      <c r="B3" s="404">
        <v>5.07</v>
      </c>
      <c r="C3" s="405"/>
      <c r="D3" s="6"/>
      <c r="E3" s="6"/>
    </row>
    <row r="4" spans="1:12" s="933" customFormat="1" ht="31.5" hidden="1">
      <c r="A4" s="403"/>
      <c r="B4" s="930"/>
      <c r="C4" s="931"/>
      <c r="D4" s="932" t="s">
        <v>5</v>
      </c>
      <c r="E4" s="935" t="s">
        <v>6</v>
      </c>
    </row>
    <row r="5" spans="1:12" ht="40.5" hidden="1" customHeight="1">
      <c r="A5" s="407" t="s">
        <v>338</v>
      </c>
      <c r="B5" s="407" t="s">
        <v>339</v>
      </c>
      <c r="C5" s="408" t="s">
        <v>340</v>
      </c>
      <c r="D5" s="409" t="s">
        <v>513</v>
      </c>
      <c r="E5" s="936" t="s">
        <v>513</v>
      </c>
    </row>
    <row r="6" spans="1:12" ht="15" hidden="1">
      <c r="A6" s="410">
        <v>1</v>
      </c>
      <c r="B6" s="410">
        <v>6.34</v>
      </c>
      <c r="C6" s="411">
        <v>2</v>
      </c>
      <c r="D6" s="934">
        <f>B6/C6</f>
        <v>3.17</v>
      </c>
      <c r="E6" s="937">
        <f>D6*($F$1+1)</f>
        <v>3.256337872653662</v>
      </c>
      <c r="F6" s="412"/>
      <c r="G6" s="413"/>
    </row>
    <row r="7" spans="1:12" ht="15" hidden="1">
      <c r="A7" s="410">
        <v>1</v>
      </c>
      <c r="B7" s="410">
        <v>6.31</v>
      </c>
      <c r="C7" s="411">
        <v>3</v>
      </c>
      <c r="D7" s="934">
        <f>B7/C7</f>
        <v>2.1033333333333331</v>
      </c>
      <c r="E7" s="937">
        <f>D7*($F$1+1)</f>
        <v>2.1606195558827133</v>
      </c>
      <c r="F7" s="412"/>
      <c r="G7" s="413"/>
    </row>
    <row r="8" spans="1:12" ht="15" hidden="1">
      <c r="A8" s="410">
        <v>1</v>
      </c>
      <c r="B8" s="410">
        <v>5.03</v>
      </c>
      <c r="C8" s="411">
        <v>1</v>
      </c>
      <c r="D8" s="934">
        <f>B8/C8</f>
        <v>5.03</v>
      </c>
      <c r="E8" s="937">
        <f>D8*($F$1+1)</f>
        <v>5.1669966875230031</v>
      </c>
    </row>
    <row r="9" spans="1:12" hidden="1">
      <c r="J9" s="1477"/>
    </row>
    <row r="10" spans="1:12" hidden="1">
      <c r="J10" s="1478"/>
    </row>
    <row r="11" spans="1:12" hidden="1">
      <c r="J11" s="1478"/>
    </row>
    <row r="13" spans="1:12" ht="15" customHeight="1">
      <c r="D13" s="3158" t="s">
        <v>727</v>
      </c>
      <c r="E13" s="3158"/>
      <c r="F13" s="3158"/>
      <c r="G13" s="3158"/>
      <c r="H13" s="3158"/>
      <c r="I13" s="3158"/>
      <c r="J13" s="3158"/>
      <c r="K13" s="3158"/>
      <c r="L13" s="3158"/>
    </row>
    <row r="14" spans="1:12">
      <c r="D14" s="3158"/>
      <c r="E14" s="3158"/>
      <c r="F14" s="3158"/>
      <c r="G14" s="3158"/>
      <c r="H14" s="3158"/>
      <c r="I14" s="3158"/>
      <c r="J14" s="3158"/>
      <c r="K14" s="3158"/>
      <c r="L14" s="3158"/>
    </row>
    <row r="15" spans="1:12" ht="13.5" thickBot="1"/>
    <row r="16" spans="1:12" ht="15.75" customHeight="1" thickBot="1">
      <c r="D16" s="3124" t="s">
        <v>223</v>
      </c>
      <c r="E16" s="3125"/>
      <c r="F16" s="3125"/>
      <c r="G16" s="3126"/>
      <c r="I16" s="3121" t="s">
        <v>224</v>
      </c>
      <c r="J16" s="3122"/>
      <c r="K16" s="3122"/>
      <c r="L16" s="3123"/>
    </row>
    <row r="17" spans="4:12" ht="15" customHeight="1">
      <c r="D17" s="3139" t="s">
        <v>227</v>
      </c>
      <c r="E17" s="3140"/>
      <c r="F17" s="3140"/>
      <c r="G17" s="62" t="s">
        <v>228</v>
      </c>
      <c r="I17" s="1036" t="s">
        <v>229</v>
      </c>
      <c r="J17" s="3"/>
      <c r="K17" s="3"/>
      <c r="L17" s="63">
        <v>1975</v>
      </c>
    </row>
    <row r="18" spans="4:12" ht="15" customHeight="1">
      <c r="D18" s="2083" t="s">
        <v>833</v>
      </c>
      <c r="E18" s="2084"/>
      <c r="F18" s="2566">
        <v>31200</v>
      </c>
      <c r="G18" s="88" t="s">
        <v>862</v>
      </c>
      <c r="I18" s="71" t="s">
        <v>234</v>
      </c>
      <c r="J18" s="72" t="s">
        <v>209</v>
      </c>
      <c r="K18" s="73" t="s">
        <v>235</v>
      </c>
      <c r="L18" s="74" t="s">
        <v>210</v>
      </c>
    </row>
    <row r="19" spans="4:12">
      <c r="D19" s="1481"/>
      <c r="E19" s="1482"/>
      <c r="F19" s="2077"/>
      <c r="G19" s="82"/>
      <c r="I19" s="83" t="str">
        <f>D18</f>
        <v>Direct Care I</v>
      </c>
      <c r="J19" s="2571">
        <f>F18</f>
        <v>31200</v>
      </c>
      <c r="K19" s="2572">
        <v>1</v>
      </c>
      <c r="L19" s="1042">
        <f>J19*K19</f>
        <v>31200</v>
      </c>
    </row>
    <row r="20" spans="4:12" ht="15" customHeight="1">
      <c r="D20" s="2083" t="s">
        <v>835</v>
      </c>
      <c r="E20" s="2084"/>
      <c r="F20" s="2567">
        <v>1</v>
      </c>
      <c r="G20" s="88" t="s">
        <v>238</v>
      </c>
      <c r="I20" s="89"/>
      <c r="J20" s="90"/>
      <c r="K20" s="85"/>
      <c r="L20" s="91"/>
    </row>
    <row r="21" spans="4:12" ht="15.75" customHeight="1" thickBot="1">
      <c r="D21" s="3165" t="s">
        <v>240</v>
      </c>
      <c r="E21" s="3166"/>
      <c r="F21" s="2568"/>
      <c r="G21" s="94"/>
      <c r="I21" s="95" t="s">
        <v>220</v>
      </c>
      <c r="J21" s="96">
        <f>F26</f>
        <v>0.22</v>
      </c>
      <c r="K21" s="97"/>
      <c r="L21" s="1040">
        <f>J21*L19</f>
        <v>6864</v>
      </c>
    </row>
    <row r="22" spans="4:12" ht="16.5" customHeight="1" thickTop="1" thickBot="1">
      <c r="D22" s="2075" t="s">
        <v>834</v>
      </c>
      <c r="E22" s="2076"/>
      <c r="F22" s="2569">
        <f>'Master Look Up'!F7</f>
        <v>1410.7821990248415</v>
      </c>
      <c r="G22" s="70" t="s">
        <v>832</v>
      </c>
      <c r="I22" s="101" t="s">
        <v>243</v>
      </c>
      <c r="J22" s="102"/>
      <c r="K22" s="102"/>
      <c r="L22" s="1041">
        <f>SUM(L19:L21)</f>
        <v>38064</v>
      </c>
    </row>
    <row r="23" spans="4:12" ht="15.75" customHeight="1" thickTop="1">
      <c r="D23" s="2075"/>
      <c r="E23" s="2076"/>
      <c r="F23" s="2569"/>
      <c r="G23" s="70"/>
      <c r="I23" s="89" t="str">
        <f>D22</f>
        <v xml:space="preserve">Staff Mileage / Travel </v>
      </c>
      <c r="J23" s="90"/>
      <c r="K23" s="90"/>
      <c r="L23" s="91">
        <f>F22*K19</f>
        <v>1410.7821990248415</v>
      </c>
    </row>
    <row r="24" spans="4:12" ht="15.75" customHeight="1">
      <c r="D24" s="1485"/>
      <c r="E24" s="1486"/>
      <c r="F24" s="2570"/>
      <c r="G24" s="70"/>
      <c r="I24" s="89"/>
      <c r="J24" s="75"/>
      <c r="K24" s="90"/>
      <c r="L24" s="1042"/>
    </row>
    <row r="25" spans="4:12" ht="15.75" customHeight="1">
      <c r="D25" s="3159" t="s">
        <v>836</v>
      </c>
      <c r="E25" s="3160"/>
      <c r="F25" s="2570"/>
      <c r="G25" s="70"/>
      <c r="I25" s="89"/>
      <c r="J25" s="75"/>
      <c r="K25" s="90"/>
      <c r="L25" s="1042"/>
    </row>
    <row r="26" spans="4:12">
      <c r="D26" s="3133" t="s">
        <v>196</v>
      </c>
      <c r="E26" s="3134"/>
      <c r="F26" s="100">
        <v>0.22</v>
      </c>
      <c r="G26" s="2540" t="s">
        <v>546</v>
      </c>
      <c r="I26" s="114" t="s">
        <v>249</v>
      </c>
      <c r="J26" s="115"/>
      <c r="K26" s="115"/>
      <c r="L26" s="1043">
        <f>SUM(L22:L24)</f>
        <v>39474.782199024841</v>
      </c>
    </row>
    <row r="27" spans="4:12" ht="15.75" customHeight="1">
      <c r="D27" s="3161" t="s">
        <v>247</v>
      </c>
      <c r="E27" s="3162"/>
      <c r="F27" s="100">
        <v>0.11</v>
      </c>
      <c r="G27" s="2540" t="s">
        <v>546</v>
      </c>
      <c r="I27" s="1497" t="str">
        <f>D28</f>
        <v>PFMLA</v>
      </c>
      <c r="J27" s="1498">
        <f>F28</f>
        <v>6.3E-3</v>
      </c>
      <c r="K27" s="1499"/>
      <c r="L27" s="1500">
        <f>L19*(J27)</f>
        <v>196.56</v>
      </c>
    </row>
    <row r="28" spans="4:12" ht="13.5" thickBot="1">
      <c r="D28" s="2438" t="s">
        <v>653</v>
      </c>
      <c r="E28" s="2439"/>
      <c r="F28" s="2086">
        <v>6.3E-3</v>
      </c>
      <c r="G28" s="2556" t="s">
        <v>860</v>
      </c>
      <c r="I28" s="89" t="s">
        <v>247</v>
      </c>
      <c r="J28" s="75">
        <f>F27</f>
        <v>0.11</v>
      </c>
      <c r="K28" s="90"/>
      <c r="L28" s="1042">
        <f>J28*L26</f>
        <v>4342.2260418927326</v>
      </c>
    </row>
    <row r="29" spans="4:12" ht="13.5" thickBot="1">
      <c r="D29" s="3163" t="s">
        <v>651</v>
      </c>
      <c r="E29" s="3164"/>
      <c r="F29" s="1035">
        <f>'Spring 2019 CAF'!BU25</f>
        <v>1.8120393120392975E-2</v>
      </c>
      <c r="G29" s="1037" t="s">
        <v>652</v>
      </c>
      <c r="I29" s="101" t="s">
        <v>203</v>
      </c>
      <c r="J29" s="102"/>
      <c r="K29" s="102"/>
      <c r="L29" s="1041">
        <f>SUM(L26:L28)</f>
        <v>44013.568240917572</v>
      </c>
    </row>
    <row r="30" spans="4:12" ht="16.5" customHeight="1">
      <c r="D30" s="3157"/>
      <c r="E30" s="3157"/>
      <c r="F30" s="2589"/>
      <c r="G30" s="2590"/>
      <c r="I30" s="89"/>
      <c r="J30" s="133"/>
      <c r="K30" s="1"/>
      <c r="L30" s="134"/>
    </row>
    <row r="31" spans="4:12">
      <c r="I31" s="137" t="s">
        <v>205</v>
      </c>
      <c r="J31" s="138">
        <f>F29</f>
        <v>1.8120393120392975E-2</v>
      </c>
      <c r="K31" s="139"/>
      <c r="L31" s="1039">
        <f>L29*(1+J31)</f>
        <v>44811.111400074245</v>
      </c>
    </row>
    <row r="32" spans="4:12">
      <c r="I32" s="89"/>
      <c r="J32" s="1"/>
      <c r="K32" s="1"/>
      <c r="L32" s="140"/>
    </row>
    <row r="33" spans="4:12" ht="13.5" thickBot="1">
      <c r="I33" s="141" t="s">
        <v>301</v>
      </c>
      <c r="J33" s="142"/>
      <c r="K33" s="143"/>
      <c r="L33" s="1044">
        <f>L31/L17</f>
        <v>22.689170329151516</v>
      </c>
    </row>
    <row r="34" spans="4:12" ht="13.5" thickBot="1">
      <c r="I34" s="151" t="s">
        <v>257</v>
      </c>
      <c r="J34" s="152"/>
      <c r="K34" s="153"/>
      <c r="L34" s="336">
        <f>L33*0.25</f>
        <v>5.6722925822878789</v>
      </c>
    </row>
    <row r="35" spans="4:12" ht="13.5" thickBot="1">
      <c r="D35" s="2085"/>
    </row>
    <row r="36" spans="4:12" ht="15" customHeight="1" thickBot="1">
      <c r="D36" s="2085"/>
      <c r="I36" s="1501"/>
      <c r="J36" s="1502" t="s">
        <v>5</v>
      </c>
      <c r="K36" s="1502" t="s">
        <v>6</v>
      </c>
      <c r="L36" s="1503" t="s">
        <v>655</v>
      </c>
    </row>
    <row r="37" spans="4:12">
      <c r="D37" s="2085"/>
      <c r="I37" s="1504" t="s">
        <v>656</v>
      </c>
      <c r="J37" s="2079">
        <v>5.07</v>
      </c>
      <c r="K37" s="2081">
        <f>L34</f>
        <v>5.6722925822878789</v>
      </c>
      <c r="L37" s="1527">
        <f>(K37-J37)/J37</f>
        <v>0.11879538112186955</v>
      </c>
    </row>
    <row r="38" spans="4:12">
      <c r="D38" s="2085"/>
      <c r="I38" s="1504" t="s">
        <v>657</v>
      </c>
      <c r="J38" s="2079">
        <v>3.26</v>
      </c>
      <c r="K38" s="2081">
        <f>(J38/J37)*K37</f>
        <v>3.6472729424572945</v>
      </c>
      <c r="L38" s="1527">
        <f t="shared" ref="L38:L39" si="0">(K38-J38)/J38</f>
        <v>0.11879538112186955</v>
      </c>
    </row>
    <row r="39" spans="4:12" ht="13.5" thickBot="1">
      <c r="I39" s="1505" t="s">
        <v>658</v>
      </c>
      <c r="J39" s="2080">
        <v>2.16</v>
      </c>
      <c r="K39" s="2082">
        <f>(J39/J37)*K37</f>
        <v>2.4165980232232385</v>
      </c>
      <c r="L39" s="1528">
        <f t="shared" si="0"/>
        <v>0.11879538112186959</v>
      </c>
    </row>
    <row r="40" spans="4:12">
      <c r="L40" s="3026" t="s">
        <v>363</v>
      </c>
    </row>
    <row r="41" spans="4:12" ht="13.5" thickBot="1"/>
    <row r="42" spans="4:12" ht="15" customHeight="1" thickBot="1">
      <c r="D42" s="3121" t="s">
        <v>225</v>
      </c>
      <c r="E42" s="3122"/>
      <c r="F42" s="3156"/>
      <c r="G42" s="58" t="s">
        <v>226</v>
      </c>
    </row>
    <row r="43" spans="4:12" ht="26.25" thickBot="1">
      <c r="D43" s="64" t="s">
        <v>230</v>
      </c>
      <c r="E43" s="65" t="s">
        <v>231</v>
      </c>
      <c r="F43" s="66" t="s">
        <v>232</v>
      </c>
      <c r="G43" s="67">
        <v>2080</v>
      </c>
    </row>
    <row r="44" spans="4:12">
      <c r="D44" s="76" t="s">
        <v>236</v>
      </c>
      <c r="E44" s="77">
        <v>40</v>
      </c>
      <c r="F44" s="2554">
        <v>1</v>
      </c>
      <c r="G44" s="79">
        <f>F44*E44</f>
        <v>40</v>
      </c>
    </row>
    <row r="45" spans="4:12">
      <c r="D45" s="86" t="s">
        <v>237</v>
      </c>
      <c r="E45" s="77">
        <v>40</v>
      </c>
      <c r="F45" s="2553">
        <v>1</v>
      </c>
      <c r="G45" s="79">
        <f>F45*E45</f>
        <v>40</v>
      </c>
    </row>
    <row r="46" spans="4:12" ht="13.5" thickBot="1">
      <c r="D46" s="92" t="s">
        <v>239</v>
      </c>
      <c r="E46" s="77">
        <v>40</v>
      </c>
      <c r="F46" s="2552">
        <v>0.60499899999999995</v>
      </c>
      <c r="G46" s="79">
        <v>25</v>
      </c>
    </row>
    <row r="47" spans="4:12" ht="39" thickBot="1">
      <c r="D47" s="111" t="s">
        <v>248</v>
      </c>
      <c r="E47" s="112"/>
      <c r="F47" s="113"/>
      <c r="G47" s="67">
        <f>SUM(G44:G46)</f>
        <v>105</v>
      </c>
    </row>
    <row r="48" spans="4:12" ht="25.5">
      <c r="D48" s="117" t="s">
        <v>250</v>
      </c>
      <c r="E48" s="118"/>
      <c r="F48" s="119"/>
      <c r="G48" s="120">
        <f>L17</f>
        <v>1975</v>
      </c>
    </row>
  </sheetData>
  <mergeCells count="11">
    <mergeCell ref="D42:F42"/>
    <mergeCell ref="D30:E30"/>
    <mergeCell ref="D13:L14"/>
    <mergeCell ref="D25:E25"/>
    <mergeCell ref="D26:E26"/>
    <mergeCell ref="D27:E27"/>
    <mergeCell ref="D29:E29"/>
    <mergeCell ref="D16:G16"/>
    <mergeCell ref="I16:L16"/>
    <mergeCell ref="D17:F17"/>
    <mergeCell ref="D21:E21"/>
  </mergeCells>
  <pageMargins left="0.75" right="0.75" top="1" bottom="1" header="0.5" footer="0.5"/>
  <pageSetup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340"/>
  <sheetViews>
    <sheetView topLeftCell="A4" zoomScale="74" zoomScaleNormal="74" workbookViewId="0">
      <selection activeCell="X62" sqref="X62"/>
    </sheetView>
  </sheetViews>
  <sheetFormatPr defaultColWidth="9.140625" defaultRowHeight="15"/>
  <cols>
    <col min="1" max="1" width="5.140625" style="786" customWidth="1"/>
    <col min="2" max="2" width="24.5703125" style="786" customWidth="1"/>
    <col min="3" max="3" width="10.85546875" style="786" customWidth="1"/>
    <col min="4" max="4" width="11.140625" style="786" customWidth="1"/>
    <col min="5" max="5" width="12" style="786" bestFit="1" customWidth="1"/>
    <col min="6" max="6" width="16.85546875" style="1192" customWidth="1"/>
    <col min="7" max="7" width="3.5703125" style="1193" customWidth="1"/>
    <col min="8" max="8" width="22.140625" style="786" customWidth="1"/>
    <col min="9" max="9" width="11.28515625" style="786" customWidth="1"/>
    <col min="10" max="10" width="13.140625" style="786" customWidth="1"/>
    <col min="11" max="11" width="9.140625" style="786"/>
    <col min="12" max="12" width="14.42578125" style="1192" customWidth="1"/>
    <col min="13" max="13" width="4.42578125" style="786" customWidth="1"/>
    <col min="14" max="14" width="23.28515625" style="786" customWidth="1"/>
    <col min="15" max="15" width="12.85546875" style="786" customWidth="1"/>
    <col min="16" max="16" width="12.5703125" style="786" customWidth="1"/>
    <col min="17" max="17" width="12.140625" style="786" customWidth="1"/>
    <col min="18" max="18" width="14.28515625" style="1192" customWidth="1"/>
    <col min="19" max="19" width="9.140625" style="786"/>
    <col min="20" max="20" width="14.140625" style="786" customWidth="1"/>
    <col min="21" max="21" width="11.42578125" style="786" customWidth="1"/>
    <col min="22" max="22" width="12.7109375" style="786" customWidth="1"/>
    <col min="23" max="23" width="14" style="786" customWidth="1"/>
    <col min="24" max="24" width="15.42578125" style="786" customWidth="1"/>
    <col min="25" max="25" width="9" style="786" customWidth="1"/>
    <col min="26" max="26" width="14.28515625" style="786" customWidth="1"/>
    <col min="27" max="27" width="13.5703125" style="786" customWidth="1"/>
    <col min="28" max="28" width="9.140625" style="786"/>
    <col min="29" max="29" width="10.7109375" style="786" customWidth="1"/>
    <col min="30" max="30" width="10.42578125" style="786" hidden="1" customWidth="1"/>
    <col min="31" max="34" width="0" style="786" hidden="1" customWidth="1"/>
    <col min="35" max="16384" width="9.140625" style="786"/>
  </cols>
  <sheetData>
    <row r="1" spans="1:28" ht="26.25" customHeight="1">
      <c r="I1" s="1194"/>
      <c r="R1" s="3187" t="s">
        <v>728</v>
      </c>
      <c r="S1" s="3187"/>
      <c r="T1" s="3187"/>
      <c r="U1" s="3187"/>
      <c r="V1" s="3187"/>
    </row>
    <row r="2" spans="1:28" ht="26.25" customHeight="1">
      <c r="I2" s="1194"/>
      <c r="R2" s="3187"/>
      <c r="S2" s="3187"/>
      <c r="T2" s="3187"/>
      <c r="U2" s="3187"/>
      <c r="V2" s="3187"/>
    </row>
    <row r="3" spans="1:28" ht="15.75" thickBot="1">
      <c r="I3" s="1194"/>
    </row>
    <row r="4" spans="1:28" ht="15" customHeight="1" thickBot="1">
      <c r="A4" s="898"/>
      <c r="B4" s="3145" t="s">
        <v>1027</v>
      </c>
      <c r="C4" s="3146"/>
      <c r="D4" s="3146"/>
      <c r="E4" s="3146"/>
      <c r="F4" s="3147"/>
      <c r="G4" s="786"/>
      <c r="H4" s="3145" t="s">
        <v>1028</v>
      </c>
      <c r="I4" s="3146"/>
      <c r="J4" s="3146"/>
      <c r="K4" s="3146"/>
      <c r="L4" s="3147"/>
      <c r="N4" s="3145" t="s">
        <v>1029</v>
      </c>
      <c r="O4" s="3146"/>
      <c r="P4" s="3146"/>
      <c r="Q4" s="3146"/>
      <c r="R4" s="3147"/>
      <c r="T4" s="3188" t="s">
        <v>621</v>
      </c>
      <c r="U4" s="3189"/>
      <c r="V4" s="3189"/>
      <c r="W4" s="3189"/>
      <c r="X4" s="3189"/>
      <c r="Y4" s="3189"/>
      <c r="Z4" s="3189"/>
      <c r="AA4" s="3190"/>
      <c r="AB4" s="1195"/>
    </row>
    <row r="5" spans="1:28" ht="31.5" customHeight="1" thickBot="1">
      <c r="A5" s="898"/>
      <c r="B5" s="832"/>
      <c r="C5" s="1196" t="s">
        <v>311</v>
      </c>
      <c r="D5" s="1197" t="s">
        <v>342</v>
      </c>
      <c r="E5" s="1198" t="s">
        <v>190</v>
      </c>
      <c r="F5" s="1199" t="s">
        <v>343</v>
      </c>
      <c r="G5" s="786"/>
      <c r="H5" s="832"/>
      <c r="I5" s="1196" t="s">
        <v>311</v>
      </c>
      <c r="J5" s="1197" t="s">
        <v>342</v>
      </c>
      <c r="K5" s="1198" t="s">
        <v>190</v>
      </c>
      <c r="L5" s="1199" t="s">
        <v>343</v>
      </c>
      <c r="N5" s="832"/>
      <c r="O5" s="1196" t="s">
        <v>311</v>
      </c>
      <c r="P5" s="1197" t="s">
        <v>342</v>
      </c>
      <c r="Q5" s="1198" t="s">
        <v>190</v>
      </c>
      <c r="R5" s="1199" t="s">
        <v>343</v>
      </c>
      <c r="T5" s="1200" t="s">
        <v>622</v>
      </c>
      <c r="U5" s="1201"/>
      <c r="V5" s="2776" t="s">
        <v>623</v>
      </c>
      <c r="W5" s="3184" t="s">
        <v>228</v>
      </c>
      <c r="X5" s="3185"/>
      <c r="Y5" s="3185"/>
      <c r="Z5" s="3185"/>
      <c r="AA5" s="3186"/>
    </row>
    <row r="6" spans="1:28">
      <c r="A6" s="898"/>
      <c r="B6" s="15" t="s">
        <v>191</v>
      </c>
      <c r="C6" s="16"/>
      <c r="D6" s="871">
        <f>V6</f>
        <v>55383.32303680529</v>
      </c>
      <c r="E6" s="1202">
        <f>U26</f>
        <v>0.25</v>
      </c>
      <c r="F6" s="1203">
        <f>D6*E6</f>
        <v>13845.830759201323</v>
      </c>
      <c r="G6" s="786"/>
      <c r="H6" s="15" t="s">
        <v>191</v>
      </c>
      <c r="I6" s="16"/>
      <c r="J6" s="871">
        <f>V6</f>
        <v>55383.32303680529</v>
      </c>
      <c r="K6" s="1202">
        <f>U27</f>
        <v>0.5</v>
      </c>
      <c r="L6" s="1203">
        <f>J6*K6</f>
        <v>27691.661518402645</v>
      </c>
      <c r="N6" s="15" t="s">
        <v>191</v>
      </c>
      <c r="O6" s="16"/>
      <c r="P6" s="871">
        <f>V6</f>
        <v>55383.32303680529</v>
      </c>
      <c r="Q6" s="1202">
        <f>U28</f>
        <v>0.75</v>
      </c>
      <c r="R6" s="1203">
        <f>Q6*P6</f>
        <v>41537.492277603968</v>
      </c>
      <c r="T6" s="2777" t="s">
        <v>191</v>
      </c>
      <c r="U6" s="2778"/>
      <c r="V6" s="2779">
        <v>55383.32303680529</v>
      </c>
      <c r="W6" s="2780" t="s">
        <v>861</v>
      </c>
      <c r="X6" s="2781"/>
      <c r="Y6" s="2781"/>
      <c r="Z6" s="2781"/>
      <c r="AA6" s="2782"/>
    </row>
    <row r="7" spans="1:28">
      <c r="A7" s="898"/>
      <c r="B7" s="18" t="s">
        <v>466</v>
      </c>
      <c r="C7" s="749"/>
      <c r="D7" s="871">
        <f>V7</f>
        <v>40107</v>
      </c>
      <c r="E7" s="1204">
        <f>T26</f>
        <v>0.5</v>
      </c>
      <c r="F7" s="1203">
        <f>E7*D7</f>
        <v>20053.5</v>
      </c>
      <c r="G7" s="786"/>
      <c r="H7" s="18" t="s">
        <v>466</v>
      </c>
      <c r="I7" s="749"/>
      <c r="J7" s="871">
        <f>V7</f>
        <v>40107</v>
      </c>
      <c r="K7" s="1204">
        <f>T27</f>
        <v>1</v>
      </c>
      <c r="L7" s="1203">
        <f t="shared" ref="L7:L8" si="0">J7*K7</f>
        <v>40107</v>
      </c>
      <c r="N7" s="18" t="s">
        <v>466</v>
      </c>
      <c r="O7" s="749"/>
      <c r="P7" s="871">
        <f>V7</f>
        <v>40107</v>
      </c>
      <c r="Q7" s="1204">
        <f>T28</f>
        <v>1.5</v>
      </c>
      <c r="R7" s="1203">
        <f t="shared" ref="R7:R8" si="1">Q7*P7</f>
        <v>60160.5</v>
      </c>
      <c r="T7" s="2764" t="s">
        <v>466</v>
      </c>
      <c r="U7" s="2765"/>
      <c r="V7" s="2775">
        <v>40107</v>
      </c>
      <c r="W7" s="2772" t="s">
        <v>832</v>
      </c>
      <c r="X7" s="2773"/>
      <c r="Y7" s="2773"/>
      <c r="Z7" s="2773"/>
      <c r="AA7" s="2774"/>
    </row>
    <row r="8" spans="1:28" ht="15.75" thickBot="1">
      <c r="A8" s="898"/>
      <c r="B8" s="18" t="s">
        <v>641</v>
      </c>
      <c r="C8" s="749"/>
      <c r="D8" s="871">
        <f>V8</f>
        <v>31200</v>
      </c>
      <c r="E8" s="1204">
        <f>V26</f>
        <v>0.25</v>
      </c>
      <c r="F8" s="1203">
        <f>D8*E8</f>
        <v>7800</v>
      </c>
      <c r="G8" s="786"/>
      <c r="H8" s="18" t="s">
        <v>641</v>
      </c>
      <c r="I8" s="749"/>
      <c r="J8" s="871">
        <f>V8</f>
        <v>31200</v>
      </c>
      <c r="K8" s="1204">
        <f>V27</f>
        <v>0.5</v>
      </c>
      <c r="L8" s="1203">
        <f t="shared" si="0"/>
        <v>15600</v>
      </c>
      <c r="N8" s="18" t="s">
        <v>641</v>
      </c>
      <c r="O8" s="749"/>
      <c r="P8" s="871">
        <f>V8</f>
        <v>31200</v>
      </c>
      <c r="Q8" s="1204">
        <f>V28</f>
        <v>0.75</v>
      </c>
      <c r="R8" s="1203">
        <f t="shared" si="1"/>
        <v>23400</v>
      </c>
      <c r="T8" s="1765" t="s">
        <v>641</v>
      </c>
      <c r="U8" s="1767"/>
      <c r="V8" s="2783">
        <v>31200</v>
      </c>
      <c r="W8" s="1767" t="s">
        <v>862</v>
      </c>
      <c r="X8" s="1767"/>
      <c r="Y8" s="1767"/>
      <c r="Z8" s="1767"/>
      <c r="AA8" s="2784"/>
    </row>
    <row r="9" spans="1:28" ht="15" customHeight="1">
      <c r="A9" s="898"/>
      <c r="B9" s="868" t="s">
        <v>194</v>
      </c>
      <c r="C9" s="867"/>
      <c r="D9" s="866">
        <f>SUM(D6:D7)</f>
        <v>95490.32303680529</v>
      </c>
      <c r="E9" s="1206">
        <f>SUM(E6:E8)</f>
        <v>1</v>
      </c>
      <c r="F9" s="1207">
        <f>SUM(F6:F7)</f>
        <v>33899.330759201323</v>
      </c>
      <c r="G9" s="786"/>
      <c r="H9" s="868" t="s">
        <v>194</v>
      </c>
      <c r="I9" s="867"/>
      <c r="J9" s="866"/>
      <c r="K9" s="1206">
        <f>SUM(K6:K8)</f>
        <v>2</v>
      </c>
      <c r="L9" s="1207">
        <f>SUM(L6:L7)</f>
        <v>67798.661518402645</v>
      </c>
      <c r="N9" s="868" t="s">
        <v>194</v>
      </c>
      <c r="O9" s="867"/>
      <c r="P9" s="866"/>
      <c r="Q9" s="1206">
        <f>SUM(Q6:Q8)</f>
        <v>3</v>
      </c>
      <c r="R9" s="1207">
        <f>SUM(R6:R7)</f>
        <v>101697.99227760397</v>
      </c>
      <c r="T9" s="2761"/>
      <c r="U9" s="2762"/>
      <c r="V9" s="2763"/>
      <c r="W9" s="2766"/>
      <c r="X9" s="2767"/>
      <c r="Y9" s="2767"/>
      <c r="Z9" s="2767"/>
      <c r="AA9" s="2768"/>
    </row>
    <row r="10" spans="1:28">
      <c r="A10" s="898"/>
      <c r="B10" s="863"/>
      <c r="C10" s="862"/>
      <c r="D10" s="861"/>
      <c r="E10" s="1208"/>
      <c r="F10" s="1209"/>
      <c r="G10" s="786"/>
      <c r="H10" s="863"/>
      <c r="I10" s="862"/>
      <c r="J10" s="861"/>
      <c r="K10" s="860"/>
      <c r="L10" s="1209"/>
      <c r="N10" s="863"/>
      <c r="O10" s="862"/>
      <c r="P10" s="861"/>
      <c r="Q10" s="1208"/>
      <c r="R10" s="1209"/>
      <c r="T10" s="2761" t="s">
        <v>313</v>
      </c>
      <c r="U10" s="2762"/>
      <c r="V10" s="2763">
        <v>5155.4902174195804</v>
      </c>
      <c r="W10" s="3170" t="s">
        <v>832</v>
      </c>
      <c r="X10" s="3171"/>
      <c r="Y10" s="3171"/>
      <c r="Z10" s="3171"/>
      <c r="AA10" s="3172"/>
    </row>
    <row r="11" spans="1:28" ht="16.5" customHeight="1">
      <c r="A11" s="898"/>
      <c r="B11" s="832" t="s">
        <v>195</v>
      </c>
      <c r="C11" s="859"/>
      <c r="D11" s="830"/>
      <c r="E11" s="858"/>
      <c r="F11" s="1210"/>
      <c r="G11" s="786"/>
      <c r="H11" s="832" t="s">
        <v>195</v>
      </c>
      <c r="I11" s="859"/>
      <c r="J11" s="830"/>
      <c r="K11" s="858"/>
      <c r="L11" s="1210"/>
      <c r="N11" s="832" t="s">
        <v>195</v>
      </c>
      <c r="O11" s="859"/>
      <c r="P11" s="830"/>
      <c r="Q11" s="858"/>
      <c r="R11" s="1210"/>
      <c r="T11" s="2761" t="s">
        <v>673</v>
      </c>
      <c r="U11" s="2762"/>
      <c r="V11" s="2763">
        <v>178.16741415351552</v>
      </c>
      <c r="W11" s="3170" t="s">
        <v>832</v>
      </c>
      <c r="X11" s="3171"/>
      <c r="Y11" s="3171"/>
      <c r="Z11" s="3171"/>
      <c r="AA11" s="3172"/>
    </row>
    <row r="12" spans="1:28">
      <c r="A12" s="898"/>
      <c r="B12" s="822" t="s">
        <v>196</v>
      </c>
      <c r="C12" s="855">
        <v>0.22</v>
      </c>
      <c r="D12" s="1211"/>
      <c r="E12" s="853"/>
      <c r="F12" s="1212">
        <f>C12*F9</f>
        <v>7457.8527670242911</v>
      </c>
      <c r="G12" s="786"/>
      <c r="H12" s="822" t="s">
        <v>196</v>
      </c>
      <c r="I12" s="855">
        <f>V16</f>
        <v>0.22</v>
      </c>
      <c r="J12" s="1211"/>
      <c r="K12" s="853"/>
      <c r="L12" s="1213">
        <f>I12*L9</f>
        <v>14915.705534048582</v>
      </c>
      <c r="N12" s="822" t="s">
        <v>196</v>
      </c>
      <c r="O12" s="855">
        <f>V16</f>
        <v>0.22</v>
      </c>
      <c r="P12" s="1211"/>
      <c r="Q12" s="853"/>
      <c r="R12" s="1213">
        <f>O12*R9</f>
        <v>22373.558301072873</v>
      </c>
      <c r="T12" s="2761" t="s">
        <v>674</v>
      </c>
      <c r="U12" s="2762"/>
      <c r="V12" s="2763">
        <v>1410.7821990248415</v>
      </c>
      <c r="W12" s="3170" t="s">
        <v>832</v>
      </c>
      <c r="X12" s="3171"/>
      <c r="Y12" s="3171"/>
      <c r="Z12" s="3171"/>
      <c r="AA12" s="3172"/>
    </row>
    <row r="13" spans="1:28">
      <c r="A13" s="898"/>
      <c r="B13" s="787" t="s">
        <v>198</v>
      </c>
      <c r="C13" s="848"/>
      <c r="D13" s="847"/>
      <c r="E13" s="846"/>
      <c r="F13" s="1214">
        <f>F12+F9</f>
        <v>41357.183526225614</v>
      </c>
      <c r="G13" s="786"/>
      <c r="H13" s="787" t="s">
        <v>198</v>
      </c>
      <c r="I13" s="848"/>
      <c r="J13" s="847"/>
      <c r="K13" s="846"/>
      <c r="L13" s="1214">
        <f>L9+L12</f>
        <v>82714.367052451227</v>
      </c>
      <c r="N13" s="787" t="s">
        <v>198</v>
      </c>
      <c r="O13" s="848"/>
      <c r="P13" s="847"/>
      <c r="Q13" s="846"/>
      <c r="R13" s="1214">
        <f>R12+R9</f>
        <v>124071.55057867685</v>
      </c>
      <c r="T13" s="2761" t="s">
        <v>685</v>
      </c>
      <c r="U13" s="2762"/>
      <c r="V13" s="2763">
        <v>799.70498223424943</v>
      </c>
      <c r="W13" s="3170" t="s">
        <v>832</v>
      </c>
      <c r="X13" s="3171"/>
      <c r="Y13" s="3171"/>
      <c r="Z13" s="3171"/>
      <c r="AA13" s="3172"/>
    </row>
    <row r="14" spans="1:28">
      <c r="A14" s="898"/>
      <c r="B14" s="29" t="s">
        <v>313</v>
      </c>
      <c r="C14" s="30"/>
      <c r="D14" s="16">
        <f>V10</f>
        <v>5155.4902174195804</v>
      </c>
      <c r="E14" s="841"/>
      <c r="F14" s="1203">
        <f>D14*$E$8</f>
        <v>1288.8725543548951</v>
      </c>
      <c r="G14" s="786"/>
      <c r="H14" s="29" t="s">
        <v>313</v>
      </c>
      <c r="I14" s="30"/>
      <c r="J14" s="16">
        <f>V10</f>
        <v>5155.4902174195804</v>
      </c>
      <c r="K14" s="841"/>
      <c r="L14" s="1203">
        <f>J14*$K$8</f>
        <v>2577.7451087097902</v>
      </c>
      <c r="N14" s="29" t="s">
        <v>313</v>
      </c>
      <c r="O14" s="30"/>
      <c r="P14" s="16">
        <f>V10</f>
        <v>5155.4902174195804</v>
      </c>
      <c r="Q14" s="841"/>
      <c r="R14" s="1203">
        <f>P14*$Q$8</f>
        <v>3866.6176630646851</v>
      </c>
      <c r="T14" s="2761" t="s">
        <v>686</v>
      </c>
      <c r="U14" s="2762"/>
      <c r="V14" s="2763">
        <v>1572.2963237683009</v>
      </c>
      <c r="W14" s="3170" t="s">
        <v>832</v>
      </c>
      <c r="X14" s="3171"/>
      <c r="Y14" s="3171"/>
      <c r="Z14" s="3171"/>
      <c r="AA14" s="3172"/>
    </row>
    <row r="15" spans="1:28" ht="15.75" thickBot="1">
      <c r="A15" s="898"/>
      <c r="B15" s="835" t="s">
        <v>673</v>
      </c>
      <c r="C15" s="821"/>
      <c r="D15" s="16">
        <f t="shared" ref="D15:D18" si="2">V11</f>
        <v>178.16741415351552</v>
      </c>
      <c r="E15" s="838"/>
      <c r="F15" s="1203">
        <f t="shared" ref="F15:F18" si="3">D15*$E$8</f>
        <v>44.541853538378881</v>
      </c>
      <c r="G15" s="786"/>
      <c r="H15" s="835" t="s">
        <v>673</v>
      </c>
      <c r="I15" s="821"/>
      <c r="J15" s="16">
        <f t="shared" ref="J15:J18" si="4">V11</f>
        <v>178.16741415351552</v>
      </c>
      <c r="K15" s="838"/>
      <c r="L15" s="1203">
        <f t="shared" ref="L15:L18" si="5">J15*$K$8</f>
        <v>89.083707076757761</v>
      </c>
      <c r="N15" s="835" t="s">
        <v>673</v>
      </c>
      <c r="O15" s="821"/>
      <c r="P15" s="16">
        <f t="shared" ref="P15:P18" si="6">V11</f>
        <v>178.16741415351552</v>
      </c>
      <c r="Q15" s="838"/>
      <c r="R15" s="1203">
        <f t="shared" ref="R15:R18" si="7">P15*$Q$8</f>
        <v>133.62556061513664</v>
      </c>
      <c r="T15" s="2785"/>
      <c r="U15" s="2786"/>
      <c r="V15" s="2787"/>
      <c r="W15" s="2766"/>
      <c r="X15" s="2767"/>
      <c r="Y15" s="2767"/>
      <c r="Z15" s="2767"/>
      <c r="AA15" s="2768"/>
    </row>
    <row r="16" spans="1:28">
      <c r="A16" s="898"/>
      <c r="B16" s="822" t="s">
        <v>674</v>
      </c>
      <c r="C16" s="821"/>
      <c r="D16" s="16">
        <f t="shared" si="2"/>
        <v>1410.7821990248415</v>
      </c>
      <c r="E16" s="838"/>
      <c r="F16" s="1203">
        <f t="shared" si="3"/>
        <v>352.69554975621037</v>
      </c>
      <c r="G16" s="786"/>
      <c r="H16" s="822" t="s">
        <v>674</v>
      </c>
      <c r="I16" s="821"/>
      <c r="J16" s="16">
        <f t="shared" si="4"/>
        <v>1410.7821990248415</v>
      </c>
      <c r="K16" s="838"/>
      <c r="L16" s="1203">
        <f t="shared" si="5"/>
        <v>705.39109951242074</v>
      </c>
      <c r="N16" s="822" t="s">
        <v>674</v>
      </c>
      <c r="O16" s="821"/>
      <c r="P16" s="16">
        <f t="shared" si="6"/>
        <v>1410.7821990248415</v>
      </c>
      <c r="Q16" s="838"/>
      <c r="R16" s="1203">
        <f t="shared" si="7"/>
        <v>1058.0866492686312</v>
      </c>
      <c r="T16" s="2791" t="s">
        <v>196</v>
      </c>
      <c r="U16" s="2792"/>
      <c r="V16" s="2793">
        <v>0.22</v>
      </c>
      <c r="W16" s="2802" t="s">
        <v>546</v>
      </c>
      <c r="X16" s="2794"/>
      <c r="Y16" s="2794"/>
      <c r="Z16" s="2794"/>
      <c r="AA16" s="2795"/>
    </row>
    <row r="17" spans="1:40">
      <c r="A17" s="898"/>
      <c r="B17" s="822" t="s">
        <v>685</v>
      </c>
      <c r="C17" s="821"/>
      <c r="D17" s="16">
        <f t="shared" si="2"/>
        <v>799.70498223424943</v>
      </c>
      <c r="E17" s="838"/>
      <c r="F17" s="1203">
        <f t="shared" si="3"/>
        <v>199.92624555856236</v>
      </c>
      <c r="G17" s="786"/>
      <c r="H17" s="822" t="s">
        <v>685</v>
      </c>
      <c r="I17" s="821"/>
      <c r="J17" s="16">
        <f t="shared" si="4"/>
        <v>799.70498223424943</v>
      </c>
      <c r="K17" s="838"/>
      <c r="L17" s="1203">
        <f t="shared" si="5"/>
        <v>399.85249111712471</v>
      </c>
      <c r="N17" s="822" t="s">
        <v>685</v>
      </c>
      <c r="O17" s="821"/>
      <c r="P17" s="16">
        <f t="shared" si="6"/>
        <v>799.70498223424943</v>
      </c>
      <c r="Q17" s="838"/>
      <c r="R17" s="1203">
        <f t="shared" si="7"/>
        <v>599.77873667568701</v>
      </c>
      <c r="T17" s="2769" t="s">
        <v>315</v>
      </c>
      <c r="U17" s="2770"/>
      <c r="V17" s="2788">
        <v>0.11</v>
      </c>
      <c r="W17" s="2803" t="s">
        <v>546</v>
      </c>
      <c r="X17" s="2789"/>
      <c r="Y17" s="2789"/>
      <c r="Z17" s="2789"/>
      <c r="AA17" s="2796"/>
    </row>
    <row r="18" spans="1:40">
      <c r="A18" s="1218"/>
      <c r="B18" s="835" t="s">
        <v>686</v>
      </c>
      <c r="C18" s="386"/>
      <c r="D18" s="16">
        <f t="shared" si="2"/>
        <v>1572.2963237683009</v>
      </c>
      <c r="E18" s="833"/>
      <c r="F18" s="1203">
        <f t="shared" si="3"/>
        <v>393.07408094207523</v>
      </c>
      <c r="G18" s="786"/>
      <c r="H18" s="835" t="s">
        <v>686</v>
      </c>
      <c r="I18" s="386"/>
      <c r="J18" s="16">
        <f t="shared" si="4"/>
        <v>1572.2963237683009</v>
      </c>
      <c r="K18" s="833"/>
      <c r="L18" s="1203">
        <f t="shared" si="5"/>
        <v>786.14816188415045</v>
      </c>
      <c r="N18" s="835" t="s">
        <v>686</v>
      </c>
      <c r="O18" s="386"/>
      <c r="P18" s="16">
        <f t="shared" si="6"/>
        <v>1572.2963237683009</v>
      </c>
      <c r="Q18" s="833"/>
      <c r="R18" s="1203">
        <f t="shared" si="7"/>
        <v>1179.2222428262257</v>
      </c>
      <c r="T18" s="2771" t="s">
        <v>653</v>
      </c>
      <c r="U18" s="2790"/>
      <c r="V18" s="2805">
        <v>6.3E-3</v>
      </c>
      <c r="W18" s="2806" t="s">
        <v>860</v>
      </c>
      <c r="X18" s="2789"/>
      <c r="Y18" s="2789"/>
      <c r="Z18" s="2789"/>
      <c r="AA18" s="2796"/>
    </row>
    <row r="19" spans="1:40" ht="15.75" customHeight="1">
      <c r="A19" s="898"/>
      <c r="B19" s="827"/>
      <c r="C19" s="826"/>
      <c r="D19" s="825"/>
      <c r="E19" s="824"/>
      <c r="F19" s="1219"/>
      <c r="G19" s="786"/>
      <c r="H19" s="827"/>
      <c r="I19" s="826"/>
      <c r="J19" s="825"/>
      <c r="K19" s="824"/>
      <c r="L19" s="1219"/>
      <c r="N19" s="827"/>
      <c r="O19" s="826"/>
      <c r="P19" s="825"/>
      <c r="Q19" s="824"/>
      <c r="R19" s="1219"/>
      <c r="T19" s="2807" t="s">
        <v>1023</v>
      </c>
      <c r="U19" s="2808"/>
      <c r="V19" s="2809"/>
      <c r="W19" s="2810" t="s">
        <v>1024</v>
      </c>
      <c r="X19" s="2789"/>
      <c r="Y19" s="2789"/>
      <c r="Z19" s="2789"/>
      <c r="AA19" s="2796"/>
    </row>
    <row r="20" spans="1:40" ht="15.75" thickBot="1">
      <c r="A20" s="898"/>
      <c r="B20" s="816" t="s">
        <v>203</v>
      </c>
      <c r="C20" s="815"/>
      <c r="D20" s="814"/>
      <c r="E20" s="813"/>
      <c r="F20" s="1220">
        <f>SUM(F13:F19)</f>
        <v>43636.293810375733</v>
      </c>
      <c r="G20" s="1221"/>
      <c r="H20" s="816" t="s">
        <v>203</v>
      </c>
      <c r="I20" s="815"/>
      <c r="J20" s="814"/>
      <c r="K20" s="813"/>
      <c r="L20" s="1220">
        <f>SUM(L13:L19)</f>
        <v>87272.587620751467</v>
      </c>
      <c r="N20" s="816" t="s">
        <v>203</v>
      </c>
      <c r="O20" s="815"/>
      <c r="P20" s="814"/>
      <c r="Q20" s="813"/>
      <c r="R20" s="1220">
        <f>SUM(R13:R19)</f>
        <v>130908.88143112721</v>
      </c>
      <c r="T20" s="2797" t="s">
        <v>651</v>
      </c>
      <c r="U20" s="2798"/>
      <c r="V20" s="2799">
        <f>'Spring 2019 CAF'!BU25</f>
        <v>1.8120393120392975E-2</v>
      </c>
      <c r="W20" s="2804" t="s">
        <v>652</v>
      </c>
      <c r="X20" s="2800"/>
      <c r="Y20" s="2800"/>
      <c r="Z20" s="2800"/>
      <c r="AA20" s="2801"/>
    </row>
    <row r="21" spans="1:40" ht="15.75" thickTop="1">
      <c r="A21" s="898"/>
      <c r="B21" s="2769" t="s">
        <v>315</v>
      </c>
      <c r="C21" s="890">
        <f>V17</f>
        <v>0.11</v>
      </c>
      <c r="D21" s="830"/>
      <c r="E21" s="829"/>
      <c r="F21" s="1210">
        <f>C21*F20</f>
        <v>4799.9923191413309</v>
      </c>
      <c r="G21" s="1221"/>
      <c r="H21" s="2769" t="s">
        <v>315</v>
      </c>
      <c r="I21" s="890">
        <f>V17</f>
        <v>0.11</v>
      </c>
      <c r="J21" s="830"/>
      <c r="K21" s="829"/>
      <c r="L21" s="1210">
        <f>I21*L20</f>
        <v>9599.9846382826618</v>
      </c>
      <c r="N21" s="2769" t="s">
        <v>315</v>
      </c>
      <c r="O21" s="890">
        <f>V17</f>
        <v>0.11</v>
      </c>
      <c r="P21" s="830"/>
      <c r="Q21" s="829"/>
      <c r="R21" s="1210">
        <f>O21*R20</f>
        <v>14399.976957423994</v>
      </c>
      <c r="V21" s="1215"/>
    </row>
    <row r="22" spans="1:40" ht="15.75" customHeight="1" thickBot="1">
      <c r="A22" s="898"/>
      <c r="B22" s="2771" t="s">
        <v>653</v>
      </c>
      <c r="C22" s="2811">
        <f>V18</f>
        <v>6.3E-3</v>
      </c>
      <c r="D22" s="830"/>
      <c r="E22" s="829"/>
      <c r="F22" s="1210">
        <f>C22*F9</f>
        <v>213.56578378296834</v>
      </c>
      <c r="G22" s="1221"/>
      <c r="H22" s="2771" t="s">
        <v>653</v>
      </c>
      <c r="I22" s="2811">
        <f>V18</f>
        <v>6.3E-3</v>
      </c>
      <c r="J22" s="830"/>
      <c r="K22" s="829"/>
      <c r="L22" s="1210">
        <f>I22*L9</f>
        <v>427.13156756593668</v>
      </c>
      <c r="N22" s="2771" t="s">
        <v>653</v>
      </c>
      <c r="O22" s="2811">
        <f>V18</f>
        <v>6.3E-3</v>
      </c>
      <c r="P22" s="830"/>
      <c r="Q22" s="829"/>
      <c r="R22" s="1210">
        <f>O22*R9</f>
        <v>640.69735134890504</v>
      </c>
    </row>
    <row r="23" spans="1:40" ht="15.75" thickBot="1">
      <c r="A23" s="898"/>
      <c r="B23" s="2807"/>
      <c r="C23" s="2812"/>
      <c r="D23" s="830"/>
      <c r="E23" s="829"/>
      <c r="F23" s="2824">
        <f>C23*(F14+F15+F16+F17+F18)</f>
        <v>0</v>
      </c>
      <c r="G23" s="1221"/>
      <c r="H23" s="2807"/>
      <c r="I23" s="2812"/>
      <c r="J23" s="830"/>
      <c r="K23" s="829"/>
      <c r="L23" s="2824">
        <f>I23*(L14+L15+L16+L17+L18)</f>
        <v>0</v>
      </c>
      <c r="N23" s="2807"/>
      <c r="O23" s="2812"/>
      <c r="P23" s="830"/>
      <c r="Q23" s="829"/>
      <c r="R23" s="2824">
        <f>O23*(R14+R15+R16+R17+R18)</f>
        <v>0</v>
      </c>
      <c r="T23" s="3167" t="s">
        <v>625</v>
      </c>
      <c r="U23" s="3168"/>
      <c r="V23" s="3169"/>
      <c r="W23" s="3176" t="s">
        <v>626</v>
      </c>
      <c r="X23" s="3177"/>
      <c r="Y23" s="3173" t="s">
        <v>890</v>
      </c>
    </row>
    <row r="24" spans="1:40" ht="15" customHeight="1">
      <c r="A24" s="898"/>
      <c r="B24" s="2807"/>
      <c r="C24" s="2812"/>
      <c r="D24" s="830"/>
      <c r="E24" s="829"/>
      <c r="F24" s="2813">
        <f>SUM(F20:F23)</f>
        <v>48649.851913300037</v>
      </c>
      <c r="G24" s="1221"/>
      <c r="H24" s="2807"/>
      <c r="I24" s="2812"/>
      <c r="J24" s="830"/>
      <c r="K24" s="829"/>
      <c r="L24" s="2813">
        <f>SUM(L20:L23)</f>
        <v>97299.703826600075</v>
      </c>
      <c r="N24" s="2807"/>
      <c r="O24" s="2812"/>
      <c r="P24" s="830"/>
      <c r="Q24" s="829"/>
      <c r="R24" s="2813">
        <f>SUM(R20:R23)</f>
        <v>145949.55573990013</v>
      </c>
      <c r="T24" s="3180" t="s">
        <v>466</v>
      </c>
      <c r="U24" s="3178" t="s">
        <v>1025</v>
      </c>
      <c r="V24" s="3178" t="s">
        <v>641</v>
      </c>
      <c r="W24" s="3178" t="s">
        <v>712</v>
      </c>
      <c r="X24" s="3178" t="s">
        <v>1051</v>
      </c>
      <c r="Y24" s="3174"/>
    </row>
    <row r="25" spans="1:40" ht="15" customHeight="1" thickBot="1">
      <c r="A25" s="898"/>
      <c r="B25" s="832" t="s">
        <v>205</v>
      </c>
      <c r="C25" s="890">
        <f>V20</f>
        <v>1.8120393120392975E-2</v>
      </c>
      <c r="D25" s="830"/>
      <c r="E25" s="829"/>
      <c r="F25" s="2813">
        <f>F24*C25</f>
        <v>881.554441917899</v>
      </c>
      <c r="G25" s="1221"/>
      <c r="H25" s="832" t="s">
        <v>205</v>
      </c>
      <c r="I25" s="890">
        <f>V20</f>
        <v>1.8120393120392975E-2</v>
      </c>
      <c r="J25" s="830"/>
      <c r="K25" s="829"/>
      <c r="L25" s="2813">
        <f>I25*L24</f>
        <v>1763.108883835798</v>
      </c>
      <c r="N25" s="832" t="s">
        <v>205</v>
      </c>
      <c r="O25" s="890">
        <f>V20</f>
        <v>1.8120393120392975E-2</v>
      </c>
      <c r="P25" s="830"/>
      <c r="Q25" s="829"/>
      <c r="R25" s="2813">
        <f>R24*O25</f>
        <v>2644.6633257536973</v>
      </c>
      <c r="T25" s="3181"/>
      <c r="U25" s="3182"/>
      <c r="V25" s="3182"/>
      <c r="W25" s="3179"/>
      <c r="X25" s="3179"/>
      <c r="Y25" s="3175"/>
      <c r="AN25" s="2827"/>
    </row>
    <row r="26" spans="1:40" ht="18" customHeight="1" thickBot="1">
      <c r="A26" s="898"/>
      <c r="B26" s="29"/>
      <c r="C26" s="30"/>
      <c r="D26" s="830"/>
      <c r="E26" s="829"/>
      <c r="F26" s="1220">
        <f>SUM(F24:F25)</f>
        <v>49531.406355217936</v>
      </c>
      <c r="G26" s="1221"/>
      <c r="J26" s="830"/>
      <c r="K26" s="829"/>
      <c r="L26" s="1220">
        <f>SUM(L24:L25)</f>
        <v>99062.812710435872</v>
      </c>
      <c r="N26" s="29"/>
      <c r="O26" s="30"/>
      <c r="P26" s="830"/>
      <c r="Q26" s="829"/>
      <c r="R26" s="1220">
        <f>SUM(R24:R25)</f>
        <v>148594.21906565383</v>
      </c>
      <c r="T26" s="2844">
        <v>0.5</v>
      </c>
      <c r="U26" s="2845">
        <v>0.25</v>
      </c>
      <c r="V26" s="2846">
        <v>0.25</v>
      </c>
      <c r="W26" s="2860">
        <f>F29</f>
        <v>3988.24</v>
      </c>
      <c r="X26" s="2863">
        <f>F28</f>
        <v>4127.617196268161</v>
      </c>
      <c r="Y26" s="2857">
        <f>F30</f>
        <v>3.3766987014729515E-2</v>
      </c>
    </row>
    <row r="27" spans="1:40" ht="20.25" customHeight="1" thickTop="1" thickBot="1">
      <c r="A27" s="898"/>
      <c r="B27" s="832"/>
      <c r="C27" s="890"/>
      <c r="D27" s="830"/>
      <c r="E27" s="829"/>
      <c r="F27" s="1203"/>
      <c r="G27" s="1221"/>
      <c r="H27" s="832"/>
      <c r="I27" s="890"/>
      <c r="J27" s="830"/>
      <c r="K27" s="829"/>
      <c r="L27" s="2825"/>
      <c r="N27" s="832"/>
      <c r="O27" s="890"/>
      <c r="P27" s="830"/>
      <c r="Q27" s="829"/>
      <c r="R27" s="2825"/>
      <c r="T27" s="2847">
        <f t="shared" ref="T27:T49" si="8">T26+0.5</f>
        <v>1</v>
      </c>
      <c r="U27" s="1223">
        <v>0.5</v>
      </c>
      <c r="V27" s="2848">
        <v>0.5</v>
      </c>
      <c r="W27" s="2861">
        <f>L29</f>
        <v>7976.3</v>
      </c>
      <c r="X27" s="2864">
        <f>L28</f>
        <v>8255.234392536322</v>
      </c>
      <c r="Y27" s="2857">
        <f>L30</f>
        <v>3.3788791362303477E-2</v>
      </c>
    </row>
    <row r="28" spans="1:40" ht="15" customHeight="1" thickTop="1" thickBot="1">
      <c r="A28" s="898"/>
      <c r="B28" s="798" t="s">
        <v>318</v>
      </c>
      <c r="C28" s="811"/>
      <c r="D28" s="811"/>
      <c r="E28" s="811"/>
      <c r="F28" s="2829">
        <f>F26/12</f>
        <v>4127.617196268161</v>
      </c>
      <c r="G28" s="1221"/>
      <c r="H28" s="798" t="s">
        <v>318</v>
      </c>
      <c r="I28" s="811"/>
      <c r="J28" s="811"/>
      <c r="K28" s="811"/>
      <c r="L28" s="1266">
        <f>L26/12</f>
        <v>8255.234392536322</v>
      </c>
      <c r="N28" s="798" t="s">
        <v>318</v>
      </c>
      <c r="O28" s="811"/>
      <c r="P28" s="811"/>
      <c r="Q28" s="811"/>
      <c r="R28" s="1266">
        <f>R26/12</f>
        <v>12382.851588804486</v>
      </c>
      <c r="T28" s="2849">
        <f t="shared" si="8"/>
        <v>1.5</v>
      </c>
      <c r="U28" s="1223">
        <f>U27+U26</f>
        <v>0.75</v>
      </c>
      <c r="V28" s="2848">
        <v>0.75</v>
      </c>
      <c r="W28" s="2861">
        <f>R29</f>
        <v>11964.54</v>
      </c>
      <c r="X28" s="2864">
        <f>R28</f>
        <v>12382.851588804486</v>
      </c>
      <c r="Y28" s="2857">
        <f>R30</f>
        <v>3.3781523246445629E-2</v>
      </c>
    </row>
    <row r="29" spans="1:40" ht="15.75" thickBot="1">
      <c r="B29" s="1225"/>
      <c r="C29" s="1225"/>
      <c r="D29" s="1225"/>
      <c r="E29" s="1225"/>
      <c r="F29" s="2828">
        <v>3988.24</v>
      </c>
      <c r="G29" s="1227"/>
      <c r="H29" s="1225"/>
      <c r="L29" s="1192">
        <v>7976.3</v>
      </c>
      <c r="R29" s="786">
        <v>11964.54</v>
      </c>
      <c r="T29" s="2853">
        <f t="shared" si="8"/>
        <v>2</v>
      </c>
      <c r="U29" s="2843">
        <f>U28+U26</f>
        <v>1</v>
      </c>
      <c r="V29" s="2854">
        <v>1</v>
      </c>
      <c r="W29" s="2861">
        <f>F57</f>
        <v>15952.69</v>
      </c>
      <c r="X29" s="2864">
        <f>F56</f>
        <v>16510.468785072644</v>
      </c>
      <c r="Y29" s="2857">
        <f>F58</f>
        <v>3.3783340275409961E-2</v>
      </c>
    </row>
    <row r="30" spans="1:40" ht="15" customHeight="1">
      <c r="B30" s="1225"/>
      <c r="C30" s="1225"/>
      <c r="D30" s="1225"/>
      <c r="E30" s="1225"/>
      <c r="F30" s="2823">
        <f t="shared" ref="F30" si="9">(F28-F29)/F28</f>
        <v>3.3766987014729515E-2</v>
      </c>
      <c r="G30" s="2823"/>
      <c r="H30" s="2823"/>
      <c r="I30" s="2823"/>
      <c r="J30" s="2823"/>
      <c r="K30" s="2823"/>
      <c r="L30" s="2823">
        <f t="shared" ref="L30:R30" si="10">(L28-L29)/L28</f>
        <v>3.3788791362303477E-2</v>
      </c>
      <c r="M30" s="2823"/>
      <c r="N30" s="2823"/>
      <c r="O30" s="2823"/>
      <c r="P30" s="2823"/>
      <c r="Q30" s="2823"/>
      <c r="R30" s="2823">
        <f t="shared" si="10"/>
        <v>3.3781523246445629E-2</v>
      </c>
      <c r="T30" s="2844">
        <f t="shared" si="8"/>
        <v>2.5</v>
      </c>
      <c r="U30" s="2845">
        <v>1.05</v>
      </c>
      <c r="V30" s="2846">
        <v>1.25</v>
      </c>
      <c r="W30" s="2861">
        <f>L57</f>
        <v>18934.8</v>
      </c>
      <c r="X30" s="2864">
        <f>L56</f>
        <v>19359.513236474577</v>
      </c>
      <c r="Y30" s="2857">
        <f>L58</f>
        <v>2.1938218760293535E-2</v>
      </c>
    </row>
    <row r="31" spans="1:40" ht="15.75" thickBot="1">
      <c r="B31" s="1225"/>
      <c r="C31" s="1225"/>
      <c r="D31" s="1225"/>
      <c r="E31" s="1225"/>
      <c r="F31" s="1226"/>
      <c r="G31" s="1227"/>
      <c r="H31" s="1225"/>
      <c r="R31" s="786"/>
      <c r="T31" s="2847">
        <f>T30+0.5</f>
        <v>3</v>
      </c>
      <c r="U31" s="1223">
        <v>1.1499999999999999</v>
      </c>
      <c r="V31" s="2848">
        <v>1.5</v>
      </c>
      <c r="W31" s="2861">
        <f>R57</f>
        <v>21944.91</v>
      </c>
      <c r="X31" s="2864">
        <f>R56</f>
        <v>22528.200874093072</v>
      </c>
      <c r="Y31" s="2857">
        <f>R58</f>
        <v>2.5891587053622375E-2</v>
      </c>
    </row>
    <row r="32" spans="1:40">
      <c r="B32" s="3145" t="s">
        <v>1030</v>
      </c>
      <c r="C32" s="3146"/>
      <c r="D32" s="3146"/>
      <c r="E32" s="3146"/>
      <c r="F32" s="3147"/>
      <c r="G32" s="786"/>
      <c r="H32" s="3145" t="s">
        <v>1031</v>
      </c>
      <c r="I32" s="3146"/>
      <c r="J32" s="3146"/>
      <c r="K32" s="3146"/>
      <c r="L32" s="3147"/>
      <c r="N32" s="3145" t="s">
        <v>1032</v>
      </c>
      <c r="O32" s="3146"/>
      <c r="P32" s="3146"/>
      <c r="Q32" s="3146"/>
      <c r="R32" s="3147"/>
      <c r="T32" s="2849">
        <f t="shared" si="8"/>
        <v>3.5</v>
      </c>
      <c r="U32" s="1223">
        <v>1.25</v>
      </c>
      <c r="V32" s="2848">
        <v>1.75</v>
      </c>
      <c r="W32" s="2861">
        <f>F85</f>
        <v>24968.86</v>
      </c>
      <c r="X32" s="2864">
        <f>F84</f>
        <v>25696.888511711561</v>
      </c>
      <c r="Y32" s="2857">
        <f>F86</f>
        <v>2.9157458999392042E-2</v>
      </c>
    </row>
    <row r="33" spans="2:25" ht="18.75" customHeight="1">
      <c r="B33" s="832"/>
      <c r="C33" s="1196" t="s">
        <v>311</v>
      </c>
      <c r="D33" s="1197" t="s">
        <v>342</v>
      </c>
      <c r="E33" s="1198" t="s">
        <v>190</v>
      </c>
      <c r="F33" s="1199" t="s">
        <v>343</v>
      </c>
      <c r="G33" s="786"/>
      <c r="H33" s="832"/>
      <c r="I33" s="1196" t="s">
        <v>311</v>
      </c>
      <c r="J33" s="1197" t="s">
        <v>342</v>
      </c>
      <c r="K33" s="1198" t="s">
        <v>190</v>
      </c>
      <c r="L33" s="1199" t="s">
        <v>343</v>
      </c>
      <c r="N33" s="832"/>
      <c r="O33" s="1196" t="s">
        <v>311</v>
      </c>
      <c r="P33" s="1197" t="s">
        <v>342</v>
      </c>
      <c r="Q33" s="1198" t="s">
        <v>190</v>
      </c>
      <c r="R33" s="1199" t="s">
        <v>343</v>
      </c>
      <c r="T33" s="2847">
        <f>T32+0.5</f>
        <v>4</v>
      </c>
      <c r="U33" s="1223">
        <v>1.35</v>
      </c>
      <c r="V33" s="2848">
        <v>2</v>
      </c>
      <c r="W33" s="2861">
        <f>L85</f>
        <v>28048.47</v>
      </c>
      <c r="X33" s="2864">
        <f>L84</f>
        <v>28865.576149330042</v>
      </c>
      <c r="Y33" s="2857">
        <f>L86</f>
        <v>2.9131933019164336E-2</v>
      </c>
    </row>
    <row r="34" spans="2:25">
      <c r="B34" s="15" t="s">
        <v>191</v>
      </c>
      <c r="C34" s="16"/>
      <c r="D34" s="871">
        <f>V6</f>
        <v>55383.32303680529</v>
      </c>
      <c r="E34" s="1202">
        <f>U29</f>
        <v>1</v>
      </c>
      <c r="F34" s="1203">
        <f>D34*E34</f>
        <v>55383.32303680529</v>
      </c>
      <c r="G34" s="786"/>
      <c r="H34" s="15" t="s">
        <v>191</v>
      </c>
      <c r="I34" s="16"/>
      <c r="J34" s="871">
        <f>V6</f>
        <v>55383.32303680529</v>
      </c>
      <c r="K34" s="1202">
        <f>U30</f>
        <v>1.05</v>
      </c>
      <c r="L34" s="1203">
        <f>J34*K34</f>
        <v>58152.489188645559</v>
      </c>
      <c r="N34" s="15" t="s">
        <v>191</v>
      </c>
      <c r="O34" s="16"/>
      <c r="P34" s="871">
        <f>V6</f>
        <v>55383.32303680529</v>
      </c>
      <c r="Q34" s="1202">
        <f>U31</f>
        <v>1.1499999999999999</v>
      </c>
      <c r="R34" s="1203">
        <f>P34*Q34</f>
        <v>63690.821492326082</v>
      </c>
      <c r="T34" s="2849">
        <f t="shared" si="8"/>
        <v>4.5</v>
      </c>
      <c r="U34" s="1223">
        <v>1.45</v>
      </c>
      <c r="V34" s="2848">
        <v>2.25</v>
      </c>
      <c r="W34" s="2861">
        <f>R85</f>
        <v>31225.59</v>
      </c>
      <c r="X34" s="2864">
        <f>R84</f>
        <v>32034.263786948533</v>
      </c>
      <c r="Y34" s="2857">
        <f>R86</f>
        <v>2.5897790464440646E-2</v>
      </c>
    </row>
    <row r="35" spans="2:25">
      <c r="B35" s="18" t="s">
        <v>466</v>
      </c>
      <c r="C35" s="749"/>
      <c r="D35" s="871">
        <f>V7</f>
        <v>40107</v>
      </c>
      <c r="E35" s="1204">
        <f>T29</f>
        <v>2</v>
      </c>
      <c r="F35" s="1203">
        <f t="shared" ref="F35:F36" si="11">D35*E35</f>
        <v>80214</v>
      </c>
      <c r="G35" s="786"/>
      <c r="H35" s="18" t="s">
        <v>466</v>
      </c>
      <c r="I35" s="749"/>
      <c r="J35" s="871">
        <f>V7</f>
        <v>40107</v>
      </c>
      <c r="K35" s="1204">
        <f>T30</f>
        <v>2.5</v>
      </c>
      <c r="L35" s="1203">
        <f t="shared" ref="L35:L36" si="12">J35*K35</f>
        <v>100267.5</v>
      </c>
      <c r="N35" s="18" t="s">
        <v>466</v>
      </c>
      <c r="O35" s="749"/>
      <c r="P35" s="871">
        <f>V7</f>
        <v>40107</v>
      </c>
      <c r="Q35" s="1204">
        <f>T31</f>
        <v>3</v>
      </c>
      <c r="R35" s="1203">
        <f t="shared" ref="R35:R36" si="13">P35*Q35</f>
        <v>120321</v>
      </c>
      <c r="T35" s="2847">
        <f t="shared" si="8"/>
        <v>5</v>
      </c>
      <c r="U35" s="1223">
        <v>1.55</v>
      </c>
      <c r="V35" s="2848">
        <v>2.5</v>
      </c>
      <c r="W35" s="2861">
        <f>F113</f>
        <v>34374.79</v>
      </c>
      <c r="X35" s="2864">
        <f>F112</f>
        <v>35202.951424567022</v>
      </c>
      <c r="Y35" s="2857">
        <f>F114</f>
        <v>2.3525340661893285E-2</v>
      </c>
    </row>
    <row r="36" spans="2:25">
      <c r="B36" s="18" t="s">
        <v>641</v>
      </c>
      <c r="C36" s="749"/>
      <c r="D36" s="871">
        <f>V8</f>
        <v>31200</v>
      </c>
      <c r="E36" s="1204">
        <f>V29</f>
        <v>1</v>
      </c>
      <c r="F36" s="1203">
        <f t="shared" si="11"/>
        <v>31200</v>
      </c>
      <c r="G36" s="786"/>
      <c r="H36" s="18" t="s">
        <v>641</v>
      </c>
      <c r="I36" s="749"/>
      <c r="J36" s="871">
        <f>V8</f>
        <v>31200</v>
      </c>
      <c r="K36" s="1204">
        <f>V30</f>
        <v>1.25</v>
      </c>
      <c r="L36" s="1203">
        <f t="shared" si="12"/>
        <v>39000</v>
      </c>
      <c r="N36" s="18" t="s">
        <v>641</v>
      </c>
      <c r="O36" s="749"/>
      <c r="P36" s="871">
        <f>V8</f>
        <v>31200</v>
      </c>
      <c r="Q36" s="1204">
        <f>V31</f>
        <v>1.5</v>
      </c>
      <c r="R36" s="1203">
        <f t="shared" si="13"/>
        <v>46800</v>
      </c>
      <c r="T36" s="2849">
        <f t="shared" si="8"/>
        <v>5.5</v>
      </c>
      <c r="U36" s="1223">
        <v>1.65</v>
      </c>
      <c r="V36" s="2848">
        <v>2.75</v>
      </c>
      <c r="W36" s="2861">
        <f>L113</f>
        <v>37548.949999999997</v>
      </c>
      <c r="X36" s="2864">
        <f>L112</f>
        <v>38371.639062185517</v>
      </c>
      <c r="Y36" s="2857">
        <f>L114</f>
        <v>2.1440029206265095E-2</v>
      </c>
    </row>
    <row r="37" spans="2:25">
      <c r="B37" s="868" t="s">
        <v>194</v>
      </c>
      <c r="C37" s="867"/>
      <c r="D37" s="866"/>
      <c r="E37" s="1206">
        <f>SUM(E34:E36)</f>
        <v>4</v>
      </c>
      <c r="F37" s="1207">
        <f>SUM(F34:F35)</f>
        <v>135597.32303680529</v>
      </c>
      <c r="G37" s="786"/>
      <c r="H37" s="868" t="s">
        <v>194</v>
      </c>
      <c r="I37" s="867"/>
      <c r="J37" s="866"/>
      <c r="K37" s="1206">
        <f>SUM(K34:K36)</f>
        <v>4.8</v>
      </c>
      <c r="L37" s="1207">
        <f>SUM(L34:L35)</f>
        <v>158419.98918864556</v>
      </c>
      <c r="N37" s="868" t="s">
        <v>194</v>
      </c>
      <c r="O37" s="867"/>
      <c r="P37" s="866"/>
      <c r="Q37" s="1206">
        <f>SUM(Q34:Q36)</f>
        <v>5.65</v>
      </c>
      <c r="R37" s="1207">
        <f>SUM(R34:R35)</f>
        <v>184011.8214923261</v>
      </c>
      <c r="T37" s="2847">
        <f t="shared" si="8"/>
        <v>6</v>
      </c>
      <c r="U37" s="1223">
        <v>1.75</v>
      </c>
      <c r="V37" s="2848">
        <v>3</v>
      </c>
      <c r="W37" s="2861">
        <f>R113</f>
        <v>40689.879999999997</v>
      </c>
      <c r="X37" s="2864">
        <f>R112</f>
        <v>41540.326699804005</v>
      </c>
      <c r="Y37" s="2857">
        <f>R114</f>
        <v>2.0472797576915072E-2</v>
      </c>
    </row>
    <row r="38" spans="2:25">
      <c r="B38" s="863"/>
      <c r="C38" s="862"/>
      <c r="D38" s="861"/>
      <c r="E38" s="1208"/>
      <c r="F38" s="1209"/>
      <c r="G38" s="786"/>
      <c r="H38" s="863"/>
      <c r="I38" s="862"/>
      <c r="J38" s="861"/>
      <c r="K38" s="860"/>
      <c r="L38" s="1209"/>
      <c r="N38" s="863"/>
      <c r="O38" s="862"/>
      <c r="P38" s="861"/>
      <c r="Q38" s="1208"/>
      <c r="R38" s="1209"/>
      <c r="T38" s="2849">
        <f t="shared" si="8"/>
        <v>6.5</v>
      </c>
      <c r="U38" s="1223">
        <v>1.85</v>
      </c>
      <c r="V38" s="2848">
        <v>3.25</v>
      </c>
      <c r="W38" s="2861">
        <f>F141</f>
        <v>43861.26</v>
      </c>
      <c r="X38" s="2864">
        <f>F140</f>
        <v>44709.014337422494</v>
      </c>
      <c r="Y38" s="2857">
        <f>F142</f>
        <v>1.8961597565636808E-2</v>
      </c>
    </row>
    <row r="39" spans="2:25">
      <c r="B39" s="832" t="s">
        <v>195</v>
      </c>
      <c r="C39" s="859"/>
      <c r="D39" s="830"/>
      <c r="E39" s="858"/>
      <c r="F39" s="1210"/>
      <c r="G39" s="786"/>
      <c r="H39" s="832" t="s">
        <v>195</v>
      </c>
      <c r="I39" s="859"/>
      <c r="J39" s="830"/>
      <c r="K39" s="858"/>
      <c r="L39" s="1210"/>
      <c r="N39" s="832" t="s">
        <v>195</v>
      </c>
      <c r="O39" s="859"/>
      <c r="P39" s="830"/>
      <c r="Q39" s="858"/>
      <c r="R39" s="1210"/>
      <c r="T39" s="2847">
        <f t="shared" si="8"/>
        <v>7</v>
      </c>
      <c r="U39" s="1223">
        <v>1.95</v>
      </c>
      <c r="V39" s="2848">
        <v>3.5</v>
      </c>
      <c r="W39" s="2861">
        <f>L141</f>
        <v>46993.93</v>
      </c>
      <c r="X39" s="2864">
        <f>L140</f>
        <v>47877.701975040975</v>
      </c>
      <c r="Y39" s="2857">
        <f>L142</f>
        <v>1.845894724650092E-2</v>
      </c>
    </row>
    <row r="40" spans="2:25">
      <c r="B40" s="822" t="s">
        <v>196</v>
      </c>
      <c r="C40" s="855">
        <f>V16</f>
        <v>0.22</v>
      </c>
      <c r="D40" s="1211"/>
      <c r="E40" s="853"/>
      <c r="F40" s="1212">
        <f>C40*F37</f>
        <v>29831.411068097164</v>
      </c>
      <c r="G40" s="786"/>
      <c r="H40" s="822" t="s">
        <v>196</v>
      </c>
      <c r="I40" s="855">
        <f>V16</f>
        <v>0.22</v>
      </c>
      <c r="J40" s="1211"/>
      <c r="K40" s="853"/>
      <c r="L40" s="1213">
        <f>I40*L37</f>
        <v>34852.397621502023</v>
      </c>
      <c r="N40" s="822" t="s">
        <v>196</v>
      </c>
      <c r="O40" s="855">
        <f>V16</f>
        <v>0.22</v>
      </c>
      <c r="P40" s="1211"/>
      <c r="Q40" s="853"/>
      <c r="R40" s="1213">
        <f>O40*R37</f>
        <v>40482.600728311743</v>
      </c>
      <c r="T40" s="2849">
        <f t="shared" si="8"/>
        <v>7.5</v>
      </c>
      <c r="U40" s="1223">
        <v>2.0499999999999998</v>
      </c>
      <c r="V40" s="2848">
        <v>3.75</v>
      </c>
      <c r="W40" s="2861">
        <f>R141</f>
        <v>50162.53</v>
      </c>
      <c r="X40" s="2864">
        <f>R140</f>
        <v>51046.389612659485</v>
      </c>
      <c r="Y40" s="2857">
        <f>R142</f>
        <v>1.7314831065746692E-2</v>
      </c>
    </row>
    <row r="41" spans="2:25">
      <c r="B41" s="787" t="s">
        <v>198</v>
      </c>
      <c r="C41" s="848"/>
      <c r="D41" s="847"/>
      <c r="E41" s="846"/>
      <c r="F41" s="1214">
        <f>F40+F37</f>
        <v>165428.73410490245</v>
      </c>
      <c r="G41" s="786"/>
      <c r="H41" s="787" t="s">
        <v>198</v>
      </c>
      <c r="I41" s="848"/>
      <c r="J41" s="847"/>
      <c r="K41" s="846"/>
      <c r="L41" s="1214">
        <f>L40+L37</f>
        <v>193272.38681014758</v>
      </c>
      <c r="N41" s="787" t="s">
        <v>198</v>
      </c>
      <c r="O41" s="848"/>
      <c r="P41" s="847"/>
      <c r="Q41" s="846"/>
      <c r="R41" s="1214">
        <f>R40+R37</f>
        <v>224494.42222063785</v>
      </c>
      <c r="T41" s="2847">
        <f t="shared" si="8"/>
        <v>8</v>
      </c>
      <c r="U41" s="1223">
        <v>2.15</v>
      </c>
      <c r="V41" s="2848">
        <v>4</v>
      </c>
      <c r="W41" s="2861">
        <f>F169</f>
        <v>53740.78</v>
      </c>
      <c r="X41" s="2864">
        <f>F168</f>
        <v>54215.077250277951</v>
      </c>
      <c r="Y41" s="2857">
        <f>F170</f>
        <v>8.7484381528852382E-3</v>
      </c>
    </row>
    <row r="42" spans="2:25">
      <c r="B42" s="29" t="s">
        <v>313</v>
      </c>
      <c r="C42" s="30"/>
      <c r="D42" s="16">
        <f>V10</f>
        <v>5155.4902174195804</v>
      </c>
      <c r="E42" s="841"/>
      <c r="F42" s="1203">
        <f>D42*$E$36</f>
        <v>5155.4902174195804</v>
      </c>
      <c r="G42" s="786"/>
      <c r="H42" s="29" t="s">
        <v>313</v>
      </c>
      <c r="I42" s="30"/>
      <c r="J42" s="16">
        <f>V10</f>
        <v>5155.4902174195804</v>
      </c>
      <c r="K42" s="841"/>
      <c r="L42" s="1203">
        <f>J42*$K$36</f>
        <v>6444.3627717744757</v>
      </c>
      <c r="N42" s="29" t="s">
        <v>313</v>
      </c>
      <c r="O42" s="30"/>
      <c r="P42" s="16">
        <f>V10</f>
        <v>5155.4902174195804</v>
      </c>
      <c r="Q42" s="841"/>
      <c r="R42" s="1203">
        <f>P42*$Q$36</f>
        <v>7733.2353261293702</v>
      </c>
      <c r="T42" s="2849">
        <f t="shared" si="8"/>
        <v>8.5</v>
      </c>
      <c r="U42" s="1223">
        <v>2.25</v>
      </c>
      <c r="V42" s="2848">
        <v>4.25</v>
      </c>
      <c r="W42" s="2861">
        <f>L169</f>
        <v>56182.58</v>
      </c>
      <c r="X42" s="2864">
        <f>L168</f>
        <v>57383.764887896454</v>
      </c>
      <c r="Y42" s="2857">
        <f>L170</f>
        <v>2.0932486570775861E-2</v>
      </c>
    </row>
    <row r="43" spans="2:25">
      <c r="B43" s="835" t="s">
        <v>673</v>
      </c>
      <c r="C43" s="821"/>
      <c r="D43" s="16">
        <f t="shared" ref="D43:D46" si="14">V11</f>
        <v>178.16741415351552</v>
      </c>
      <c r="E43" s="838"/>
      <c r="F43" s="1203">
        <f>D43*$E$36</f>
        <v>178.16741415351552</v>
      </c>
      <c r="G43" s="786"/>
      <c r="H43" s="835" t="s">
        <v>673</v>
      </c>
      <c r="I43" s="821"/>
      <c r="J43" s="16">
        <f t="shared" ref="J43:J46" si="15">V11</f>
        <v>178.16741415351552</v>
      </c>
      <c r="K43" s="838"/>
      <c r="L43" s="1203">
        <f>J43*$K$36</f>
        <v>222.70926769189441</v>
      </c>
      <c r="N43" s="835" t="s">
        <v>673</v>
      </c>
      <c r="O43" s="821"/>
      <c r="P43" s="16">
        <f t="shared" ref="P43:P46" si="16">V11</f>
        <v>178.16741415351552</v>
      </c>
      <c r="Q43" s="838"/>
      <c r="R43" s="1203">
        <f>P43*$Q$36</f>
        <v>267.25112123027327</v>
      </c>
      <c r="T43" s="2847">
        <f t="shared" si="8"/>
        <v>9</v>
      </c>
      <c r="U43" s="1223">
        <v>2.35</v>
      </c>
      <c r="V43" s="2848">
        <v>4.5</v>
      </c>
      <c r="W43" s="2861">
        <f>R169</f>
        <v>59067.41</v>
      </c>
      <c r="X43" s="2864">
        <f>R168</f>
        <v>60552.452525514935</v>
      </c>
      <c r="Y43" s="2857">
        <f>R170</f>
        <v>2.4524894757799943E-2</v>
      </c>
    </row>
    <row r="44" spans="2:25" ht="15" customHeight="1" thickBot="1">
      <c r="B44" s="822" t="s">
        <v>674</v>
      </c>
      <c r="C44" s="821"/>
      <c r="D44" s="16">
        <f t="shared" si="14"/>
        <v>1410.7821990248415</v>
      </c>
      <c r="E44" s="838"/>
      <c r="F44" s="1203">
        <f>D44*$E$36</f>
        <v>1410.7821990248415</v>
      </c>
      <c r="G44" s="786"/>
      <c r="H44" s="822" t="s">
        <v>674</v>
      </c>
      <c r="I44" s="821"/>
      <c r="J44" s="16">
        <f t="shared" si="15"/>
        <v>1410.7821990248415</v>
      </c>
      <c r="K44" s="838"/>
      <c r="L44" s="1203">
        <f>J44*$K$36</f>
        <v>1763.4777487810518</v>
      </c>
      <c r="N44" s="822" t="s">
        <v>674</v>
      </c>
      <c r="O44" s="821"/>
      <c r="P44" s="16">
        <f t="shared" si="16"/>
        <v>1410.7821990248415</v>
      </c>
      <c r="Q44" s="838"/>
      <c r="R44" s="1203">
        <f>P44*$Q$36</f>
        <v>2116.1732985372623</v>
      </c>
      <c r="T44" s="2855">
        <f t="shared" si="8"/>
        <v>9.5</v>
      </c>
      <c r="U44" s="2843">
        <v>2.4500000000000002</v>
      </c>
      <c r="V44" s="2854">
        <v>4.75</v>
      </c>
      <c r="W44" s="2861">
        <f>F197</f>
        <v>61952.21</v>
      </c>
      <c r="X44" s="2864">
        <f>F196</f>
        <v>63721.140163133416</v>
      </c>
      <c r="Y44" s="2857">
        <f>F198</f>
        <v>2.7760491394296347E-2</v>
      </c>
    </row>
    <row r="45" spans="2:25" ht="15" customHeight="1">
      <c r="B45" s="822" t="s">
        <v>685</v>
      </c>
      <c r="C45" s="821"/>
      <c r="D45" s="16">
        <f t="shared" si="14"/>
        <v>799.70498223424943</v>
      </c>
      <c r="E45" s="838"/>
      <c r="F45" s="1203">
        <f>D45*$E$36</f>
        <v>799.70498223424943</v>
      </c>
      <c r="G45" s="786"/>
      <c r="H45" s="822" t="s">
        <v>685</v>
      </c>
      <c r="I45" s="821"/>
      <c r="J45" s="16">
        <f t="shared" si="15"/>
        <v>799.70498223424943</v>
      </c>
      <c r="K45" s="838"/>
      <c r="L45" s="1203">
        <f>J45*$K$36</f>
        <v>999.63122779281184</v>
      </c>
      <c r="N45" s="822" t="s">
        <v>685</v>
      </c>
      <c r="O45" s="821"/>
      <c r="P45" s="16">
        <f t="shared" si="16"/>
        <v>799.70498223424943</v>
      </c>
      <c r="Q45" s="838"/>
      <c r="R45" s="1203">
        <f>P45*$Q$36</f>
        <v>1199.557473351374</v>
      </c>
      <c r="T45" s="2856">
        <f t="shared" si="8"/>
        <v>10</v>
      </c>
      <c r="U45" s="2845">
        <v>2.5499999999999998</v>
      </c>
      <c r="V45" s="2846">
        <v>5</v>
      </c>
      <c r="W45" s="2861">
        <f>L197</f>
        <v>64781.32</v>
      </c>
      <c r="X45" s="2864">
        <f>L196</f>
        <v>66889.82780075194</v>
      </c>
      <c r="Y45" s="2857">
        <f>L198</f>
        <v>3.152209939951793E-2</v>
      </c>
    </row>
    <row r="46" spans="2:25" ht="15" customHeight="1">
      <c r="B46" s="835" t="s">
        <v>686</v>
      </c>
      <c r="C46" s="386"/>
      <c r="D46" s="16">
        <f t="shared" si="14"/>
        <v>1572.2963237683009</v>
      </c>
      <c r="E46" s="833"/>
      <c r="F46" s="1203">
        <f>D46*$E$36</f>
        <v>1572.2963237683009</v>
      </c>
      <c r="G46" s="786"/>
      <c r="H46" s="835" t="s">
        <v>686</v>
      </c>
      <c r="I46" s="386"/>
      <c r="J46" s="16">
        <f t="shared" si="15"/>
        <v>1572.2963237683009</v>
      </c>
      <c r="K46" s="833"/>
      <c r="L46" s="1203">
        <f>J46*$K$36</f>
        <v>1965.3704047103761</v>
      </c>
      <c r="N46" s="835" t="s">
        <v>686</v>
      </c>
      <c r="O46" s="386"/>
      <c r="P46" s="16">
        <f t="shared" si="16"/>
        <v>1572.2963237683009</v>
      </c>
      <c r="Q46" s="833"/>
      <c r="R46" s="1203">
        <f>P46*$Q$36</f>
        <v>2358.4444856524515</v>
      </c>
      <c r="T46" s="2849">
        <f t="shared" si="8"/>
        <v>10.5</v>
      </c>
      <c r="U46" s="1223">
        <v>2.65</v>
      </c>
      <c r="V46" s="2848">
        <v>5</v>
      </c>
      <c r="W46" s="2861">
        <f>R197</f>
        <v>67666.100000000006</v>
      </c>
      <c r="X46" s="2864">
        <f>R196</f>
        <v>69843.87763746253</v>
      </c>
      <c r="Y46" s="2857">
        <f>R198</f>
        <v>3.1180651921513855E-2</v>
      </c>
    </row>
    <row r="47" spans="2:25">
      <c r="B47" s="827"/>
      <c r="C47" s="826"/>
      <c r="D47" s="825"/>
      <c r="E47" s="824"/>
      <c r="F47" s="1219"/>
      <c r="G47" s="786"/>
      <c r="H47" s="827"/>
      <c r="I47" s="826"/>
      <c r="J47" s="825"/>
      <c r="K47" s="824"/>
      <c r="L47" s="1219"/>
      <c r="N47" s="827"/>
      <c r="O47" s="826"/>
      <c r="P47" s="825"/>
      <c r="Q47" s="824"/>
      <c r="R47" s="1219"/>
      <c r="T47" s="2847">
        <f t="shared" si="8"/>
        <v>11</v>
      </c>
      <c r="U47" s="1223">
        <v>2.75</v>
      </c>
      <c r="V47" s="2848">
        <v>5</v>
      </c>
      <c r="W47" s="2861">
        <f>F225</f>
        <v>70383.94</v>
      </c>
      <c r="X47" s="2864">
        <f>F224</f>
        <v>72797.927474173135</v>
      </c>
      <c r="Y47" s="2857">
        <f>F226</f>
        <v>3.3160112628612327E-2</v>
      </c>
    </row>
    <row r="48" spans="2:25" ht="15" customHeight="1" thickBot="1">
      <c r="B48" s="816" t="s">
        <v>203</v>
      </c>
      <c r="C48" s="815"/>
      <c r="D48" s="814"/>
      <c r="E48" s="813"/>
      <c r="F48" s="1220">
        <f>SUM(F41:F47)</f>
        <v>174545.17524150293</v>
      </c>
      <c r="G48" s="1221"/>
      <c r="H48" s="816" t="s">
        <v>203</v>
      </c>
      <c r="I48" s="815"/>
      <c r="J48" s="814"/>
      <c r="K48" s="813"/>
      <c r="L48" s="1220">
        <f>SUM(L41:L47)</f>
        <v>204667.9382308982</v>
      </c>
      <c r="N48" s="816" t="s">
        <v>203</v>
      </c>
      <c r="O48" s="815"/>
      <c r="P48" s="814"/>
      <c r="Q48" s="813"/>
      <c r="R48" s="1220">
        <f>SUM(R41:R47)</f>
        <v>238169.08392553858</v>
      </c>
      <c r="T48" s="2849">
        <f t="shared" si="8"/>
        <v>11.5</v>
      </c>
      <c r="U48" s="1223">
        <v>2.85</v>
      </c>
      <c r="V48" s="2848">
        <v>5</v>
      </c>
      <c r="W48" s="2861">
        <f>L225</f>
        <v>73157.289999999994</v>
      </c>
      <c r="X48" s="2864">
        <f>L224</f>
        <v>75751.977310883725</v>
      </c>
      <c r="Y48" s="2857">
        <f>L226</f>
        <v>3.4252403739049829E-2</v>
      </c>
    </row>
    <row r="49" spans="1:34" ht="14.25" customHeight="1" thickTop="1" thickBot="1">
      <c r="A49" s="898"/>
      <c r="B49" s="2769" t="s">
        <v>315</v>
      </c>
      <c r="C49" s="890">
        <f>V17</f>
        <v>0.11</v>
      </c>
      <c r="D49" s="830"/>
      <c r="E49" s="829"/>
      <c r="F49" s="1210">
        <f>C49*F48</f>
        <v>19199.969276565324</v>
      </c>
      <c r="G49" s="1221"/>
      <c r="H49" s="2769" t="s">
        <v>315</v>
      </c>
      <c r="I49" s="890">
        <f>V17</f>
        <v>0.11</v>
      </c>
      <c r="J49" s="830"/>
      <c r="K49" s="829"/>
      <c r="L49" s="1210">
        <f>I49*L48</f>
        <v>22513.473205398801</v>
      </c>
      <c r="N49" s="2769" t="s">
        <v>315</v>
      </c>
      <c r="O49" s="890">
        <f>V17</f>
        <v>0.11</v>
      </c>
      <c r="P49" s="830"/>
      <c r="Q49" s="829"/>
      <c r="R49" s="1210">
        <f>O49*R48</f>
        <v>26198.599231809243</v>
      </c>
      <c r="T49" s="2850">
        <f t="shared" si="8"/>
        <v>12</v>
      </c>
      <c r="U49" s="2851">
        <v>2.95</v>
      </c>
      <c r="V49" s="2852">
        <v>5</v>
      </c>
      <c r="W49" s="2862">
        <f>R225</f>
        <v>75875.06</v>
      </c>
      <c r="X49" s="2865">
        <f>R224</f>
        <v>78706.02714759433</v>
      </c>
      <c r="Y49" s="2858">
        <f>R226</f>
        <v>3.5968873670697808E-2</v>
      </c>
    </row>
    <row r="50" spans="1:34">
      <c r="A50" s="898"/>
      <c r="B50" s="2771" t="s">
        <v>653</v>
      </c>
      <c r="C50" s="2811">
        <f>C22</f>
        <v>6.3E-3</v>
      </c>
      <c r="D50" s="830"/>
      <c r="E50" s="829"/>
      <c r="F50" s="1210">
        <f>C50*F37</f>
        <v>854.26313513187336</v>
      </c>
      <c r="G50" s="1221"/>
      <c r="H50" s="2771" t="s">
        <v>653</v>
      </c>
      <c r="I50" s="2811">
        <f>I22</f>
        <v>6.3E-3</v>
      </c>
      <c r="J50" s="830"/>
      <c r="K50" s="829"/>
      <c r="L50" s="1210">
        <f>I50*L37</f>
        <v>998.04593188846707</v>
      </c>
      <c r="N50" s="2771" t="s">
        <v>653</v>
      </c>
      <c r="O50" s="2811">
        <f>O22</f>
        <v>6.3E-3</v>
      </c>
      <c r="P50" s="830"/>
      <c r="Q50" s="829"/>
      <c r="R50" s="1210">
        <f>O50*R37</f>
        <v>1159.2744754016544</v>
      </c>
      <c r="T50" s="384"/>
      <c r="U50" s="2866"/>
      <c r="V50" s="30"/>
      <c r="W50" s="2859"/>
      <c r="X50" s="2859"/>
      <c r="Y50" s="2867"/>
    </row>
    <row r="51" spans="1:34" ht="15.75" thickBot="1">
      <c r="A51" s="843"/>
      <c r="B51" s="2807"/>
      <c r="C51" s="2812"/>
      <c r="D51" s="830"/>
      <c r="E51" s="829"/>
      <c r="F51" s="2824">
        <f>C51*(F42+F43+F44+F45+F46)</f>
        <v>0</v>
      </c>
      <c r="G51" s="1221"/>
      <c r="H51" s="2807"/>
      <c r="I51" s="2812"/>
      <c r="J51" s="830"/>
      <c r="K51" s="829"/>
      <c r="L51" s="2824">
        <f>I51*(L42+L43+L44+L45+L46)</f>
        <v>0</v>
      </c>
      <c r="N51" s="2807"/>
      <c r="O51" s="2812"/>
      <c r="P51" s="830"/>
      <c r="Q51" s="829"/>
      <c r="R51" s="2813">
        <f>O51*(R42+R43+R44+R45+R46)</f>
        <v>0</v>
      </c>
      <c r="T51" s="3183" t="s">
        <v>1053</v>
      </c>
      <c r="U51" s="3183"/>
      <c r="V51" s="3183"/>
      <c r="W51" s="3183"/>
      <c r="X51" s="3183"/>
      <c r="Y51" s="3183"/>
      <c r="Z51" s="1230"/>
      <c r="AA51" s="1230"/>
      <c r="AB51" s="1230"/>
    </row>
    <row r="52" spans="1:34" ht="15.75" thickBot="1">
      <c r="A52" s="843"/>
      <c r="B52" s="2807"/>
      <c r="C52" s="2812"/>
      <c r="D52" s="830"/>
      <c r="E52" s="829"/>
      <c r="F52" s="2813">
        <f>SUM(F48:F51)</f>
        <v>194599.40765320015</v>
      </c>
      <c r="G52" s="1221"/>
      <c r="H52" s="2807"/>
      <c r="I52" s="2812"/>
      <c r="J52" s="830"/>
      <c r="K52" s="829"/>
      <c r="L52" s="2813">
        <f>SUM(L48:L51)</f>
        <v>228179.45736818545</v>
      </c>
      <c r="N52" s="2807"/>
      <c r="O52" s="2812"/>
      <c r="P52" s="830"/>
      <c r="Q52" s="829"/>
      <c r="R52" s="2824">
        <f>SUM(R48:R51)</f>
        <v>265526.95763274952</v>
      </c>
      <c r="T52" s="3183"/>
      <c r="U52" s="3183"/>
      <c r="V52" s="3183"/>
      <c r="W52" s="3183"/>
      <c r="X52" s="3183"/>
      <c r="Y52" s="3183"/>
      <c r="Z52" s="1230"/>
      <c r="AA52" s="1230"/>
      <c r="AB52" s="1230"/>
    </row>
    <row r="53" spans="1:34">
      <c r="A53" s="843"/>
      <c r="B53" s="832" t="s">
        <v>205</v>
      </c>
      <c r="C53" s="890">
        <f>V20</f>
        <v>1.8120393120392975E-2</v>
      </c>
      <c r="D53" s="830"/>
      <c r="E53" s="829"/>
      <c r="F53" s="2813">
        <f>C53*F52</f>
        <v>3526.217767671596</v>
      </c>
      <c r="G53" s="1221"/>
      <c r="H53" s="832" t="s">
        <v>205</v>
      </c>
      <c r="I53" s="890">
        <f>V20</f>
        <v>1.8120393120392975E-2</v>
      </c>
      <c r="J53" s="830"/>
      <c r="K53" s="829"/>
      <c r="L53" s="2813">
        <f>I53*L52</f>
        <v>4134.7014695094695</v>
      </c>
      <c r="N53" s="832" t="s">
        <v>205</v>
      </c>
      <c r="O53" s="890">
        <f>V20</f>
        <v>1.8120393120392975E-2</v>
      </c>
      <c r="P53" s="830"/>
      <c r="Q53" s="829"/>
      <c r="R53" s="2813">
        <f>R52*O53</f>
        <v>4811.4528563673512</v>
      </c>
      <c r="T53" s="3183" t="s">
        <v>1052</v>
      </c>
      <c r="U53" s="3183"/>
      <c r="V53" s="3183"/>
      <c r="W53" s="3183"/>
      <c r="X53" s="3183"/>
      <c r="Y53" s="3183"/>
      <c r="Z53" s="1230"/>
      <c r="AA53" s="1230"/>
      <c r="AB53" s="1230"/>
    </row>
    <row r="54" spans="1:34" ht="15.75" customHeight="1" thickBot="1">
      <c r="A54" s="843"/>
      <c r="D54" s="830"/>
      <c r="E54" s="829"/>
      <c r="F54" s="1220">
        <f>SUM(F52:F53)</f>
        <v>198125.62542087174</v>
      </c>
      <c r="G54" s="1221"/>
      <c r="J54" s="830"/>
      <c r="K54" s="829"/>
      <c r="L54" s="1220">
        <f>SUM(L52:L53)</f>
        <v>232314.15883769491</v>
      </c>
      <c r="P54" s="830"/>
      <c r="Q54" s="829"/>
      <c r="R54" s="1220">
        <f>SUM(R52:R53)</f>
        <v>270338.41048911685</v>
      </c>
      <c r="T54" s="3183"/>
      <c r="U54" s="3183"/>
      <c r="V54" s="3183"/>
      <c r="W54" s="3183"/>
      <c r="X54" s="3183"/>
      <c r="Y54" s="3183"/>
      <c r="Z54" s="1230"/>
      <c r="AA54" s="1230"/>
      <c r="AB54" s="1230"/>
    </row>
    <row r="55" spans="1:34" ht="17.25" customHeight="1" thickTop="1" thickBot="1">
      <c r="A55" s="843"/>
      <c r="B55" s="832"/>
      <c r="C55" s="890"/>
      <c r="D55" s="830"/>
      <c r="E55" s="829"/>
      <c r="F55" s="2825"/>
      <c r="G55" s="1221"/>
      <c r="H55" s="832"/>
      <c r="I55" s="890"/>
      <c r="J55" s="830"/>
      <c r="K55" s="829"/>
      <c r="L55" s="2825"/>
      <c r="N55" s="832"/>
      <c r="O55" s="890"/>
      <c r="P55" s="830"/>
      <c r="Q55" s="829"/>
      <c r="R55" s="2826"/>
      <c r="T55" s="3183" t="s">
        <v>1054</v>
      </c>
      <c r="U55" s="3183"/>
      <c r="V55" s="3183"/>
      <c r="W55" s="3183"/>
      <c r="X55" s="3183"/>
      <c r="Y55" s="3183"/>
      <c r="Z55" s="1230"/>
      <c r="AA55" s="1230"/>
      <c r="AB55" s="1230"/>
    </row>
    <row r="56" spans="1:34" ht="16.5" thickTop="1" thickBot="1">
      <c r="A56" s="843"/>
      <c r="B56" s="798" t="s">
        <v>318</v>
      </c>
      <c r="C56" s="811"/>
      <c r="D56" s="811"/>
      <c r="E56" s="811"/>
      <c r="F56" s="1266">
        <f>F54/12</f>
        <v>16510.468785072644</v>
      </c>
      <c r="G56" s="1221"/>
      <c r="H56" s="798" t="s">
        <v>318</v>
      </c>
      <c r="I56" s="811"/>
      <c r="J56" s="811"/>
      <c r="K56" s="811"/>
      <c r="L56" s="1266">
        <f>L54/12</f>
        <v>19359.513236474577</v>
      </c>
      <c r="N56" s="798" t="s">
        <v>318</v>
      </c>
      <c r="O56" s="811"/>
      <c r="P56" s="811"/>
      <c r="Q56" s="811"/>
      <c r="R56" s="1266">
        <f>R54/12</f>
        <v>22528.200874093072</v>
      </c>
      <c r="T56" s="3183"/>
      <c r="U56" s="3183"/>
      <c r="V56" s="3183"/>
      <c r="W56" s="3183"/>
      <c r="X56" s="3183"/>
      <c r="Y56" s="3183"/>
      <c r="Z56" s="1230"/>
      <c r="AA56" s="1230"/>
      <c r="AB56" s="1230"/>
    </row>
    <row r="57" spans="1:34" ht="15.75" thickBot="1">
      <c r="A57" s="843"/>
      <c r="C57" s="1225"/>
      <c r="D57" s="1225"/>
      <c r="E57" s="1225"/>
      <c r="F57" s="1226">
        <v>15952.69</v>
      </c>
      <c r="G57" s="1225"/>
      <c r="H57" s="1225"/>
      <c r="I57" s="1225"/>
      <c r="J57" s="1225"/>
      <c r="K57" s="1225"/>
      <c r="L57" s="1226">
        <v>18934.8</v>
      </c>
      <c r="M57" s="1225"/>
      <c r="N57" s="1225"/>
      <c r="O57" s="1225"/>
      <c r="P57" s="1225"/>
      <c r="Q57" s="1225"/>
      <c r="R57" s="1226">
        <v>21944.91</v>
      </c>
      <c r="T57" s="2090"/>
      <c r="U57" s="2815"/>
      <c r="V57" s="2090"/>
      <c r="W57" s="2090"/>
      <c r="X57" s="2090"/>
      <c r="Y57" s="2090"/>
      <c r="Z57" s="1230"/>
      <c r="AA57" s="1230"/>
      <c r="AB57" s="1230"/>
      <c r="AD57" s="3167" t="s">
        <v>624</v>
      </c>
      <c r="AE57" s="3168"/>
      <c r="AF57" s="1216" t="s">
        <v>209</v>
      </c>
      <c r="AG57" s="1216" t="s">
        <v>190</v>
      </c>
      <c r="AH57" s="1217" t="s">
        <v>210</v>
      </c>
    </row>
    <row r="58" spans="1:34">
      <c r="A58" s="843"/>
      <c r="C58" s="1225"/>
      <c r="D58" s="1225"/>
      <c r="E58" s="1225"/>
      <c r="F58" s="2823">
        <f>(F56-F57)/F56</f>
        <v>3.3783340275409961E-2</v>
      </c>
      <c r="G58" s="2823"/>
      <c r="H58" s="2823"/>
      <c r="I58" s="2823"/>
      <c r="J58" s="2823"/>
      <c r="K58" s="2823"/>
      <c r="L58" s="2823">
        <f t="shared" ref="L58:R58" si="17">(L56-L57)/L56</f>
        <v>2.1938218760293535E-2</v>
      </c>
      <c r="M58" s="2823"/>
      <c r="N58" s="2823"/>
      <c r="O58" s="2823"/>
      <c r="P58" s="2823"/>
      <c r="Q58" s="2823"/>
      <c r="R58" s="2823">
        <f t="shared" si="17"/>
        <v>2.5891587053622375E-2</v>
      </c>
      <c r="T58" s="2821"/>
      <c r="U58" s="2821"/>
      <c r="V58" s="2090"/>
      <c r="W58" s="2090"/>
      <c r="X58" s="2090"/>
      <c r="Y58" s="2090"/>
      <c r="Z58" s="1230"/>
      <c r="AA58" s="1230"/>
      <c r="AB58" s="1230"/>
      <c r="AD58" s="1251" t="s">
        <v>192</v>
      </c>
      <c r="AE58" s="1045"/>
      <c r="AF58" s="1252">
        <f>V7</f>
        <v>40107</v>
      </c>
      <c r="AG58" s="1253">
        <v>0.25</v>
      </c>
      <c r="AH58" s="1254">
        <f>AG58*AF58</f>
        <v>10026.75</v>
      </c>
    </row>
    <row r="59" spans="1:34" ht="15.75" thickBot="1">
      <c r="A59" s="843"/>
      <c r="C59" s="1225"/>
      <c r="D59" s="1225"/>
      <c r="E59" s="1225"/>
      <c r="F59" s="1226"/>
      <c r="G59" s="1225"/>
      <c r="H59" s="1225"/>
      <c r="I59" s="1225"/>
      <c r="J59" s="1225"/>
      <c r="K59" s="1225"/>
      <c r="L59" s="1226"/>
      <c r="M59" s="1225"/>
      <c r="N59" s="1225"/>
      <c r="O59" s="1225"/>
      <c r="P59" s="1225"/>
      <c r="Q59" s="1225"/>
      <c r="R59" s="1226"/>
      <c r="T59" s="2090"/>
      <c r="U59" s="2819"/>
      <c r="V59" s="2090"/>
      <c r="W59" s="2090"/>
      <c r="X59" s="2090"/>
      <c r="Y59" s="2090"/>
      <c r="Z59" s="1230"/>
      <c r="AA59" s="1230"/>
      <c r="AB59" s="1230"/>
      <c r="AD59" s="1222" t="s">
        <v>196</v>
      </c>
      <c r="AE59" s="1255"/>
      <c r="AF59" s="1256">
        <f>V16</f>
        <v>0.22</v>
      </c>
      <c r="AG59" s="1257"/>
      <c r="AH59" s="1258">
        <f>AF59*AH58</f>
        <v>2205.8850000000002</v>
      </c>
    </row>
    <row r="60" spans="1:34">
      <c r="A60" s="843"/>
      <c r="B60" s="3145" t="s">
        <v>1033</v>
      </c>
      <c r="C60" s="3146"/>
      <c r="D60" s="3146"/>
      <c r="E60" s="3146"/>
      <c r="F60" s="3147"/>
      <c r="G60" s="786"/>
      <c r="H60" s="3145" t="s">
        <v>1034</v>
      </c>
      <c r="I60" s="3146"/>
      <c r="J60" s="3146"/>
      <c r="K60" s="3146"/>
      <c r="L60" s="3147"/>
      <c r="N60" s="3145" t="s">
        <v>1035</v>
      </c>
      <c r="O60" s="3146"/>
      <c r="P60" s="3146"/>
      <c r="Q60" s="3146"/>
      <c r="R60" s="3147"/>
      <c r="T60" s="2090"/>
      <c r="U60" s="2820"/>
      <c r="V60" s="2090"/>
      <c r="W60" s="2090"/>
      <c r="X60" s="2090"/>
      <c r="Y60" s="2090"/>
      <c r="Z60" s="1230"/>
      <c r="AA60" s="1230"/>
      <c r="AB60" s="1230"/>
      <c r="AD60" s="37"/>
      <c r="AE60" s="25"/>
      <c r="AF60" s="1259"/>
      <c r="AG60" s="45"/>
      <c r="AH60" s="1254">
        <f>AH58+AH59</f>
        <v>12232.635</v>
      </c>
    </row>
    <row r="61" spans="1:34" ht="30">
      <c r="A61" s="843"/>
      <c r="B61" s="832"/>
      <c r="C61" s="1196" t="s">
        <v>311</v>
      </c>
      <c r="D61" s="1197" t="s">
        <v>342</v>
      </c>
      <c r="E61" s="1198" t="s">
        <v>190</v>
      </c>
      <c r="F61" s="1199" t="s">
        <v>343</v>
      </c>
      <c r="G61" s="786"/>
      <c r="H61" s="832"/>
      <c r="I61" s="1196" t="s">
        <v>311</v>
      </c>
      <c r="J61" s="1197" t="s">
        <v>342</v>
      </c>
      <c r="K61" s="1198" t="s">
        <v>190</v>
      </c>
      <c r="L61" s="1199" t="s">
        <v>343</v>
      </c>
      <c r="N61" s="832"/>
      <c r="O61" s="1196" t="s">
        <v>311</v>
      </c>
      <c r="P61" s="1197" t="s">
        <v>342</v>
      </c>
      <c r="Q61" s="1198" t="s">
        <v>190</v>
      </c>
      <c r="R61" s="1199" t="s">
        <v>343</v>
      </c>
      <c r="T61" s="2821"/>
      <c r="U61" s="2821"/>
      <c r="V61" s="2090"/>
      <c r="W61" s="2090"/>
      <c r="X61" s="2090"/>
      <c r="Y61" s="2090"/>
      <c r="Z61" s="1230"/>
      <c r="AA61" s="1230"/>
      <c r="AB61" s="1230"/>
      <c r="AD61" s="1260" t="s">
        <v>205</v>
      </c>
      <c r="AE61" s="1261"/>
      <c r="AF61" s="1262">
        <f>V20</f>
        <v>1.8120393120392975E-2</v>
      </c>
      <c r="AG61" s="1263"/>
      <c r="AH61" s="1254">
        <f>AH60*(1+AF61)</f>
        <v>12454.29515509828</v>
      </c>
    </row>
    <row r="62" spans="1:34" ht="15.75" thickBot="1">
      <c r="A62" s="843"/>
      <c r="B62" s="15" t="s">
        <v>191</v>
      </c>
      <c r="C62" s="16"/>
      <c r="D62" s="871">
        <f>V6</f>
        <v>55383.32303680529</v>
      </c>
      <c r="E62" s="1202">
        <f>U32</f>
        <v>1.25</v>
      </c>
      <c r="F62" s="1203">
        <f>D62*E62</f>
        <v>69229.153796006605</v>
      </c>
      <c r="G62" s="786"/>
      <c r="H62" s="15" t="s">
        <v>191</v>
      </c>
      <c r="I62" s="16"/>
      <c r="J62" s="871">
        <f>V6</f>
        <v>55383.32303680529</v>
      </c>
      <c r="K62" s="1202">
        <f>U33</f>
        <v>1.35</v>
      </c>
      <c r="L62" s="1203">
        <f>J62*K62</f>
        <v>74767.486099687143</v>
      </c>
      <c r="N62" s="15" t="s">
        <v>191</v>
      </c>
      <c r="O62" s="16"/>
      <c r="P62" s="871">
        <f>V6</f>
        <v>55383.32303680529</v>
      </c>
      <c r="Q62" s="1202">
        <f>U34</f>
        <v>1.45</v>
      </c>
      <c r="R62" s="1203">
        <f>P62*Q62</f>
        <v>80305.818403367666</v>
      </c>
      <c r="T62" s="2090"/>
      <c r="U62" s="2816"/>
      <c r="V62" s="2090"/>
      <c r="W62" s="2090"/>
      <c r="X62" s="2090"/>
      <c r="Y62" s="2090"/>
      <c r="Z62" s="1230"/>
      <c r="AA62" s="1230"/>
      <c r="AB62" s="1230"/>
      <c r="AD62" s="1264" t="s">
        <v>626</v>
      </c>
      <c r="AE62" s="387"/>
      <c r="AF62" s="1265"/>
      <c r="AG62" s="387"/>
      <c r="AH62" s="1224">
        <f>AH61/12</f>
        <v>1037.8579295915233</v>
      </c>
    </row>
    <row r="63" spans="1:34">
      <c r="A63" s="843"/>
      <c r="B63" s="18" t="s">
        <v>466</v>
      </c>
      <c r="C63" s="749"/>
      <c r="D63" s="871">
        <f>V7</f>
        <v>40107</v>
      </c>
      <c r="E63" s="1204">
        <f>T32</f>
        <v>3.5</v>
      </c>
      <c r="F63" s="1203">
        <f t="shared" ref="F63:F64" si="18">D63*E63</f>
        <v>140374.5</v>
      </c>
      <c r="G63" s="786"/>
      <c r="H63" s="18" t="s">
        <v>466</v>
      </c>
      <c r="I63" s="749"/>
      <c r="J63" s="871">
        <f>V7</f>
        <v>40107</v>
      </c>
      <c r="K63" s="1204">
        <f>T33</f>
        <v>4</v>
      </c>
      <c r="L63" s="1203">
        <f t="shared" ref="L63:L64" si="19">J63*K63</f>
        <v>160428</v>
      </c>
      <c r="N63" s="18" t="s">
        <v>466</v>
      </c>
      <c r="O63" s="749"/>
      <c r="P63" s="871">
        <f>V7</f>
        <v>40107</v>
      </c>
      <c r="Q63" s="1204">
        <f>T34</f>
        <v>4.5</v>
      </c>
      <c r="R63" s="1203">
        <f t="shared" ref="R63:R64" si="20">P63*Q63</f>
        <v>180481.5</v>
      </c>
      <c r="T63" s="2090"/>
      <c r="U63" s="2816"/>
      <c r="V63" s="2090"/>
      <c r="W63" s="2090"/>
      <c r="X63" s="2090"/>
      <c r="Y63" s="2090"/>
      <c r="Z63" s="1230"/>
      <c r="AA63" s="1230"/>
      <c r="AB63" s="1230"/>
    </row>
    <row r="64" spans="1:34" ht="15" customHeight="1">
      <c r="A64" s="843"/>
      <c r="B64" s="18" t="s">
        <v>641</v>
      </c>
      <c r="C64" s="749"/>
      <c r="D64" s="871">
        <f>V8</f>
        <v>31200</v>
      </c>
      <c r="E64" s="1204">
        <f>V32</f>
        <v>1.75</v>
      </c>
      <c r="F64" s="1203">
        <f t="shared" si="18"/>
        <v>54600</v>
      </c>
      <c r="G64" s="786"/>
      <c r="H64" s="18" t="s">
        <v>641</v>
      </c>
      <c r="I64" s="749"/>
      <c r="J64" s="871">
        <f>V8</f>
        <v>31200</v>
      </c>
      <c r="K64" s="1204">
        <f>V33</f>
        <v>2</v>
      </c>
      <c r="L64" s="1203">
        <f t="shared" si="19"/>
        <v>62400</v>
      </c>
      <c r="N64" s="18" t="s">
        <v>641</v>
      </c>
      <c r="O64" s="749"/>
      <c r="P64" s="871">
        <f>V8</f>
        <v>31200</v>
      </c>
      <c r="Q64" s="1204">
        <f>V34</f>
        <v>2.25</v>
      </c>
      <c r="R64" s="1203">
        <f t="shared" si="20"/>
        <v>70200</v>
      </c>
      <c r="T64" s="2090"/>
      <c r="U64" s="2816"/>
      <c r="V64" s="2090"/>
      <c r="W64" s="2090"/>
      <c r="X64" s="2090"/>
      <c r="Y64" s="2090"/>
      <c r="Z64" s="1230"/>
      <c r="AA64" s="1230"/>
      <c r="AB64" s="1230"/>
    </row>
    <row r="65" spans="1:30">
      <c r="A65" s="843"/>
      <c r="B65" s="868" t="s">
        <v>194</v>
      </c>
      <c r="C65" s="867"/>
      <c r="D65" s="866"/>
      <c r="E65" s="1206">
        <f>SUM(E62:E64)</f>
        <v>6.5</v>
      </c>
      <c r="F65" s="1207">
        <f>SUM(F62:F63)</f>
        <v>209603.65379600661</v>
      </c>
      <c r="G65" s="786"/>
      <c r="H65" s="868" t="s">
        <v>194</v>
      </c>
      <c r="I65" s="867"/>
      <c r="J65" s="866"/>
      <c r="K65" s="1206">
        <f>SUM(K62:K64)</f>
        <v>7.35</v>
      </c>
      <c r="L65" s="1207">
        <f>SUM(L62:L63)</f>
        <v>235195.48609968714</v>
      </c>
      <c r="N65" s="868" t="s">
        <v>194</v>
      </c>
      <c r="O65" s="867"/>
      <c r="P65" s="866"/>
      <c r="Q65" s="1206">
        <f>SUM(Q62:Q64)</f>
        <v>8.1999999999999993</v>
      </c>
      <c r="R65" s="1207">
        <f>SUM(R62:R63)</f>
        <v>260787.31840336765</v>
      </c>
      <c r="S65" s="1225"/>
      <c r="T65" s="2090"/>
      <c r="U65" s="2816"/>
      <c r="V65" s="2090"/>
      <c r="W65" s="2090"/>
      <c r="X65" s="2090"/>
      <c r="Y65" s="2090"/>
      <c r="Z65" s="1230"/>
      <c r="AA65" s="1230"/>
      <c r="AB65" s="1230"/>
    </row>
    <row r="66" spans="1:30" s="1225" customFormat="1">
      <c r="A66" s="843"/>
      <c r="B66" s="863"/>
      <c r="C66" s="862"/>
      <c r="D66" s="861"/>
      <c r="E66" s="1208"/>
      <c r="F66" s="1209"/>
      <c r="G66" s="786"/>
      <c r="H66" s="863"/>
      <c r="I66" s="862"/>
      <c r="J66" s="861"/>
      <c r="K66" s="860"/>
      <c r="L66" s="1209"/>
      <c r="M66" s="786"/>
      <c r="N66" s="863"/>
      <c r="O66" s="862"/>
      <c r="P66" s="861"/>
      <c r="Q66" s="1208"/>
      <c r="R66" s="1209"/>
      <c r="S66" s="786"/>
      <c r="T66" s="2090"/>
      <c r="U66" s="2816"/>
      <c r="V66" s="2090"/>
      <c r="W66" s="2090"/>
      <c r="X66" s="2090"/>
      <c r="Y66" s="2090"/>
      <c r="Z66" s="1230"/>
      <c r="AA66" s="1230"/>
      <c r="AB66" s="1230"/>
      <c r="AC66" s="786"/>
      <c r="AD66" s="786"/>
    </row>
    <row r="67" spans="1:30">
      <c r="A67" s="1229"/>
      <c r="B67" s="832" t="s">
        <v>195</v>
      </c>
      <c r="C67" s="859"/>
      <c r="D67" s="830"/>
      <c r="E67" s="858"/>
      <c r="F67" s="1210"/>
      <c r="G67" s="786"/>
      <c r="H67" s="832" t="s">
        <v>195</v>
      </c>
      <c r="I67" s="859"/>
      <c r="J67" s="830"/>
      <c r="K67" s="858"/>
      <c r="L67" s="1210"/>
      <c r="N67" s="832" t="s">
        <v>195</v>
      </c>
      <c r="O67" s="859"/>
      <c r="P67" s="830"/>
      <c r="Q67" s="858"/>
      <c r="R67" s="1210"/>
      <c r="T67" s="2090"/>
      <c r="U67" s="2816"/>
      <c r="V67" s="2090"/>
      <c r="W67" s="2090"/>
      <c r="X67" s="2090"/>
      <c r="Y67" s="2090"/>
      <c r="Z67" s="1230"/>
      <c r="AA67" s="1230"/>
      <c r="AB67" s="1230"/>
    </row>
    <row r="68" spans="1:30">
      <c r="A68" s="843"/>
      <c r="B68" s="822" t="s">
        <v>196</v>
      </c>
      <c r="C68" s="855">
        <f>V16</f>
        <v>0.22</v>
      </c>
      <c r="D68" s="1211"/>
      <c r="E68" s="853"/>
      <c r="F68" s="1212">
        <f>C68*F65</f>
        <v>46112.803835121456</v>
      </c>
      <c r="G68" s="786"/>
      <c r="H68" s="822" t="s">
        <v>196</v>
      </c>
      <c r="I68" s="855">
        <f>V16</f>
        <v>0.22</v>
      </c>
      <c r="J68" s="1211"/>
      <c r="K68" s="853"/>
      <c r="L68" s="1213">
        <f>I68*L65</f>
        <v>51743.006941931169</v>
      </c>
      <c r="N68" s="822" t="s">
        <v>196</v>
      </c>
      <c r="O68" s="855">
        <f>V16</f>
        <v>0.22</v>
      </c>
      <c r="P68" s="1211"/>
      <c r="Q68" s="853"/>
      <c r="R68" s="1213">
        <f>O68*R65</f>
        <v>57373.210048740882</v>
      </c>
      <c r="T68" s="1495"/>
      <c r="U68" s="2816"/>
      <c r="V68" s="2090"/>
      <c r="W68" s="1495"/>
      <c r="X68" s="1495"/>
      <c r="Y68" s="1495"/>
      <c r="Z68" s="1230"/>
      <c r="AA68" s="1230"/>
      <c r="AB68" s="1230"/>
    </row>
    <row r="69" spans="1:30">
      <c r="A69" s="843"/>
      <c r="B69" s="787" t="s">
        <v>198</v>
      </c>
      <c r="C69" s="848"/>
      <c r="D69" s="847"/>
      <c r="E69" s="846"/>
      <c r="F69" s="1214">
        <f>F68+F65</f>
        <v>255716.45763112805</v>
      </c>
      <c r="G69" s="786"/>
      <c r="H69" s="787" t="s">
        <v>198</v>
      </c>
      <c r="I69" s="848"/>
      <c r="J69" s="847"/>
      <c r="K69" s="846"/>
      <c r="L69" s="1214">
        <f>L68+L65</f>
        <v>286938.49304161832</v>
      </c>
      <c r="N69" s="787" t="s">
        <v>198</v>
      </c>
      <c r="O69" s="848"/>
      <c r="P69" s="847"/>
      <c r="Q69" s="846"/>
      <c r="R69" s="1214">
        <f>R68+R65</f>
        <v>318160.52845210856</v>
      </c>
      <c r="T69" s="1495"/>
      <c r="U69" s="2816"/>
      <c r="V69" s="2090"/>
      <c r="W69" s="1495"/>
      <c r="X69" s="1495"/>
      <c r="Y69" s="1495"/>
      <c r="Z69" s="1230"/>
      <c r="AA69" s="1230"/>
      <c r="AB69" s="1230"/>
    </row>
    <row r="70" spans="1:30" ht="15" customHeight="1">
      <c r="A70" s="843"/>
      <c r="B70" s="29" t="s">
        <v>313</v>
      </c>
      <c r="C70" s="30"/>
      <c r="D70" s="16">
        <f>V10</f>
        <v>5155.4902174195804</v>
      </c>
      <c r="E70" s="841"/>
      <c r="F70" s="1203">
        <f>D70*$E$64</f>
        <v>9022.1078804842655</v>
      </c>
      <c r="G70" s="786"/>
      <c r="H70" s="29" t="s">
        <v>313</v>
      </c>
      <c r="I70" s="30"/>
      <c r="J70" s="16">
        <f>V10</f>
        <v>5155.4902174195804</v>
      </c>
      <c r="K70" s="841"/>
      <c r="L70" s="1203">
        <f>J70*$K$64</f>
        <v>10310.980434839161</v>
      </c>
      <c r="N70" s="29" t="s">
        <v>313</v>
      </c>
      <c r="O70" s="30"/>
      <c r="P70" s="16">
        <f>V10</f>
        <v>5155.4902174195804</v>
      </c>
      <c r="Q70" s="841"/>
      <c r="R70" s="1203">
        <f>P70*$Q$64</f>
        <v>11599.852989194056</v>
      </c>
      <c r="T70" s="1495"/>
      <c r="U70" s="1495"/>
      <c r="V70" s="1495"/>
      <c r="W70" s="1495"/>
      <c r="X70" s="1495"/>
      <c r="Y70" s="1495"/>
      <c r="Z70" s="1230"/>
      <c r="AA70" s="1230"/>
      <c r="AB70" s="1230"/>
    </row>
    <row r="71" spans="1:30">
      <c r="B71" s="835" t="s">
        <v>673</v>
      </c>
      <c r="C71" s="821"/>
      <c r="D71" s="16">
        <f t="shared" ref="D71:D74" si="21">V11</f>
        <v>178.16741415351552</v>
      </c>
      <c r="E71" s="838"/>
      <c r="F71" s="1203">
        <f>D71*$E$64</f>
        <v>311.79297476865219</v>
      </c>
      <c r="G71" s="786"/>
      <c r="H71" s="835" t="s">
        <v>673</v>
      </c>
      <c r="I71" s="821"/>
      <c r="J71" s="16">
        <f t="shared" ref="J71:J74" si="22">V11</f>
        <v>178.16741415351552</v>
      </c>
      <c r="K71" s="838"/>
      <c r="L71" s="1203">
        <f>J71*$K$64</f>
        <v>356.33482830703105</v>
      </c>
      <c r="N71" s="835" t="s">
        <v>673</v>
      </c>
      <c r="O71" s="821"/>
      <c r="P71" s="16">
        <f t="shared" ref="P71:P74" si="23">V11</f>
        <v>178.16741415351552</v>
      </c>
      <c r="Q71" s="838"/>
      <c r="R71" s="1203">
        <f>P71*$Q$64</f>
        <v>400.87668184540991</v>
      </c>
      <c r="T71" s="2090"/>
      <c r="U71" s="2587"/>
      <c r="V71" s="2090"/>
      <c r="W71" s="2090"/>
      <c r="X71" s="2090"/>
      <c r="Y71" s="2090"/>
      <c r="Z71" s="1230"/>
      <c r="AA71" s="1230"/>
      <c r="AB71" s="1230"/>
    </row>
    <row r="72" spans="1:30">
      <c r="B72" s="822" t="s">
        <v>674</v>
      </c>
      <c r="C72" s="821"/>
      <c r="D72" s="16">
        <f t="shared" si="21"/>
        <v>1410.7821990248415</v>
      </c>
      <c r="E72" s="838"/>
      <c r="F72" s="1203">
        <f>D72*$E$64</f>
        <v>2468.8688482934726</v>
      </c>
      <c r="G72" s="786"/>
      <c r="H72" s="822" t="s">
        <v>674</v>
      </c>
      <c r="I72" s="821"/>
      <c r="J72" s="16">
        <f t="shared" si="22"/>
        <v>1410.7821990248415</v>
      </c>
      <c r="K72" s="838"/>
      <c r="L72" s="1203">
        <f>J72*$K$64</f>
        <v>2821.5643980496829</v>
      </c>
      <c r="N72" s="822" t="s">
        <v>674</v>
      </c>
      <c r="O72" s="821"/>
      <c r="P72" s="16">
        <f t="shared" si="23"/>
        <v>1410.7821990248415</v>
      </c>
      <c r="Q72" s="838"/>
      <c r="R72" s="1203">
        <f>P72*$Q$64</f>
        <v>3174.2599478058933</v>
      </c>
      <c r="T72" s="2090"/>
      <c r="U72" s="2587"/>
      <c r="V72" s="2090"/>
      <c r="W72" s="2090"/>
      <c r="X72" s="2090"/>
      <c r="Y72" s="2090"/>
      <c r="Z72" s="1230"/>
      <c r="AA72" s="1230"/>
      <c r="AB72" s="1230"/>
    </row>
    <row r="73" spans="1:30">
      <c r="B73" s="822" t="s">
        <v>685</v>
      </c>
      <c r="C73" s="821"/>
      <c r="D73" s="16">
        <f t="shared" si="21"/>
        <v>799.70498223424943</v>
      </c>
      <c r="E73" s="838"/>
      <c r="F73" s="1203">
        <f>D73*$E$64</f>
        <v>1399.4837189099364</v>
      </c>
      <c r="G73" s="786"/>
      <c r="H73" s="822" t="s">
        <v>685</v>
      </c>
      <c r="I73" s="821"/>
      <c r="J73" s="16">
        <f t="shared" si="22"/>
        <v>799.70498223424943</v>
      </c>
      <c r="K73" s="838"/>
      <c r="L73" s="1203">
        <f>J73*$K$64</f>
        <v>1599.4099644684989</v>
      </c>
      <c r="N73" s="822" t="s">
        <v>685</v>
      </c>
      <c r="O73" s="821"/>
      <c r="P73" s="16">
        <f t="shared" si="23"/>
        <v>799.70498223424943</v>
      </c>
      <c r="Q73" s="838"/>
      <c r="R73" s="1203">
        <f>P73*$Q$64</f>
        <v>1799.3362100270613</v>
      </c>
      <c r="T73" s="2090"/>
      <c r="U73" s="2587"/>
      <c r="V73" s="2090"/>
      <c r="W73" s="2090"/>
      <c r="X73" s="2090"/>
      <c r="Y73" s="2090"/>
      <c r="Z73" s="1230"/>
      <c r="AA73" s="1230"/>
      <c r="AB73" s="1230"/>
      <c r="AC73" s="1225"/>
      <c r="AD73" s="1225"/>
    </row>
    <row r="74" spans="1:30">
      <c r="B74" s="835" t="s">
        <v>686</v>
      </c>
      <c r="C74" s="386"/>
      <c r="D74" s="16">
        <f t="shared" si="21"/>
        <v>1572.2963237683009</v>
      </c>
      <c r="E74" s="833"/>
      <c r="F74" s="1203">
        <f>D74*$E$64</f>
        <v>2751.5185665945264</v>
      </c>
      <c r="G74" s="786"/>
      <c r="H74" s="835" t="s">
        <v>686</v>
      </c>
      <c r="I74" s="386"/>
      <c r="J74" s="16">
        <f t="shared" si="22"/>
        <v>1572.2963237683009</v>
      </c>
      <c r="K74" s="833"/>
      <c r="L74" s="1203">
        <f>J74*$K$64</f>
        <v>3144.5926475366018</v>
      </c>
      <c r="N74" s="835" t="s">
        <v>686</v>
      </c>
      <c r="O74" s="386"/>
      <c r="P74" s="16">
        <f t="shared" si="23"/>
        <v>1572.2963237683009</v>
      </c>
      <c r="Q74" s="833"/>
      <c r="R74" s="1203">
        <f>P74*$Q$64</f>
        <v>3537.6667284786772</v>
      </c>
      <c r="T74" s="2818"/>
      <c r="U74" s="2817"/>
      <c r="V74" s="2558"/>
      <c r="W74" s="2818"/>
      <c r="X74" s="2090"/>
      <c r="Y74" s="2090"/>
      <c r="Z74" s="1230"/>
      <c r="AA74" s="1230"/>
      <c r="AB74" s="1230"/>
    </row>
    <row r="75" spans="1:30">
      <c r="B75" s="827"/>
      <c r="C75" s="826"/>
      <c r="D75" s="825"/>
      <c r="E75" s="824"/>
      <c r="F75" s="1219"/>
      <c r="G75" s="786"/>
      <c r="H75" s="827"/>
      <c r="I75" s="826"/>
      <c r="J75" s="825"/>
      <c r="K75" s="824"/>
      <c r="L75" s="1219"/>
      <c r="N75" s="827"/>
      <c r="O75" s="826"/>
      <c r="P75" s="825"/>
      <c r="Q75" s="824"/>
      <c r="R75" s="1219"/>
      <c r="T75" s="2090"/>
      <c r="U75" s="2587"/>
      <c r="V75" s="2090"/>
      <c r="W75" s="2090"/>
      <c r="X75" s="2090"/>
      <c r="Y75" s="2090"/>
      <c r="Z75" s="1230"/>
      <c r="AA75" s="1230"/>
      <c r="AB75" s="1230"/>
    </row>
    <row r="76" spans="1:30" ht="15.75" thickBot="1">
      <c r="B76" s="816" t="s">
        <v>203</v>
      </c>
      <c r="C76" s="815"/>
      <c r="D76" s="814"/>
      <c r="E76" s="813"/>
      <c r="F76" s="1220">
        <f>SUM(F69:F75)</f>
        <v>271670.22962017899</v>
      </c>
      <c r="G76" s="1221"/>
      <c r="H76" s="816" t="s">
        <v>203</v>
      </c>
      <c r="I76" s="815"/>
      <c r="J76" s="814"/>
      <c r="K76" s="813"/>
      <c r="L76" s="1220">
        <f>SUM(L69:L75)</f>
        <v>305171.37531481928</v>
      </c>
      <c r="N76" s="816" t="s">
        <v>203</v>
      </c>
      <c r="O76" s="815"/>
      <c r="P76" s="814"/>
      <c r="Q76" s="813"/>
      <c r="R76" s="1220">
        <f>SUM(R69:R75)</f>
        <v>338672.52100945963</v>
      </c>
      <c r="T76" s="2090"/>
      <c r="U76" s="2587"/>
      <c r="V76" s="2090"/>
      <c r="W76" s="2090"/>
      <c r="X76" s="2090"/>
      <c r="Y76" s="2090"/>
      <c r="Z76" s="1230"/>
      <c r="AA76" s="1230"/>
      <c r="AB76" s="1230"/>
    </row>
    <row r="77" spans="1:30" ht="15.75" thickTop="1">
      <c r="B77" s="2769" t="s">
        <v>315</v>
      </c>
      <c r="C77" s="890">
        <f>V17</f>
        <v>0.11</v>
      </c>
      <c r="D77" s="830"/>
      <c r="E77" s="829"/>
      <c r="F77" s="1210">
        <f>C77*F76</f>
        <v>29883.725258219689</v>
      </c>
      <c r="G77" s="1221"/>
      <c r="H77" s="2769" t="s">
        <v>315</v>
      </c>
      <c r="I77" s="890">
        <f>V17</f>
        <v>0.11</v>
      </c>
      <c r="J77" s="830"/>
      <c r="K77" s="829"/>
      <c r="L77" s="1210">
        <f>I77*L76</f>
        <v>33568.851284630124</v>
      </c>
      <c r="N77" s="2769" t="s">
        <v>315</v>
      </c>
      <c r="O77" s="890">
        <f>V17</f>
        <v>0.11</v>
      </c>
      <c r="P77" s="830"/>
      <c r="Q77" s="829"/>
      <c r="R77" s="1210">
        <f>O77*R76</f>
        <v>37253.977311040559</v>
      </c>
      <c r="T77" s="1227"/>
      <c r="U77" s="1227"/>
      <c r="V77" s="1230"/>
      <c r="W77" s="1230"/>
      <c r="X77" s="1230"/>
      <c r="Y77" s="1230"/>
      <c r="Z77" s="1230"/>
      <c r="AA77" s="1230"/>
      <c r="AB77" s="1230"/>
    </row>
    <row r="78" spans="1:30">
      <c r="B78" s="2771" t="s">
        <v>653</v>
      </c>
      <c r="C78" s="2811">
        <f>C50</f>
        <v>6.3E-3</v>
      </c>
      <c r="D78" s="830"/>
      <c r="E78" s="829"/>
      <c r="F78" s="1210">
        <f>C78*F65</f>
        <v>1320.5030189148417</v>
      </c>
      <c r="G78" s="1221"/>
      <c r="H78" s="2771" t="s">
        <v>653</v>
      </c>
      <c r="I78" s="2811">
        <f>I50</f>
        <v>6.3E-3</v>
      </c>
      <c r="J78" s="830"/>
      <c r="K78" s="829"/>
      <c r="L78" s="1210">
        <f>I78*L65</f>
        <v>1481.7315624280291</v>
      </c>
      <c r="N78" s="2771" t="s">
        <v>653</v>
      </c>
      <c r="O78" s="2811">
        <f>O50</f>
        <v>6.3E-3</v>
      </c>
      <c r="P78" s="830"/>
      <c r="Q78" s="829"/>
      <c r="R78" s="1210">
        <f>O78*R65</f>
        <v>1642.9601059412162</v>
      </c>
      <c r="T78" s="1227"/>
      <c r="U78" s="1227"/>
      <c r="V78" s="1230"/>
      <c r="W78" s="1230"/>
      <c r="X78" s="1230"/>
      <c r="Y78" s="1230"/>
    </row>
    <row r="79" spans="1:30" ht="15.75" thickBot="1">
      <c r="B79" s="2807"/>
      <c r="C79" s="2812"/>
      <c r="D79" s="830"/>
      <c r="E79" s="829"/>
      <c r="F79" s="2824">
        <f>C79*(F70+F71+F72+F73+F74)</f>
        <v>0</v>
      </c>
      <c r="G79" s="1221"/>
      <c r="H79" s="2807"/>
      <c r="I79" s="2812"/>
      <c r="J79" s="830"/>
      <c r="K79" s="829"/>
      <c r="L79" s="2824">
        <f>I79*(L70+L71+L72+L73+L74)</f>
        <v>0</v>
      </c>
      <c r="N79" s="2807"/>
      <c r="O79" s="2812"/>
      <c r="P79" s="830"/>
      <c r="Q79" s="829"/>
      <c r="R79" s="2824">
        <f>O79*(R70+R71+R72+R73+R74)</f>
        <v>0</v>
      </c>
      <c r="T79" s="1192"/>
      <c r="U79" s="1192"/>
    </row>
    <row r="80" spans="1:30">
      <c r="B80" s="2807"/>
      <c r="C80" s="2812"/>
      <c r="D80" s="830"/>
      <c r="E80" s="829"/>
      <c r="F80" s="2814">
        <f>SUM(F76:F79)</f>
        <v>302874.45789731352</v>
      </c>
      <c r="G80" s="1221"/>
      <c r="H80" s="2807"/>
      <c r="I80" s="2812"/>
      <c r="J80" s="830"/>
      <c r="K80" s="829"/>
      <c r="L80" s="2814">
        <f>SUM(L76:L79)</f>
        <v>340221.95816187741</v>
      </c>
      <c r="N80" s="2807"/>
      <c r="O80" s="2812"/>
      <c r="P80" s="830"/>
      <c r="Q80" s="829"/>
      <c r="R80" s="2814">
        <f>SUM(R76:R79)</f>
        <v>377569.45842644142</v>
      </c>
      <c r="T80" s="1192"/>
      <c r="U80" s="1192"/>
    </row>
    <row r="81" spans="1:21">
      <c r="B81" s="832" t="s">
        <v>205</v>
      </c>
      <c r="C81" s="890">
        <f>V20</f>
        <v>1.8120393120392975E-2</v>
      </c>
      <c r="D81" s="830"/>
      <c r="E81" s="829"/>
      <c r="F81" s="2813">
        <f>C81*F80</f>
        <v>5488.2042432252319</v>
      </c>
      <c r="G81" s="1221"/>
      <c r="H81" s="832" t="s">
        <v>205</v>
      </c>
      <c r="I81" s="890">
        <f>V20</f>
        <v>1.8120393120392975E-2</v>
      </c>
      <c r="J81" s="830"/>
      <c r="K81" s="829"/>
      <c r="L81" s="2813">
        <f>I81*L80</f>
        <v>6164.95563008311</v>
      </c>
      <c r="N81" s="832" t="s">
        <v>205</v>
      </c>
      <c r="O81" s="890">
        <f>V20</f>
        <v>1.8120393120392975E-2</v>
      </c>
      <c r="P81" s="830"/>
      <c r="Q81" s="829"/>
      <c r="R81" s="2813">
        <f>O81*R80</f>
        <v>6841.7070169409908</v>
      </c>
      <c r="T81" s="1192"/>
      <c r="U81" s="1192"/>
    </row>
    <row r="82" spans="1:21" ht="15.75" thickBot="1">
      <c r="D82" s="830"/>
      <c r="E82" s="829"/>
      <c r="F82" s="1220">
        <f>SUM(F80:F81)</f>
        <v>308362.66214053874</v>
      </c>
      <c r="G82" s="1221"/>
      <c r="J82" s="830"/>
      <c r="K82" s="829"/>
      <c r="L82" s="1220">
        <f>SUM(L80:L81)</f>
        <v>346386.91379196051</v>
      </c>
      <c r="P82" s="830"/>
      <c r="Q82" s="829"/>
      <c r="R82" s="1220">
        <f>SUM(R80:R81)</f>
        <v>384411.1654433824</v>
      </c>
      <c r="S82" s="1230"/>
      <c r="T82" s="1192"/>
      <c r="U82" s="1192"/>
    </row>
    <row r="83" spans="1:21" ht="16.5" thickTop="1" thickBot="1">
      <c r="B83" s="832"/>
      <c r="C83" s="890"/>
      <c r="D83" s="830"/>
      <c r="E83" s="829"/>
      <c r="F83" s="2825"/>
      <c r="G83" s="1221"/>
      <c r="H83" s="832"/>
      <c r="I83" s="890"/>
      <c r="J83" s="830"/>
      <c r="K83" s="829"/>
      <c r="L83" s="2825"/>
      <c r="N83" s="832"/>
      <c r="O83" s="890"/>
      <c r="P83" s="830"/>
      <c r="Q83" s="829"/>
      <c r="R83" s="2825"/>
      <c r="S83" s="1230"/>
      <c r="T83" s="1192"/>
      <c r="U83" s="1192"/>
    </row>
    <row r="84" spans="1:21" ht="15" customHeight="1" thickTop="1" thickBot="1">
      <c r="B84" s="798" t="s">
        <v>318</v>
      </c>
      <c r="C84" s="811"/>
      <c r="D84" s="811"/>
      <c r="E84" s="811"/>
      <c r="F84" s="1266">
        <f>F82/12</f>
        <v>25696.888511711561</v>
      </c>
      <c r="G84" s="1221"/>
      <c r="H84" s="798" t="s">
        <v>318</v>
      </c>
      <c r="I84" s="811"/>
      <c r="J84" s="811"/>
      <c r="K84" s="811"/>
      <c r="L84" s="1266">
        <f>L82/12</f>
        <v>28865.576149330042</v>
      </c>
      <c r="N84" s="798" t="s">
        <v>318</v>
      </c>
      <c r="O84" s="811"/>
      <c r="P84" s="811"/>
      <c r="Q84" s="811"/>
      <c r="R84" s="1266">
        <f>R82/12</f>
        <v>32034.263786948533</v>
      </c>
      <c r="S84" s="1230"/>
      <c r="T84" s="1192"/>
      <c r="U84" s="1192"/>
    </row>
    <row r="85" spans="1:21">
      <c r="B85" s="1225"/>
      <c r="C85" s="1225"/>
      <c r="D85" s="1225"/>
      <c r="E85" s="1225"/>
      <c r="F85" s="1226">
        <v>24968.86</v>
      </c>
      <c r="G85" s="1227"/>
      <c r="H85" s="1225"/>
      <c r="L85" s="1192">
        <v>28048.47</v>
      </c>
      <c r="R85" s="786">
        <v>31225.59</v>
      </c>
      <c r="S85" s="1230"/>
      <c r="T85" s="1192"/>
      <c r="U85" s="1192"/>
    </row>
    <row r="86" spans="1:21">
      <c r="B86" s="1225"/>
      <c r="C86" s="1225"/>
      <c r="D86" s="1225"/>
      <c r="E86" s="1225"/>
      <c r="F86" s="2823">
        <f>(F84-F85)/F85</f>
        <v>2.9157458999392042E-2</v>
      </c>
      <c r="G86" s="2823"/>
      <c r="H86" s="2823"/>
      <c r="I86" s="2823"/>
      <c r="J86" s="2823"/>
      <c r="K86" s="2823"/>
      <c r="L86" s="2823">
        <f t="shared" ref="L86:R86" si="24">(L84-L85)/L85</f>
        <v>2.9131933019164336E-2</v>
      </c>
      <c r="M86" s="2823"/>
      <c r="N86" s="2823"/>
      <c r="O86" s="2823"/>
      <c r="P86" s="2823"/>
      <c r="Q86" s="2823"/>
      <c r="R86" s="2823">
        <f t="shared" si="24"/>
        <v>2.5897790464440646E-2</v>
      </c>
      <c r="S86" s="1230"/>
      <c r="T86" s="1192"/>
      <c r="U86" s="1192"/>
    </row>
    <row r="87" spans="1:21" ht="15.75" thickBot="1">
      <c r="A87" s="1230"/>
      <c r="B87" s="1225"/>
      <c r="C87" s="1225"/>
      <c r="D87" s="1225"/>
      <c r="E87" s="1225"/>
      <c r="F87" s="1226"/>
      <c r="G87" s="1227"/>
      <c r="H87" s="1225"/>
      <c r="R87" s="786"/>
      <c r="S87" s="1230"/>
      <c r="T87" s="1192"/>
      <c r="U87" s="1192"/>
    </row>
    <row r="88" spans="1:21">
      <c r="A88" s="1230"/>
      <c r="B88" s="3145" t="s">
        <v>1036</v>
      </c>
      <c r="C88" s="3146"/>
      <c r="D88" s="3146"/>
      <c r="E88" s="3146"/>
      <c r="F88" s="3147"/>
      <c r="G88" s="786"/>
      <c r="H88" s="3145" t="s">
        <v>1037</v>
      </c>
      <c r="I88" s="3146"/>
      <c r="J88" s="3146"/>
      <c r="K88" s="3146"/>
      <c r="L88" s="3147"/>
      <c r="N88" s="3145" t="s">
        <v>1038</v>
      </c>
      <c r="O88" s="3146"/>
      <c r="P88" s="3146"/>
      <c r="Q88" s="3146"/>
      <c r="R88" s="3147"/>
      <c r="S88" s="1230"/>
      <c r="T88" s="1192"/>
      <c r="U88" s="1192"/>
    </row>
    <row r="89" spans="1:21" ht="30">
      <c r="A89" s="1230"/>
      <c r="B89" s="832"/>
      <c r="C89" s="1196" t="s">
        <v>311</v>
      </c>
      <c r="D89" s="1197" t="s">
        <v>342</v>
      </c>
      <c r="E89" s="1198" t="s">
        <v>190</v>
      </c>
      <c r="F89" s="1199" t="s">
        <v>343</v>
      </c>
      <c r="G89" s="786"/>
      <c r="H89" s="832"/>
      <c r="I89" s="1196" t="s">
        <v>311</v>
      </c>
      <c r="J89" s="1197" t="s">
        <v>342</v>
      </c>
      <c r="K89" s="1198" t="s">
        <v>190</v>
      </c>
      <c r="L89" s="1199" t="s">
        <v>343</v>
      </c>
      <c r="N89" s="832"/>
      <c r="O89" s="1196" t="s">
        <v>311</v>
      </c>
      <c r="P89" s="1197" t="s">
        <v>342</v>
      </c>
      <c r="Q89" s="1198" t="s">
        <v>190</v>
      </c>
      <c r="R89" s="1199" t="s">
        <v>343</v>
      </c>
      <c r="T89" s="1192"/>
      <c r="U89" s="1192"/>
    </row>
    <row r="90" spans="1:21">
      <c r="B90" s="15" t="s">
        <v>191</v>
      </c>
      <c r="C90" s="16"/>
      <c r="D90" s="871">
        <f>V6</f>
        <v>55383.32303680529</v>
      </c>
      <c r="E90" s="1202">
        <f>U35</f>
        <v>1.55</v>
      </c>
      <c r="F90" s="1203">
        <f>D90*E90</f>
        <v>85844.150707048204</v>
      </c>
      <c r="G90" s="786"/>
      <c r="H90" s="15" t="s">
        <v>191</v>
      </c>
      <c r="I90" s="16"/>
      <c r="J90" s="871">
        <f t="shared" ref="J90:J91" si="25">V6</f>
        <v>55383.32303680529</v>
      </c>
      <c r="K90" s="1202">
        <f>U36</f>
        <v>1.65</v>
      </c>
      <c r="L90" s="1203">
        <f>J90*K90</f>
        <v>91382.483010728727</v>
      </c>
      <c r="N90" s="15" t="s">
        <v>191</v>
      </c>
      <c r="O90" s="16"/>
      <c r="P90" s="871">
        <f>V6</f>
        <v>55383.32303680529</v>
      </c>
      <c r="Q90" s="1202">
        <f>U37</f>
        <v>1.75</v>
      </c>
      <c r="R90" s="1203">
        <f>P90*Q90</f>
        <v>96920.815314409265</v>
      </c>
      <c r="T90" s="1192"/>
      <c r="U90" s="1192"/>
    </row>
    <row r="91" spans="1:21">
      <c r="B91" s="18" t="s">
        <v>466</v>
      </c>
      <c r="C91" s="749"/>
      <c r="D91" s="871">
        <f>V7</f>
        <v>40107</v>
      </c>
      <c r="E91" s="1204">
        <f>T35</f>
        <v>5</v>
      </c>
      <c r="F91" s="1203">
        <f t="shared" ref="F91:F92" si="26">D91*E91</f>
        <v>200535</v>
      </c>
      <c r="G91" s="786"/>
      <c r="H91" s="18" t="s">
        <v>466</v>
      </c>
      <c r="I91" s="749"/>
      <c r="J91" s="871">
        <f t="shared" si="25"/>
        <v>40107</v>
      </c>
      <c r="K91" s="1204">
        <f>T36</f>
        <v>5.5</v>
      </c>
      <c r="L91" s="1203">
        <f t="shared" ref="L91:L92" si="27">J91*K91</f>
        <v>220588.5</v>
      </c>
      <c r="N91" s="18" t="s">
        <v>466</v>
      </c>
      <c r="O91" s="749"/>
      <c r="P91" s="871">
        <f>V7</f>
        <v>40107</v>
      </c>
      <c r="Q91" s="1204">
        <f>T37</f>
        <v>6</v>
      </c>
      <c r="R91" s="1203">
        <f t="shared" ref="R91:R92" si="28">P91*Q91</f>
        <v>240642</v>
      </c>
      <c r="T91" s="1192"/>
      <c r="U91" s="1192"/>
    </row>
    <row r="92" spans="1:21" ht="15" customHeight="1">
      <c r="B92" s="18" t="s">
        <v>641</v>
      </c>
      <c r="C92" s="749"/>
      <c r="D92" s="871">
        <f>V8</f>
        <v>31200</v>
      </c>
      <c r="E92" s="1204">
        <f>V35</f>
        <v>2.5</v>
      </c>
      <c r="F92" s="1203">
        <f t="shared" si="26"/>
        <v>78000</v>
      </c>
      <c r="G92" s="786"/>
      <c r="H92" s="18" t="s">
        <v>641</v>
      </c>
      <c r="I92" s="749"/>
      <c r="J92" s="871">
        <f>V8</f>
        <v>31200</v>
      </c>
      <c r="K92" s="1204">
        <f>V36</f>
        <v>2.75</v>
      </c>
      <c r="L92" s="1203">
        <f t="shared" si="27"/>
        <v>85800</v>
      </c>
      <c r="N92" s="18" t="s">
        <v>641</v>
      </c>
      <c r="O92" s="749"/>
      <c r="P92" s="871">
        <f>V8</f>
        <v>31200</v>
      </c>
      <c r="Q92" s="1204">
        <f>V37</f>
        <v>3</v>
      </c>
      <c r="R92" s="1203">
        <f t="shared" si="28"/>
        <v>93600</v>
      </c>
      <c r="T92" s="1192"/>
      <c r="U92" s="1192"/>
    </row>
    <row r="93" spans="1:21">
      <c r="B93" s="868" t="s">
        <v>194</v>
      </c>
      <c r="C93" s="867"/>
      <c r="D93" s="866"/>
      <c r="E93" s="1206">
        <f>SUM(E90:E92)</f>
        <v>9.0500000000000007</v>
      </c>
      <c r="F93" s="1207">
        <f>SUM(F90:F91)</f>
        <v>286379.15070704819</v>
      </c>
      <c r="G93" s="786"/>
      <c r="H93" s="868" t="s">
        <v>194</v>
      </c>
      <c r="I93" s="867"/>
      <c r="J93" s="866"/>
      <c r="K93" s="1206">
        <f>SUM(K90:K92)</f>
        <v>9.9</v>
      </c>
      <c r="L93" s="1207">
        <f>SUM(L90:L91)</f>
        <v>311970.98301072873</v>
      </c>
      <c r="N93" s="868" t="s">
        <v>194</v>
      </c>
      <c r="O93" s="867"/>
      <c r="P93" s="866"/>
      <c r="Q93" s="1206">
        <f>SUM(Q90:Q92)</f>
        <v>10.75</v>
      </c>
      <c r="R93" s="1207">
        <f>SUM(R90:R91)</f>
        <v>337562.81531440926</v>
      </c>
      <c r="T93" s="1192"/>
      <c r="U93" s="1192"/>
    </row>
    <row r="94" spans="1:21">
      <c r="B94" s="863"/>
      <c r="C94" s="862"/>
      <c r="D94" s="861"/>
      <c r="E94" s="1208"/>
      <c r="F94" s="1209"/>
      <c r="G94" s="786"/>
      <c r="H94" s="863"/>
      <c r="I94" s="862"/>
      <c r="J94" s="861"/>
      <c r="K94" s="860"/>
      <c r="L94" s="1209"/>
      <c r="N94" s="863"/>
      <c r="O94" s="862"/>
      <c r="P94" s="861"/>
      <c r="Q94" s="1208"/>
      <c r="R94" s="1209"/>
      <c r="T94" s="1192"/>
      <c r="U94" s="1192"/>
    </row>
    <row r="95" spans="1:21">
      <c r="B95" s="832" t="s">
        <v>195</v>
      </c>
      <c r="C95" s="859"/>
      <c r="D95" s="830"/>
      <c r="E95" s="858"/>
      <c r="F95" s="1210"/>
      <c r="G95" s="786"/>
      <c r="H95" s="832" t="s">
        <v>195</v>
      </c>
      <c r="I95" s="859"/>
      <c r="J95" s="830"/>
      <c r="K95" s="858"/>
      <c r="L95" s="1210"/>
      <c r="N95" s="832" t="s">
        <v>195</v>
      </c>
      <c r="O95" s="859"/>
      <c r="P95" s="830"/>
      <c r="Q95" s="858"/>
      <c r="R95" s="1210"/>
      <c r="T95" s="1192"/>
      <c r="U95" s="1192"/>
    </row>
    <row r="96" spans="1:21">
      <c r="B96" s="822" t="s">
        <v>196</v>
      </c>
      <c r="C96" s="855">
        <v>0.22</v>
      </c>
      <c r="D96" s="1211"/>
      <c r="E96" s="853"/>
      <c r="F96" s="1212">
        <f>C96*F93</f>
        <v>63003.413155550603</v>
      </c>
      <c r="G96" s="786"/>
      <c r="H96" s="822" t="s">
        <v>196</v>
      </c>
      <c r="I96" s="855">
        <f>V16</f>
        <v>0.22</v>
      </c>
      <c r="J96" s="1211"/>
      <c r="K96" s="853"/>
      <c r="L96" s="1213">
        <f>I96*L93</f>
        <v>68633.616262360316</v>
      </c>
      <c r="N96" s="822" t="s">
        <v>196</v>
      </c>
      <c r="O96" s="855">
        <f>V16</f>
        <v>0.22</v>
      </c>
      <c r="P96" s="1211"/>
      <c r="Q96" s="853"/>
      <c r="R96" s="1213">
        <f>O96*R93</f>
        <v>74263.819369170044</v>
      </c>
      <c r="T96" s="1192"/>
      <c r="U96" s="1192"/>
    </row>
    <row r="97" spans="2:21">
      <c r="B97" s="787" t="s">
        <v>198</v>
      </c>
      <c r="C97" s="848"/>
      <c r="D97" s="847"/>
      <c r="E97" s="846"/>
      <c r="F97" s="1214">
        <f>F96+F93</f>
        <v>349382.56386259879</v>
      </c>
      <c r="G97" s="786"/>
      <c r="H97" s="787" t="s">
        <v>198</v>
      </c>
      <c r="I97" s="848"/>
      <c r="J97" s="847"/>
      <c r="K97" s="846"/>
      <c r="L97" s="1214">
        <f>L96+L93</f>
        <v>380604.59927308903</v>
      </c>
      <c r="N97" s="787" t="s">
        <v>198</v>
      </c>
      <c r="O97" s="848"/>
      <c r="P97" s="847"/>
      <c r="Q97" s="846"/>
      <c r="R97" s="1214">
        <f>R96+R93</f>
        <v>411826.63468357932</v>
      </c>
      <c r="T97" s="1192"/>
      <c r="U97" s="1192"/>
    </row>
    <row r="98" spans="2:21">
      <c r="B98" s="29" t="s">
        <v>313</v>
      </c>
      <c r="C98" s="30"/>
      <c r="D98" s="16">
        <f>V10</f>
        <v>5155.4902174195804</v>
      </c>
      <c r="E98" s="841"/>
      <c r="F98" s="1203">
        <f>D98*$E$92</f>
        <v>12888.725543548951</v>
      </c>
      <c r="G98" s="786"/>
      <c r="H98" s="29" t="s">
        <v>313</v>
      </c>
      <c r="I98" s="30"/>
      <c r="J98" s="16">
        <f>V10</f>
        <v>5155.4902174195804</v>
      </c>
      <c r="K98" s="841"/>
      <c r="L98" s="1203">
        <f>J98*$K$92</f>
        <v>14177.598097903847</v>
      </c>
      <c r="N98" s="29" t="s">
        <v>313</v>
      </c>
      <c r="O98" s="30"/>
      <c r="P98" s="16">
        <f>V10</f>
        <v>5155.4902174195804</v>
      </c>
      <c r="Q98" s="841"/>
      <c r="R98" s="1203">
        <f>P98*$Q$92</f>
        <v>15466.47065225874</v>
      </c>
      <c r="T98" s="1192"/>
      <c r="U98" s="1192"/>
    </row>
    <row r="99" spans="2:21">
      <c r="B99" s="835" t="s">
        <v>673</v>
      </c>
      <c r="C99" s="821"/>
      <c r="D99" s="16">
        <f t="shared" ref="D99:D102" si="29">V11</f>
        <v>178.16741415351552</v>
      </c>
      <c r="E99" s="838"/>
      <c r="F99" s="1203">
        <f>D99*$E$92</f>
        <v>445.41853538378882</v>
      </c>
      <c r="G99" s="786"/>
      <c r="H99" s="835" t="s">
        <v>673</v>
      </c>
      <c r="I99" s="821"/>
      <c r="J99" s="16">
        <f t="shared" ref="J99:J102" si="30">V11</f>
        <v>178.16741415351552</v>
      </c>
      <c r="K99" s="838"/>
      <c r="L99" s="1203">
        <f>J99*$K$92</f>
        <v>489.96038892216768</v>
      </c>
      <c r="N99" s="835" t="s">
        <v>673</v>
      </c>
      <c r="O99" s="821"/>
      <c r="P99" s="16">
        <f t="shared" ref="P99:P102" si="31">V11</f>
        <v>178.16741415351552</v>
      </c>
      <c r="Q99" s="838"/>
      <c r="R99" s="1203">
        <f>P99*$Q$92</f>
        <v>534.50224246054654</v>
      </c>
      <c r="T99" s="1192"/>
      <c r="U99" s="1192"/>
    </row>
    <row r="100" spans="2:21">
      <c r="B100" s="822" t="s">
        <v>674</v>
      </c>
      <c r="C100" s="821"/>
      <c r="D100" s="16">
        <f t="shared" si="29"/>
        <v>1410.7821990248415</v>
      </c>
      <c r="E100" s="838"/>
      <c r="F100" s="1203">
        <f>D100*$E$92</f>
        <v>3526.9554975621036</v>
      </c>
      <c r="G100" s="786"/>
      <c r="H100" s="822" t="s">
        <v>674</v>
      </c>
      <c r="I100" s="821"/>
      <c r="J100" s="16">
        <f t="shared" si="30"/>
        <v>1410.7821990248415</v>
      </c>
      <c r="K100" s="838"/>
      <c r="L100" s="1203">
        <f>J100*$K$92</f>
        <v>3879.6510473183139</v>
      </c>
      <c r="N100" s="822" t="s">
        <v>674</v>
      </c>
      <c r="O100" s="821"/>
      <c r="P100" s="16">
        <f t="shared" si="31"/>
        <v>1410.7821990248415</v>
      </c>
      <c r="Q100" s="838"/>
      <c r="R100" s="1203">
        <f>P100*$Q$92</f>
        <v>4232.3465970745247</v>
      </c>
      <c r="T100" s="1192"/>
      <c r="U100" s="1192"/>
    </row>
    <row r="101" spans="2:21">
      <c r="B101" s="822" t="s">
        <v>685</v>
      </c>
      <c r="C101" s="821"/>
      <c r="D101" s="16">
        <f t="shared" si="29"/>
        <v>799.70498223424943</v>
      </c>
      <c r="E101" s="838"/>
      <c r="F101" s="1203">
        <f>D101*$E$92</f>
        <v>1999.2624555856237</v>
      </c>
      <c r="G101" s="786"/>
      <c r="H101" s="822" t="s">
        <v>685</v>
      </c>
      <c r="I101" s="821"/>
      <c r="J101" s="16">
        <f t="shared" si="30"/>
        <v>799.70498223424943</v>
      </c>
      <c r="K101" s="838"/>
      <c r="L101" s="1203">
        <f>J101*$K$92</f>
        <v>2199.1887011441859</v>
      </c>
      <c r="N101" s="822" t="s">
        <v>685</v>
      </c>
      <c r="O101" s="821"/>
      <c r="P101" s="16">
        <f t="shared" si="31"/>
        <v>799.70498223424943</v>
      </c>
      <c r="Q101" s="838"/>
      <c r="R101" s="1203">
        <f>P101*$Q$92</f>
        <v>2399.1149467027481</v>
      </c>
      <c r="T101" s="1192"/>
      <c r="U101" s="1192"/>
    </row>
    <row r="102" spans="2:21">
      <c r="B102" s="835" t="s">
        <v>686</v>
      </c>
      <c r="C102" s="821"/>
      <c r="D102" s="16">
        <f t="shared" si="29"/>
        <v>1572.2963237683009</v>
      </c>
      <c r="E102" s="833"/>
      <c r="F102" s="1203">
        <f>D102*$E$92</f>
        <v>3930.7408094207522</v>
      </c>
      <c r="G102" s="786"/>
      <c r="H102" s="835" t="s">
        <v>686</v>
      </c>
      <c r="I102" s="386"/>
      <c r="J102" s="16">
        <f t="shared" si="30"/>
        <v>1572.2963237683009</v>
      </c>
      <c r="K102" s="833"/>
      <c r="L102" s="1203">
        <f>J102*$K$92</f>
        <v>4323.8148903628271</v>
      </c>
      <c r="N102" s="835" t="s">
        <v>686</v>
      </c>
      <c r="O102" s="386"/>
      <c r="P102" s="16">
        <f t="shared" si="31"/>
        <v>1572.2963237683009</v>
      </c>
      <c r="Q102" s="833"/>
      <c r="R102" s="1203">
        <f>P102*$Q$92</f>
        <v>4716.888971304903</v>
      </c>
      <c r="T102" s="1192"/>
      <c r="U102" s="1192"/>
    </row>
    <row r="103" spans="2:21">
      <c r="B103" s="827"/>
      <c r="C103" s="826"/>
      <c r="D103" s="825"/>
      <c r="E103" s="824"/>
      <c r="F103" s="1219"/>
      <c r="G103" s="786"/>
      <c r="H103" s="827"/>
      <c r="I103" s="826"/>
      <c r="J103" s="825"/>
      <c r="K103" s="824"/>
      <c r="L103" s="1219"/>
      <c r="N103" s="827"/>
      <c r="O103" s="826"/>
      <c r="P103" s="825"/>
      <c r="Q103" s="824"/>
      <c r="R103" s="1219"/>
    </row>
    <row r="104" spans="2:21" ht="15" customHeight="1" thickBot="1">
      <c r="B104" s="816" t="s">
        <v>203</v>
      </c>
      <c r="C104" s="815"/>
      <c r="D104" s="814"/>
      <c r="E104" s="813"/>
      <c r="F104" s="1220">
        <f>SUM(F97:F103)</f>
        <v>372173.66670410003</v>
      </c>
      <c r="G104" s="1221"/>
      <c r="H104" s="816" t="s">
        <v>203</v>
      </c>
      <c r="I104" s="815"/>
      <c r="J104" s="814"/>
      <c r="K104" s="813"/>
      <c r="L104" s="1220">
        <f>SUM(L97:L103)</f>
        <v>405674.81239874038</v>
      </c>
      <c r="N104" s="816" t="s">
        <v>203</v>
      </c>
      <c r="O104" s="815"/>
      <c r="P104" s="814"/>
      <c r="Q104" s="813"/>
      <c r="R104" s="1220">
        <f>SUM(R97:R103)</f>
        <v>439175.95809338079</v>
      </c>
    </row>
    <row r="105" spans="2:21" ht="15.75" thickTop="1">
      <c r="B105" s="2769" t="s">
        <v>315</v>
      </c>
      <c r="C105" s="890">
        <f>C77</f>
        <v>0.11</v>
      </c>
      <c r="D105" s="830"/>
      <c r="E105" s="829"/>
      <c r="F105" s="1210">
        <f>C105*F104</f>
        <v>40939.103337451001</v>
      </c>
      <c r="G105" s="1221"/>
      <c r="H105" s="2769" t="s">
        <v>315</v>
      </c>
      <c r="I105" s="890">
        <f>I77</f>
        <v>0.11</v>
      </c>
      <c r="J105" s="830"/>
      <c r="K105" s="829"/>
      <c r="L105" s="1210">
        <f>I105*L104</f>
        <v>44624.229363861443</v>
      </c>
      <c r="N105" s="2769" t="s">
        <v>315</v>
      </c>
      <c r="O105" s="890">
        <f>O77</f>
        <v>0.11</v>
      </c>
      <c r="P105" s="830"/>
      <c r="Q105" s="829"/>
      <c r="R105" s="1210">
        <f>O105*R104</f>
        <v>48309.355390271885</v>
      </c>
    </row>
    <row r="106" spans="2:21">
      <c r="B106" s="2771" t="s">
        <v>653</v>
      </c>
      <c r="C106" s="2811">
        <f>C78</f>
        <v>6.3E-3</v>
      </c>
      <c r="D106" s="830"/>
      <c r="E106" s="829"/>
      <c r="F106" s="1210">
        <f>C106*F93</f>
        <v>1804.1886494544035</v>
      </c>
      <c r="G106" s="1221"/>
      <c r="H106" s="2771" t="s">
        <v>653</v>
      </c>
      <c r="I106" s="2811">
        <f>I78</f>
        <v>6.3E-3</v>
      </c>
      <c r="J106" s="830"/>
      <c r="K106" s="829"/>
      <c r="L106" s="1210">
        <f>I106*L93</f>
        <v>1965.4171929675911</v>
      </c>
      <c r="N106" s="2771" t="s">
        <v>653</v>
      </c>
      <c r="O106" s="2811">
        <f>O78</f>
        <v>6.3E-3</v>
      </c>
      <c r="P106" s="830"/>
      <c r="Q106" s="829"/>
      <c r="R106" s="1210">
        <f>O106*R93</f>
        <v>2126.6457364807784</v>
      </c>
    </row>
    <row r="107" spans="2:21" ht="15.75" thickBot="1">
      <c r="B107" s="2807"/>
      <c r="C107" s="2812"/>
      <c r="D107" s="830"/>
      <c r="E107" s="829"/>
      <c r="F107" s="2824">
        <f>C107*(F98+F99+F100+F101+F102)</f>
        <v>0</v>
      </c>
      <c r="G107" s="1221"/>
      <c r="H107" s="2807"/>
      <c r="I107" s="2812"/>
      <c r="J107" s="830"/>
      <c r="K107" s="829"/>
      <c r="L107" s="2824">
        <f>I107*(L98+L99+L100+L101+L102)</f>
        <v>0</v>
      </c>
      <c r="N107" s="2807"/>
      <c r="O107" s="2812"/>
      <c r="P107" s="830"/>
      <c r="Q107" s="829"/>
      <c r="R107" s="2824">
        <f>O107*(R98+R99+R100+R101+R102)</f>
        <v>0</v>
      </c>
    </row>
    <row r="108" spans="2:21">
      <c r="B108" s="2807"/>
      <c r="C108" s="2812"/>
      <c r="D108" s="830"/>
      <c r="E108" s="829"/>
      <c r="F108" s="2813">
        <f>SUM(F104:F107)</f>
        <v>414916.95869100542</v>
      </c>
      <c r="G108" s="1221"/>
      <c r="H108" s="2807"/>
      <c r="I108" s="2812"/>
      <c r="J108" s="830"/>
      <c r="K108" s="829"/>
      <c r="L108" s="2813">
        <f>SUM(L104:L107)</f>
        <v>452264.45895556943</v>
      </c>
      <c r="N108" s="2807"/>
      <c r="O108" s="2812"/>
      <c r="P108" s="830"/>
      <c r="Q108" s="829"/>
      <c r="R108" s="2813">
        <f>SUM(R104:R107)</f>
        <v>489611.95922013343</v>
      </c>
    </row>
    <row r="109" spans="2:21">
      <c r="B109" s="832" t="s">
        <v>205</v>
      </c>
      <c r="C109" s="890">
        <f>V20</f>
        <v>1.8120393120392975E-2</v>
      </c>
      <c r="D109" s="830"/>
      <c r="E109" s="829"/>
      <c r="F109" s="2813">
        <f>C109*F108</f>
        <v>7518.4584037988707</v>
      </c>
      <c r="G109" s="1221"/>
      <c r="H109" s="832" t="s">
        <v>205</v>
      </c>
      <c r="I109" s="890">
        <f>V20</f>
        <v>1.8120393120392975E-2</v>
      </c>
      <c r="J109" s="830"/>
      <c r="K109" s="829"/>
      <c r="L109" s="2813">
        <f>I109*L108</f>
        <v>8195.2097906567506</v>
      </c>
      <c r="N109" s="832" t="s">
        <v>205</v>
      </c>
      <c r="O109" s="890">
        <f>AF61</f>
        <v>1.8120393120392975E-2</v>
      </c>
      <c r="P109" s="830"/>
      <c r="Q109" s="829"/>
      <c r="R109" s="2813">
        <f>O109*R108</f>
        <v>8871.9611775146313</v>
      </c>
    </row>
    <row r="110" spans="2:21" ht="15.75" thickBot="1">
      <c r="D110" s="830"/>
      <c r="E110" s="829"/>
      <c r="F110" s="1220">
        <f>SUM(F108:F109)</f>
        <v>422435.41709480429</v>
      </c>
      <c r="G110" s="1221"/>
      <c r="J110" s="830"/>
      <c r="K110" s="829"/>
      <c r="L110" s="1220">
        <f>SUM(L108:L109)</f>
        <v>460459.66874622618</v>
      </c>
      <c r="P110" s="830"/>
      <c r="Q110" s="829"/>
      <c r="R110" s="1220">
        <f>SUM(R108:R109)</f>
        <v>498483.92039764806</v>
      </c>
    </row>
    <row r="111" spans="2:21" ht="16.5" thickTop="1" thickBot="1">
      <c r="B111" s="832"/>
      <c r="C111" s="890"/>
      <c r="D111" s="830"/>
      <c r="E111" s="829"/>
      <c r="F111" s="2825"/>
      <c r="G111" s="1221"/>
      <c r="H111" s="832"/>
      <c r="I111" s="890"/>
      <c r="J111" s="830"/>
      <c r="K111" s="829"/>
      <c r="L111" s="2825"/>
      <c r="N111" s="832"/>
      <c r="O111" s="890"/>
      <c r="P111" s="830"/>
      <c r="Q111" s="829"/>
      <c r="R111" s="2825"/>
    </row>
    <row r="112" spans="2:21" ht="15.75" customHeight="1" thickTop="1" thickBot="1">
      <c r="B112" s="798" t="s">
        <v>318</v>
      </c>
      <c r="C112" s="811"/>
      <c r="D112" s="811"/>
      <c r="E112" s="811"/>
      <c r="F112" s="1266">
        <f>F110/12</f>
        <v>35202.951424567022</v>
      </c>
      <c r="G112" s="1221"/>
      <c r="H112" s="798" t="s">
        <v>318</v>
      </c>
      <c r="I112" s="811"/>
      <c r="J112" s="811"/>
      <c r="K112" s="811"/>
      <c r="L112" s="1266">
        <f>L110/12</f>
        <v>38371.639062185517</v>
      </c>
      <c r="N112" s="798" t="s">
        <v>318</v>
      </c>
      <c r="O112" s="811"/>
      <c r="P112" s="811"/>
      <c r="Q112" s="811"/>
      <c r="R112" s="1266">
        <f>R110/12</f>
        <v>41540.326699804005</v>
      </c>
    </row>
    <row r="113" spans="2:21">
      <c r="B113" s="1231"/>
      <c r="C113" s="1231"/>
      <c r="D113" s="1231"/>
      <c r="E113" s="1231"/>
      <c r="F113" s="1232">
        <v>34374.79</v>
      </c>
      <c r="G113" s="1221"/>
      <c r="H113" s="1233"/>
      <c r="I113" s="1234"/>
      <c r="J113" s="1233"/>
      <c r="K113" s="1233"/>
      <c r="L113" s="1232">
        <v>37548.949999999997</v>
      </c>
      <c r="M113" s="1230"/>
      <c r="N113" s="1233"/>
      <c r="O113" s="1234"/>
      <c r="P113" s="1233"/>
      <c r="Q113" s="1233"/>
      <c r="R113" s="1232">
        <v>40689.879999999997</v>
      </c>
      <c r="T113" s="1192"/>
      <c r="U113" s="1192"/>
    </row>
    <row r="114" spans="2:21">
      <c r="B114" s="1231"/>
      <c r="C114" s="1231"/>
      <c r="D114" s="1231"/>
      <c r="E114" s="1231"/>
      <c r="F114" s="1529">
        <f>(F112-F113)/F112</f>
        <v>2.3525340661893285E-2</v>
      </c>
      <c r="G114" s="1529"/>
      <c r="H114" s="1529"/>
      <c r="I114" s="1529"/>
      <c r="J114" s="1529"/>
      <c r="K114" s="1529"/>
      <c r="L114" s="1529">
        <f t="shared" ref="L114:R114" si="32">(L112-L113)/L112</f>
        <v>2.1440029206265095E-2</v>
      </c>
      <c r="M114" s="1529"/>
      <c r="N114" s="1529"/>
      <c r="O114" s="1529"/>
      <c r="P114" s="1529"/>
      <c r="Q114" s="1529"/>
      <c r="R114" s="1529">
        <f t="shared" si="32"/>
        <v>2.0472797576915072E-2</v>
      </c>
      <c r="T114" s="1192"/>
      <c r="U114" s="1192"/>
    </row>
    <row r="115" spans="2:21" ht="15.75" thickBot="1">
      <c r="B115" s="1231"/>
      <c r="C115" s="1231"/>
      <c r="D115" s="1231"/>
      <c r="E115" s="1231"/>
      <c r="F115" s="1232"/>
      <c r="G115" s="1221"/>
      <c r="H115" s="1233"/>
      <c r="I115" s="1234"/>
      <c r="J115" s="1233"/>
      <c r="K115" s="1233"/>
      <c r="L115" s="1232"/>
      <c r="M115" s="1230"/>
      <c r="N115" s="1233"/>
      <c r="O115" s="1234"/>
      <c r="P115" s="1233"/>
      <c r="Q115" s="1233"/>
      <c r="R115" s="1232"/>
      <c r="T115" s="1192"/>
      <c r="U115" s="1192"/>
    </row>
    <row r="116" spans="2:21">
      <c r="B116" s="3145" t="s">
        <v>1039</v>
      </c>
      <c r="C116" s="3146"/>
      <c r="D116" s="3146"/>
      <c r="E116" s="3146"/>
      <c r="F116" s="3147"/>
      <c r="G116" s="786"/>
      <c r="H116" s="3145" t="s">
        <v>1040</v>
      </c>
      <c r="I116" s="3146"/>
      <c r="J116" s="3146"/>
      <c r="K116" s="3146"/>
      <c r="L116" s="3147"/>
      <c r="N116" s="3145" t="s">
        <v>1041</v>
      </c>
      <c r="O116" s="3146"/>
      <c r="P116" s="3146"/>
      <c r="Q116" s="3146"/>
      <c r="R116" s="3147"/>
      <c r="T116" s="1192"/>
      <c r="U116" s="1192"/>
    </row>
    <row r="117" spans="2:21" ht="30">
      <c r="B117" s="832"/>
      <c r="C117" s="1196" t="s">
        <v>311</v>
      </c>
      <c r="D117" s="1197" t="s">
        <v>342</v>
      </c>
      <c r="E117" s="1198" t="s">
        <v>190</v>
      </c>
      <c r="F117" s="1199" t="s">
        <v>343</v>
      </c>
      <c r="G117" s="786"/>
      <c r="H117" s="832"/>
      <c r="I117" s="1196" t="s">
        <v>311</v>
      </c>
      <c r="J117" s="1197" t="s">
        <v>342</v>
      </c>
      <c r="K117" s="1198" t="s">
        <v>190</v>
      </c>
      <c r="L117" s="1199" t="s">
        <v>343</v>
      </c>
      <c r="N117" s="832"/>
      <c r="O117" s="1196" t="s">
        <v>311</v>
      </c>
      <c r="P117" s="1197" t="s">
        <v>342</v>
      </c>
      <c r="Q117" s="1198" t="s">
        <v>190</v>
      </c>
      <c r="R117" s="1199" t="s">
        <v>343</v>
      </c>
      <c r="T117" s="1192"/>
      <c r="U117" s="1192"/>
    </row>
    <row r="118" spans="2:21">
      <c r="B118" s="15" t="s">
        <v>191</v>
      </c>
      <c r="C118" s="16"/>
      <c r="D118" s="871">
        <f>V6</f>
        <v>55383.32303680529</v>
      </c>
      <c r="E118" s="1202">
        <f>U38</f>
        <v>1.85</v>
      </c>
      <c r="F118" s="1203">
        <f>D118*E118</f>
        <v>102459.14761808979</v>
      </c>
      <c r="G118" s="786"/>
      <c r="H118" s="15" t="s">
        <v>191</v>
      </c>
      <c r="I118" s="16"/>
      <c r="J118" s="871">
        <f>V6</f>
        <v>55383.32303680529</v>
      </c>
      <c r="K118" s="1202">
        <f>U39</f>
        <v>1.95</v>
      </c>
      <c r="L118" s="1203">
        <f>J118*K118</f>
        <v>107997.47992177031</v>
      </c>
      <c r="N118" s="15" t="s">
        <v>191</v>
      </c>
      <c r="O118" s="16"/>
      <c r="P118" s="871">
        <f>V6</f>
        <v>55383.32303680529</v>
      </c>
      <c r="Q118" s="1202">
        <f>U40</f>
        <v>2.0499999999999998</v>
      </c>
      <c r="R118" s="1203">
        <f>P118*Q118</f>
        <v>113535.81222545083</v>
      </c>
      <c r="T118" s="1192"/>
      <c r="U118" s="1192"/>
    </row>
    <row r="119" spans="2:21">
      <c r="B119" s="18" t="s">
        <v>466</v>
      </c>
      <c r="C119" s="749"/>
      <c r="D119" s="871">
        <f>V7</f>
        <v>40107</v>
      </c>
      <c r="E119" s="1204">
        <f>T38</f>
        <v>6.5</v>
      </c>
      <c r="F119" s="1203">
        <f t="shared" ref="F119:F120" si="33">D119*E119</f>
        <v>260695.5</v>
      </c>
      <c r="G119" s="786"/>
      <c r="H119" s="18" t="s">
        <v>466</v>
      </c>
      <c r="I119" s="749"/>
      <c r="J119" s="871">
        <f>V7</f>
        <v>40107</v>
      </c>
      <c r="K119" s="1204">
        <f>T39</f>
        <v>7</v>
      </c>
      <c r="L119" s="1203">
        <f t="shared" ref="L119:L120" si="34">J119*K119</f>
        <v>280749</v>
      </c>
      <c r="N119" s="18" t="s">
        <v>466</v>
      </c>
      <c r="O119" s="749"/>
      <c r="P119" s="871">
        <f>V7</f>
        <v>40107</v>
      </c>
      <c r="Q119" s="1204">
        <f>T40</f>
        <v>7.5</v>
      </c>
      <c r="R119" s="1203">
        <f t="shared" ref="R119:R120" si="35">P119*Q119</f>
        <v>300802.5</v>
      </c>
      <c r="T119" s="1192"/>
      <c r="U119" s="1192"/>
    </row>
    <row r="120" spans="2:21">
      <c r="B120" s="18" t="s">
        <v>641</v>
      </c>
      <c r="C120" s="749"/>
      <c r="D120" s="871">
        <f>V8</f>
        <v>31200</v>
      </c>
      <c r="E120" s="1204">
        <f>V38</f>
        <v>3.25</v>
      </c>
      <c r="F120" s="1203">
        <f t="shared" si="33"/>
        <v>101400</v>
      </c>
      <c r="G120" s="786"/>
      <c r="H120" s="18" t="s">
        <v>641</v>
      </c>
      <c r="I120" s="749"/>
      <c r="J120" s="871">
        <f>V8</f>
        <v>31200</v>
      </c>
      <c r="K120" s="1204">
        <f>V39</f>
        <v>3.5</v>
      </c>
      <c r="L120" s="1203">
        <f t="shared" si="34"/>
        <v>109200</v>
      </c>
      <c r="N120" s="18" t="s">
        <v>641</v>
      </c>
      <c r="O120" s="749"/>
      <c r="P120" s="871">
        <f>V8</f>
        <v>31200</v>
      </c>
      <c r="Q120" s="1204">
        <f>V40</f>
        <v>3.75</v>
      </c>
      <c r="R120" s="1203">
        <f t="shared" si="35"/>
        <v>117000</v>
      </c>
      <c r="T120" s="1192"/>
      <c r="U120" s="1192"/>
    </row>
    <row r="121" spans="2:21">
      <c r="B121" s="868" t="s">
        <v>194</v>
      </c>
      <c r="C121" s="867"/>
      <c r="D121" s="866"/>
      <c r="E121" s="1206">
        <f>SUM(E118:E120)</f>
        <v>11.6</v>
      </c>
      <c r="F121" s="1207">
        <f>SUM(F118:F119)</f>
        <v>363154.6476180898</v>
      </c>
      <c r="G121" s="786"/>
      <c r="H121" s="868" t="s">
        <v>194</v>
      </c>
      <c r="I121" s="867"/>
      <c r="J121" s="866"/>
      <c r="K121" s="1206">
        <f>SUM(K118:K120)</f>
        <v>12.45</v>
      </c>
      <c r="L121" s="1207">
        <f>SUM(L118:L119)</f>
        <v>388746.47992177028</v>
      </c>
      <c r="N121" s="868" t="s">
        <v>194</v>
      </c>
      <c r="O121" s="867"/>
      <c r="P121" s="866"/>
      <c r="Q121" s="1206">
        <f>SUM(Q118:Q120)</f>
        <v>13.3</v>
      </c>
      <c r="R121" s="1207">
        <f>SUM(R118:R119)</f>
        <v>414338.31222545082</v>
      </c>
      <c r="T121" s="1192"/>
      <c r="U121" s="1192"/>
    </row>
    <row r="122" spans="2:21">
      <c r="B122" s="863"/>
      <c r="C122" s="862"/>
      <c r="D122" s="861"/>
      <c r="E122" s="1208"/>
      <c r="F122" s="1209"/>
      <c r="G122" s="786"/>
      <c r="H122" s="863"/>
      <c r="I122" s="862"/>
      <c r="J122" s="861"/>
      <c r="K122" s="860"/>
      <c r="L122" s="1209"/>
      <c r="N122" s="863"/>
      <c r="O122" s="862"/>
      <c r="P122" s="861"/>
      <c r="Q122" s="1208"/>
      <c r="R122" s="1209"/>
    </row>
    <row r="123" spans="2:21">
      <c r="B123" s="832" t="s">
        <v>195</v>
      </c>
      <c r="C123" s="859"/>
      <c r="D123" s="830"/>
      <c r="E123" s="858"/>
      <c r="F123" s="1210"/>
      <c r="G123" s="786"/>
      <c r="H123" s="832" t="s">
        <v>195</v>
      </c>
      <c r="I123" s="859"/>
      <c r="J123" s="830"/>
      <c r="K123" s="858"/>
      <c r="L123" s="1210"/>
      <c r="N123" s="832" t="s">
        <v>195</v>
      </c>
      <c r="O123" s="859"/>
      <c r="P123" s="830"/>
      <c r="Q123" s="858"/>
      <c r="R123" s="1210"/>
    </row>
    <row r="124" spans="2:21" ht="15" customHeight="1">
      <c r="B124" s="822" t="s">
        <v>196</v>
      </c>
      <c r="C124" s="855">
        <f>V16</f>
        <v>0.22</v>
      </c>
      <c r="D124" s="1211"/>
      <c r="E124" s="853"/>
      <c r="F124" s="1212">
        <f>C124*F121</f>
        <v>79894.022475979757</v>
      </c>
      <c r="G124" s="786"/>
      <c r="H124" s="822" t="s">
        <v>196</v>
      </c>
      <c r="I124" s="855">
        <f>V16</f>
        <v>0.22</v>
      </c>
      <c r="J124" s="1211"/>
      <c r="K124" s="853"/>
      <c r="L124" s="1213">
        <f>I124*L121</f>
        <v>85524.22558278947</v>
      </c>
      <c r="N124" s="822" t="s">
        <v>196</v>
      </c>
      <c r="O124" s="855">
        <f>V16</f>
        <v>0.22</v>
      </c>
      <c r="P124" s="1211"/>
      <c r="Q124" s="853"/>
      <c r="R124" s="1213">
        <f>O124*R121</f>
        <v>91154.428689599183</v>
      </c>
    </row>
    <row r="125" spans="2:21">
      <c r="B125" s="787" t="s">
        <v>198</v>
      </c>
      <c r="C125" s="848"/>
      <c r="D125" s="847"/>
      <c r="E125" s="846"/>
      <c r="F125" s="1214">
        <f>F121+F124</f>
        <v>443048.67009406956</v>
      </c>
      <c r="G125" s="786"/>
      <c r="H125" s="787" t="s">
        <v>198</v>
      </c>
      <c r="I125" s="848"/>
      <c r="J125" s="847"/>
      <c r="K125" s="846"/>
      <c r="L125" s="1214">
        <f>L121+L124</f>
        <v>474270.70550455974</v>
      </c>
      <c r="N125" s="787" t="s">
        <v>198</v>
      </c>
      <c r="O125" s="848"/>
      <c r="P125" s="847"/>
      <c r="Q125" s="846"/>
      <c r="R125" s="1214">
        <f>R124+R121</f>
        <v>505492.74091505003</v>
      </c>
    </row>
    <row r="126" spans="2:21">
      <c r="B126" s="29" t="s">
        <v>313</v>
      </c>
      <c r="C126" s="30"/>
      <c r="D126" s="16">
        <f>V10</f>
        <v>5155.4902174195804</v>
      </c>
      <c r="E126" s="841"/>
      <c r="F126" s="1203">
        <f>D126*$E$120</f>
        <v>16755.343206613637</v>
      </c>
      <c r="G126" s="786"/>
      <c r="H126" s="29" t="s">
        <v>313</v>
      </c>
      <c r="I126" s="30"/>
      <c r="J126" s="16">
        <f>V10</f>
        <v>5155.4902174195804</v>
      </c>
      <c r="K126" s="841"/>
      <c r="L126" s="1203">
        <f>J126*$K$120</f>
        <v>18044.215760968531</v>
      </c>
      <c r="N126" s="29" t="s">
        <v>313</v>
      </c>
      <c r="O126" s="30"/>
      <c r="P126" s="16">
        <f>V10</f>
        <v>5155.4902174195804</v>
      </c>
      <c r="Q126" s="841"/>
      <c r="R126" s="1203">
        <f>P126*$Q$120</f>
        <v>19333.088315323428</v>
      </c>
    </row>
    <row r="127" spans="2:21">
      <c r="B127" s="835" t="s">
        <v>673</v>
      </c>
      <c r="C127" s="821"/>
      <c r="D127" s="16">
        <f t="shared" ref="D127:D130" si="36">V11</f>
        <v>178.16741415351552</v>
      </c>
      <c r="E127" s="838"/>
      <c r="F127" s="1203">
        <f>D127*$E$120</f>
        <v>579.0440959989254</v>
      </c>
      <c r="G127" s="786"/>
      <c r="H127" s="835" t="s">
        <v>673</v>
      </c>
      <c r="I127" s="821"/>
      <c r="J127" s="16">
        <f t="shared" ref="J127:J130" si="37">V11</f>
        <v>178.16741415351552</v>
      </c>
      <c r="K127" s="838"/>
      <c r="L127" s="1203">
        <f>J127*$K$120</f>
        <v>623.58594953730437</v>
      </c>
      <c r="N127" s="835" t="s">
        <v>673</v>
      </c>
      <c r="O127" s="821"/>
      <c r="P127" s="16">
        <f t="shared" ref="P127:P130" si="38">V11</f>
        <v>178.16741415351552</v>
      </c>
      <c r="Q127" s="838"/>
      <c r="R127" s="1203">
        <f>P127*$Q$120</f>
        <v>668.12780307568323</v>
      </c>
    </row>
    <row r="128" spans="2:21">
      <c r="B128" s="822" t="s">
        <v>674</v>
      </c>
      <c r="C128" s="821"/>
      <c r="D128" s="16">
        <f t="shared" si="36"/>
        <v>1410.7821990248415</v>
      </c>
      <c r="E128" s="838"/>
      <c r="F128" s="1203">
        <f>D128*$E$120</f>
        <v>4585.042146830735</v>
      </c>
      <c r="G128" s="786"/>
      <c r="H128" s="822" t="s">
        <v>674</v>
      </c>
      <c r="I128" s="821"/>
      <c r="J128" s="16">
        <f t="shared" si="37"/>
        <v>1410.7821990248415</v>
      </c>
      <c r="K128" s="838"/>
      <c r="L128" s="1203">
        <f>J128*$K$120</f>
        <v>4937.7376965869453</v>
      </c>
      <c r="N128" s="822" t="s">
        <v>674</v>
      </c>
      <c r="O128" s="821"/>
      <c r="P128" s="16">
        <f t="shared" si="38"/>
        <v>1410.7821990248415</v>
      </c>
      <c r="Q128" s="838"/>
      <c r="R128" s="1203">
        <f>P128*$Q$120</f>
        <v>5290.4332463431556</v>
      </c>
    </row>
    <row r="129" spans="2:18">
      <c r="B129" s="822" t="s">
        <v>685</v>
      </c>
      <c r="C129" s="821"/>
      <c r="D129" s="16">
        <f t="shared" si="36"/>
        <v>799.70498223424943</v>
      </c>
      <c r="E129" s="838"/>
      <c r="F129" s="1203">
        <f>D129*$E$120</f>
        <v>2599.0411922613107</v>
      </c>
      <c r="G129" s="786"/>
      <c r="H129" s="822" t="s">
        <v>685</v>
      </c>
      <c r="I129" s="821"/>
      <c r="J129" s="16">
        <f t="shared" si="37"/>
        <v>799.70498223424943</v>
      </c>
      <c r="K129" s="838"/>
      <c r="L129" s="1203">
        <f>J129*$K$120</f>
        <v>2798.9674378198729</v>
      </c>
      <c r="N129" s="822" t="s">
        <v>685</v>
      </c>
      <c r="O129" s="821"/>
      <c r="P129" s="16">
        <f t="shared" si="38"/>
        <v>799.70498223424943</v>
      </c>
      <c r="Q129" s="838"/>
      <c r="R129" s="1203">
        <f>P129*$Q$120</f>
        <v>2998.8936833784355</v>
      </c>
    </row>
    <row r="130" spans="2:18">
      <c r="B130" s="835" t="s">
        <v>686</v>
      </c>
      <c r="C130" s="386"/>
      <c r="D130" s="16">
        <f t="shared" si="36"/>
        <v>1572.2963237683009</v>
      </c>
      <c r="E130" s="833"/>
      <c r="F130" s="1203">
        <f>D130*$E$120</f>
        <v>5109.9630522469779</v>
      </c>
      <c r="G130" s="786"/>
      <c r="H130" s="835" t="s">
        <v>686</v>
      </c>
      <c r="I130" s="386"/>
      <c r="J130" s="16">
        <f t="shared" si="37"/>
        <v>1572.2963237683009</v>
      </c>
      <c r="K130" s="833"/>
      <c r="L130" s="1203">
        <f>J130*$K$120</f>
        <v>5503.0371331890528</v>
      </c>
      <c r="N130" s="835" t="s">
        <v>686</v>
      </c>
      <c r="O130" s="386"/>
      <c r="P130" s="16">
        <f t="shared" si="38"/>
        <v>1572.2963237683009</v>
      </c>
      <c r="Q130" s="833"/>
      <c r="R130" s="1203">
        <f>P130*$Q$120</f>
        <v>5896.1112141311287</v>
      </c>
    </row>
    <row r="131" spans="2:18">
      <c r="B131" s="827"/>
      <c r="C131" s="826"/>
      <c r="D131" s="825"/>
      <c r="E131" s="824"/>
      <c r="F131" s="1219"/>
      <c r="G131" s="786"/>
      <c r="H131" s="827"/>
      <c r="I131" s="826"/>
      <c r="J131" s="825"/>
      <c r="K131" s="824"/>
      <c r="L131" s="1219"/>
      <c r="N131" s="827"/>
      <c r="O131" s="826"/>
      <c r="P131" s="825"/>
      <c r="Q131" s="824"/>
      <c r="R131" s="1219"/>
    </row>
    <row r="132" spans="2:18" ht="15" customHeight="1" thickBot="1">
      <c r="B132" s="816" t="s">
        <v>203</v>
      </c>
      <c r="C132" s="815"/>
      <c r="D132" s="814"/>
      <c r="E132" s="813"/>
      <c r="F132" s="1220">
        <f>SUM(F125:F131)</f>
        <v>472677.10378802114</v>
      </c>
      <c r="G132" s="1221"/>
      <c r="H132" s="816" t="s">
        <v>203</v>
      </c>
      <c r="I132" s="815"/>
      <c r="J132" s="814"/>
      <c r="K132" s="813"/>
      <c r="L132" s="1220">
        <f>SUM(L125:L131)</f>
        <v>506178.24948266137</v>
      </c>
      <c r="N132" s="816" t="s">
        <v>203</v>
      </c>
      <c r="O132" s="815"/>
      <c r="P132" s="814"/>
      <c r="Q132" s="813"/>
      <c r="R132" s="1220">
        <f>SUM(R125:R131)</f>
        <v>539679.39517730195</v>
      </c>
    </row>
    <row r="133" spans="2:18" ht="15.75" thickTop="1">
      <c r="B133" s="2769" t="s">
        <v>315</v>
      </c>
      <c r="C133" s="890">
        <f>C105</f>
        <v>0.11</v>
      </c>
      <c r="D133" s="830"/>
      <c r="E133" s="829"/>
      <c r="F133" s="1210">
        <f>C133*F132</f>
        <v>51994.481416682327</v>
      </c>
      <c r="G133" s="1221"/>
      <c r="H133" s="2769" t="s">
        <v>315</v>
      </c>
      <c r="I133" s="890">
        <f>I105</f>
        <v>0.11</v>
      </c>
      <c r="J133" s="830"/>
      <c r="K133" s="829"/>
      <c r="L133" s="1210">
        <f>I133*L132</f>
        <v>55679.607443092747</v>
      </c>
      <c r="N133" s="2769" t="s">
        <v>315</v>
      </c>
      <c r="O133" s="890">
        <f>O105</f>
        <v>0.11</v>
      </c>
      <c r="P133" s="830"/>
      <c r="Q133" s="829"/>
      <c r="R133" s="1210">
        <f>O133*R132</f>
        <v>59364.733469503211</v>
      </c>
    </row>
    <row r="134" spans="2:18">
      <c r="B134" s="2771" t="s">
        <v>653</v>
      </c>
      <c r="C134" s="2811">
        <f>C106</f>
        <v>6.3E-3</v>
      </c>
      <c r="D134" s="830"/>
      <c r="E134" s="829"/>
      <c r="F134" s="1210">
        <f>C134*F121</f>
        <v>2287.874279993966</v>
      </c>
      <c r="G134" s="1221"/>
      <c r="H134" s="2771" t="s">
        <v>653</v>
      </c>
      <c r="I134" s="2811">
        <f>I106</f>
        <v>6.3E-3</v>
      </c>
      <c r="J134" s="830"/>
      <c r="K134" s="829"/>
      <c r="L134" s="1210">
        <f>I134*L121</f>
        <v>2449.1028235071526</v>
      </c>
      <c r="N134" s="2771" t="s">
        <v>653</v>
      </c>
      <c r="O134" s="2811">
        <f>O106</f>
        <v>6.3E-3</v>
      </c>
      <c r="P134" s="830"/>
      <c r="Q134" s="829"/>
      <c r="R134" s="1210">
        <f>O134*R121</f>
        <v>2610.3313670203402</v>
      </c>
    </row>
    <row r="135" spans="2:18" ht="15.75" thickBot="1">
      <c r="B135" s="2807"/>
      <c r="C135" s="2812"/>
      <c r="D135" s="830"/>
      <c r="E135" s="829"/>
      <c r="F135" s="2824">
        <f>C135*(F126+F127+F128+F129+F130)</f>
        <v>0</v>
      </c>
      <c r="G135" s="1221"/>
      <c r="H135" s="2807"/>
      <c r="I135" s="2812"/>
      <c r="J135" s="830"/>
      <c r="K135" s="829"/>
      <c r="L135" s="2824">
        <f>I135*(L126+L127+L128+L129+L130)</f>
        <v>0</v>
      </c>
      <c r="N135" s="2807"/>
      <c r="O135" s="2812"/>
      <c r="P135" s="830"/>
      <c r="Q135" s="829"/>
      <c r="R135" s="2824">
        <f>O135*(R126+R127+R128+R129+R130)</f>
        <v>0</v>
      </c>
    </row>
    <row r="136" spans="2:18">
      <c r="B136" s="2807"/>
      <c r="C136" s="2812"/>
      <c r="D136" s="830"/>
      <c r="E136" s="829"/>
      <c r="F136" s="2813">
        <f>SUM(F132:F135)</f>
        <v>526959.45948469744</v>
      </c>
      <c r="G136" s="1221"/>
      <c r="H136" s="2807"/>
      <c r="I136" s="2812"/>
      <c r="J136" s="830"/>
      <c r="K136" s="829"/>
      <c r="L136" s="2813">
        <f>SUM(L132:L135)</f>
        <v>564306.95974926127</v>
      </c>
      <c r="N136" s="2807"/>
      <c r="O136" s="2812"/>
      <c r="P136" s="830"/>
      <c r="Q136" s="829"/>
      <c r="R136" s="2813">
        <f>SUM(R132:R135)</f>
        <v>601654.46001382556</v>
      </c>
    </row>
    <row r="137" spans="2:18">
      <c r="B137" s="832" t="s">
        <v>205</v>
      </c>
      <c r="C137" s="890">
        <f>$V$20</f>
        <v>1.8120393120392975E-2</v>
      </c>
      <c r="D137" s="830"/>
      <c r="E137" s="829"/>
      <c r="F137" s="2813">
        <f>C137*F136</f>
        <v>9548.7125643725121</v>
      </c>
      <c r="G137" s="1221"/>
      <c r="H137" s="832" t="s">
        <v>205</v>
      </c>
      <c r="I137" s="890">
        <f>$V$20</f>
        <v>1.8120393120392975E-2</v>
      </c>
      <c r="J137" s="830"/>
      <c r="K137" s="829"/>
      <c r="L137" s="2813">
        <f>I137*L136</f>
        <v>10225.463951230389</v>
      </c>
      <c r="N137" s="832" t="s">
        <v>205</v>
      </c>
      <c r="O137" s="890">
        <f>$V$20</f>
        <v>1.8120393120392975E-2</v>
      </c>
      <c r="P137" s="830"/>
      <c r="Q137" s="829"/>
      <c r="R137" s="2813">
        <f>O137*R136</f>
        <v>10902.215338088276</v>
      </c>
    </row>
    <row r="138" spans="2:18" ht="15.75" thickBot="1">
      <c r="D138" s="830"/>
      <c r="E138" s="829"/>
      <c r="F138" s="1220">
        <f>SUM(F136:F137)</f>
        <v>536508.17204906989</v>
      </c>
      <c r="G138" s="1221"/>
      <c r="J138" s="830"/>
      <c r="K138" s="829"/>
      <c r="L138" s="1220">
        <f>SUM(L136:L137)</f>
        <v>574532.42370049166</v>
      </c>
      <c r="P138" s="830"/>
      <c r="Q138" s="829"/>
      <c r="R138" s="1220">
        <f>SUM(R136:R137)</f>
        <v>612556.67535191379</v>
      </c>
    </row>
    <row r="139" spans="2:18" ht="16.5" thickTop="1" thickBot="1">
      <c r="B139" s="832"/>
      <c r="C139" s="890"/>
      <c r="D139" s="830"/>
      <c r="E139" s="829"/>
      <c r="F139" s="2825"/>
      <c r="G139" s="1221"/>
      <c r="H139" s="832"/>
      <c r="I139" s="890"/>
      <c r="J139" s="830"/>
      <c r="K139" s="829"/>
      <c r="L139" s="2825"/>
      <c r="N139" s="832"/>
      <c r="O139" s="890"/>
      <c r="P139" s="830"/>
      <c r="Q139" s="829"/>
      <c r="R139" s="2825"/>
    </row>
    <row r="140" spans="2:18" ht="16.5" thickTop="1" thickBot="1">
      <c r="B140" s="798" t="s">
        <v>318</v>
      </c>
      <c r="C140" s="811"/>
      <c r="D140" s="811"/>
      <c r="E140" s="811"/>
      <c r="F140" s="1266">
        <f>F138/12</f>
        <v>44709.014337422494</v>
      </c>
      <c r="G140" s="1221"/>
      <c r="H140" s="798" t="s">
        <v>318</v>
      </c>
      <c r="I140" s="811"/>
      <c r="J140" s="811"/>
      <c r="K140" s="811"/>
      <c r="L140" s="1266">
        <f>L138/12</f>
        <v>47877.701975040975</v>
      </c>
      <c r="N140" s="798" t="s">
        <v>318</v>
      </c>
      <c r="O140" s="811"/>
      <c r="P140" s="811"/>
      <c r="Q140" s="811"/>
      <c r="R140" s="1266">
        <f>R138/12</f>
        <v>51046.389612659485</v>
      </c>
    </row>
    <row r="141" spans="2:18">
      <c r="B141" s="1225"/>
      <c r="C141" s="1225"/>
      <c r="D141" s="1225"/>
      <c r="E141" s="1225"/>
      <c r="F141" s="1193">
        <v>43861.26</v>
      </c>
      <c r="G141" s="1227"/>
      <c r="H141" s="1225"/>
      <c r="L141" s="1192">
        <v>46993.93</v>
      </c>
      <c r="R141" s="786">
        <v>50162.53</v>
      </c>
    </row>
    <row r="142" spans="2:18">
      <c r="B142" s="1225"/>
      <c r="C142" s="1225"/>
      <c r="D142" s="1225"/>
      <c r="E142" s="1225"/>
      <c r="F142" s="2695">
        <f>(F140-F141)/F140</f>
        <v>1.8961597565636808E-2</v>
      </c>
      <c r="G142" s="2695"/>
      <c r="H142" s="2695"/>
      <c r="I142" s="2695"/>
      <c r="J142" s="2695"/>
      <c r="K142" s="2695"/>
      <c r="L142" s="2695">
        <f t="shared" ref="L142:R142" si="39">(L140-L141)/L140</f>
        <v>1.845894724650092E-2</v>
      </c>
      <c r="M142" s="2695"/>
      <c r="N142" s="2695"/>
      <c r="O142" s="2695"/>
      <c r="P142" s="2695"/>
      <c r="Q142" s="2695"/>
      <c r="R142" s="2695">
        <f t="shared" si="39"/>
        <v>1.7314831065746692E-2</v>
      </c>
    </row>
    <row r="143" spans="2:18" ht="15" customHeight="1" thickBot="1">
      <c r="B143" s="1225"/>
      <c r="C143" s="1225"/>
      <c r="D143" s="1225"/>
      <c r="E143" s="1225"/>
      <c r="F143" s="1226"/>
      <c r="G143" s="1227"/>
      <c r="H143" s="1225"/>
      <c r="R143" s="786"/>
    </row>
    <row r="144" spans="2:18">
      <c r="B144" s="3145" t="s">
        <v>1042</v>
      </c>
      <c r="C144" s="3146"/>
      <c r="D144" s="3146"/>
      <c r="E144" s="3146"/>
      <c r="F144" s="3147"/>
      <c r="G144" s="786"/>
      <c r="H144" s="3145" t="s">
        <v>1043</v>
      </c>
      <c r="I144" s="3146"/>
      <c r="J144" s="3146"/>
      <c r="K144" s="3146"/>
      <c r="L144" s="3147"/>
      <c r="N144" s="3145" t="s">
        <v>1044</v>
      </c>
      <c r="O144" s="3146"/>
      <c r="P144" s="3146"/>
      <c r="Q144" s="3146"/>
      <c r="R144" s="3147"/>
    </row>
    <row r="145" spans="2:21" ht="30">
      <c r="B145" s="832"/>
      <c r="C145" s="1196" t="s">
        <v>311</v>
      </c>
      <c r="D145" s="1197" t="s">
        <v>342</v>
      </c>
      <c r="E145" s="1198" t="s">
        <v>190</v>
      </c>
      <c r="F145" s="1199" t="s">
        <v>343</v>
      </c>
      <c r="G145" s="786"/>
      <c r="H145" s="832"/>
      <c r="I145" s="1196" t="s">
        <v>311</v>
      </c>
      <c r="J145" s="1197" t="s">
        <v>209</v>
      </c>
      <c r="K145" s="1198" t="s">
        <v>190</v>
      </c>
      <c r="L145" s="1199" t="s">
        <v>210</v>
      </c>
      <c r="N145" s="832"/>
      <c r="O145" s="1196" t="s">
        <v>311</v>
      </c>
      <c r="P145" s="1197" t="s">
        <v>209</v>
      </c>
      <c r="Q145" s="1198" t="s">
        <v>190</v>
      </c>
      <c r="R145" s="1199" t="s">
        <v>210</v>
      </c>
    </row>
    <row r="146" spans="2:21">
      <c r="B146" s="15" t="s">
        <v>191</v>
      </c>
      <c r="C146" s="16"/>
      <c r="D146" s="871">
        <f>V6</f>
        <v>55383.32303680529</v>
      </c>
      <c r="E146" s="1202">
        <f>U41</f>
        <v>2.15</v>
      </c>
      <c r="F146" s="1203">
        <f>D146*E146</f>
        <v>119074.14452913137</v>
      </c>
      <c r="G146" s="786"/>
      <c r="H146" s="15" t="s">
        <v>191</v>
      </c>
      <c r="I146" s="16"/>
      <c r="J146" s="871">
        <f>V6</f>
        <v>55383.32303680529</v>
      </c>
      <c r="K146" s="1202">
        <f>U42</f>
        <v>2.25</v>
      </c>
      <c r="L146" s="1203">
        <f>J146*K146</f>
        <v>124612.4768328119</v>
      </c>
      <c r="N146" s="15" t="s">
        <v>191</v>
      </c>
      <c r="O146" s="16"/>
      <c r="P146" s="871">
        <f>V6</f>
        <v>55383.32303680529</v>
      </c>
      <c r="Q146" s="1202">
        <f>U43</f>
        <v>2.35</v>
      </c>
      <c r="R146" s="1203">
        <f>Q146*P146</f>
        <v>130150.80913649243</v>
      </c>
    </row>
    <row r="147" spans="2:21">
      <c r="B147" s="18" t="s">
        <v>466</v>
      </c>
      <c r="C147" s="749"/>
      <c r="D147" s="871">
        <f>V7</f>
        <v>40107</v>
      </c>
      <c r="E147" s="1204">
        <f>T41</f>
        <v>8</v>
      </c>
      <c r="F147" s="1203">
        <f t="shared" ref="F147:F148" si="40">D147*E147</f>
        <v>320856</v>
      </c>
      <c r="G147" s="786"/>
      <c r="H147" s="18" t="s">
        <v>466</v>
      </c>
      <c r="I147" s="749"/>
      <c r="J147" s="871">
        <f>V7</f>
        <v>40107</v>
      </c>
      <c r="K147" s="1204">
        <f>T42</f>
        <v>8.5</v>
      </c>
      <c r="L147" s="1203">
        <f t="shared" ref="L147:L148" si="41">J147*K147</f>
        <v>340909.5</v>
      </c>
      <c r="N147" s="18" t="s">
        <v>466</v>
      </c>
      <c r="O147" s="749"/>
      <c r="P147" s="871">
        <f>V7</f>
        <v>40107</v>
      </c>
      <c r="Q147" s="1204">
        <f>T43</f>
        <v>9</v>
      </c>
      <c r="R147" s="1203">
        <f t="shared" ref="R147:R148" si="42">Q147*P147</f>
        <v>360963</v>
      </c>
    </row>
    <row r="148" spans="2:21">
      <c r="B148" s="18" t="s">
        <v>641</v>
      </c>
      <c r="C148" s="749"/>
      <c r="D148" s="871">
        <f>V8</f>
        <v>31200</v>
      </c>
      <c r="E148" s="1204">
        <f>V41</f>
        <v>4</v>
      </c>
      <c r="F148" s="1203">
        <f t="shared" si="40"/>
        <v>124800</v>
      </c>
      <c r="G148" s="786"/>
      <c r="H148" s="18" t="s">
        <v>641</v>
      </c>
      <c r="I148" s="749"/>
      <c r="J148" s="871">
        <f>V8</f>
        <v>31200</v>
      </c>
      <c r="K148" s="1204">
        <f>V42</f>
        <v>4.25</v>
      </c>
      <c r="L148" s="1203">
        <f t="shared" si="41"/>
        <v>132600</v>
      </c>
      <c r="N148" s="18" t="s">
        <v>641</v>
      </c>
      <c r="O148" s="749"/>
      <c r="P148" s="871">
        <f>V8</f>
        <v>31200</v>
      </c>
      <c r="Q148" s="1204">
        <f>V43</f>
        <v>4.5</v>
      </c>
      <c r="R148" s="1203">
        <f t="shared" si="42"/>
        <v>140400</v>
      </c>
      <c r="T148" s="1225"/>
      <c r="U148" s="1225"/>
    </row>
    <row r="149" spans="2:21">
      <c r="B149" s="868" t="s">
        <v>194</v>
      </c>
      <c r="C149" s="867"/>
      <c r="D149" s="866"/>
      <c r="E149" s="1206">
        <f>SUM(E146:E148)</f>
        <v>14.15</v>
      </c>
      <c r="F149" s="1207">
        <f>SUM(F146:F147)</f>
        <v>439930.14452913136</v>
      </c>
      <c r="G149" s="786"/>
      <c r="H149" s="868" t="s">
        <v>194</v>
      </c>
      <c r="I149" s="867"/>
      <c r="J149" s="866"/>
      <c r="K149" s="1206">
        <f>SUM(K146:K148)</f>
        <v>15</v>
      </c>
      <c r="L149" s="1207">
        <f>SUM(L146:L147)</f>
        <v>465521.9768328119</v>
      </c>
      <c r="N149" s="868" t="s">
        <v>194</v>
      </c>
      <c r="O149" s="867"/>
      <c r="P149" s="866"/>
      <c r="Q149" s="1206">
        <f>SUM(Q146:Q148)</f>
        <v>15.85</v>
      </c>
      <c r="R149" s="1207">
        <f>SUM(R146:R147)</f>
        <v>491113.80913649243</v>
      </c>
    </row>
    <row r="150" spans="2:21">
      <c r="B150" s="863"/>
      <c r="C150" s="862"/>
      <c r="D150" s="861"/>
      <c r="E150" s="1208"/>
      <c r="F150" s="1209"/>
      <c r="G150" s="786"/>
      <c r="H150" s="863"/>
      <c r="I150" s="862"/>
      <c r="J150" s="861"/>
      <c r="K150" s="860"/>
      <c r="L150" s="1209"/>
      <c r="N150" s="863"/>
      <c r="O150" s="862"/>
      <c r="P150" s="861"/>
      <c r="Q150" s="1208"/>
      <c r="R150" s="1209"/>
    </row>
    <row r="151" spans="2:21" ht="15" customHeight="1">
      <c r="B151" s="832" t="s">
        <v>195</v>
      </c>
      <c r="C151" s="859"/>
      <c r="D151" s="830"/>
      <c r="E151" s="858"/>
      <c r="F151" s="1210"/>
      <c r="G151" s="786"/>
      <c r="H151" s="832" t="s">
        <v>195</v>
      </c>
      <c r="I151" s="859"/>
      <c r="J151" s="830"/>
      <c r="K151" s="858"/>
      <c r="L151" s="1210"/>
      <c r="N151" s="832" t="s">
        <v>195</v>
      </c>
      <c r="O151" s="859"/>
      <c r="P151" s="830"/>
      <c r="Q151" s="858"/>
      <c r="R151" s="1210"/>
    </row>
    <row r="152" spans="2:21">
      <c r="B152" s="822" t="s">
        <v>196</v>
      </c>
      <c r="C152" s="855">
        <f>V16</f>
        <v>0.22</v>
      </c>
      <c r="D152" s="1211"/>
      <c r="E152" s="853"/>
      <c r="F152" s="1212">
        <f>C152*F149</f>
        <v>96784.631796408896</v>
      </c>
      <c r="G152" s="786"/>
      <c r="H152" s="822" t="s">
        <v>196</v>
      </c>
      <c r="I152" s="855">
        <f>V16</f>
        <v>0.22</v>
      </c>
      <c r="J152" s="1211"/>
      <c r="K152" s="853"/>
      <c r="L152" s="1213">
        <f>I152*L149</f>
        <v>102414.83490321862</v>
      </c>
      <c r="N152" s="822" t="s">
        <v>196</v>
      </c>
      <c r="O152" s="855">
        <f>V16</f>
        <v>0.22</v>
      </c>
      <c r="P152" s="1211"/>
      <c r="Q152" s="853"/>
      <c r="R152" s="1213">
        <f>O152*R149</f>
        <v>108045.03801002834</v>
      </c>
    </row>
    <row r="153" spans="2:21">
      <c r="B153" s="787" t="s">
        <v>198</v>
      </c>
      <c r="C153" s="848"/>
      <c r="D153" s="847"/>
      <c r="E153" s="846"/>
      <c r="F153" s="1214">
        <f>F149+F152</f>
        <v>536714.77632554027</v>
      </c>
      <c r="G153" s="786"/>
      <c r="H153" s="787" t="s">
        <v>198</v>
      </c>
      <c r="I153" s="848"/>
      <c r="J153" s="847"/>
      <c r="K153" s="846"/>
      <c r="L153" s="1214">
        <f>L152+L149</f>
        <v>567936.8117360305</v>
      </c>
      <c r="N153" s="787" t="s">
        <v>198</v>
      </c>
      <c r="O153" s="848"/>
      <c r="P153" s="847"/>
      <c r="Q153" s="846"/>
      <c r="R153" s="1214">
        <f>R149+R152</f>
        <v>599158.84714652074</v>
      </c>
    </row>
    <row r="154" spans="2:21">
      <c r="B154" s="29" t="s">
        <v>313</v>
      </c>
      <c r="C154" s="30"/>
      <c r="D154" s="16">
        <f>V10</f>
        <v>5155.4902174195804</v>
      </c>
      <c r="E154" s="841"/>
      <c r="F154" s="1203">
        <f>D154*$E$148</f>
        <v>20621.960869678322</v>
      </c>
      <c r="G154" s="786"/>
      <c r="H154" s="29" t="s">
        <v>313</v>
      </c>
      <c r="I154" s="30"/>
      <c r="J154" s="16">
        <f>V10</f>
        <v>5155.4902174195804</v>
      </c>
      <c r="K154" s="841"/>
      <c r="L154" s="1203">
        <f>J154*$K$148</f>
        <v>21910.833424033215</v>
      </c>
      <c r="N154" s="29" t="s">
        <v>313</v>
      </c>
      <c r="O154" s="30"/>
      <c r="P154" s="16">
        <f>V10</f>
        <v>5155.4902174195804</v>
      </c>
      <c r="Q154" s="841"/>
      <c r="R154" s="1203">
        <f>P154*$Q$148</f>
        <v>23199.705978388112</v>
      </c>
    </row>
    <row r="155" spans="2:21">
      <c r="B155" s="835" t="s">
        <v>673</v>
      </c>
      <c r="C155" s="821"/>
      <c r="D155" s="16">
        <f t="shared" ref="D155:D158" si="43">V11</f>
        <v>178.16741415351552</v>
      </c>
      <c r="E155" s="838"/>
      <c r="F155" s="1203">
        <f>D155*$E$148</f>
        <v>712.66965661406209</v>
      </c>
      <c r="G155" s="786"/>
      <c r="H155" s="835" t="s">
        <v>673</v>
      </c>
      <c r="I155" s="821"/>
      <c r="J155" s="16">
        <f t="shared" ref="J155:J158" si="44">V11</f>
        <v>178.16741415351552</v>
      </c>
      <c r="K155" s="838"/>
      <c r="L155" s="1203">
        <f>J155*$K$148</f>
        <v>757.21151015244095</v>
      </c>
      <c r="N155" s="835" t="s">
        <v>673</v>
      </c>
      <c r="O155" s="821"/>
      <c r="P155" s="16">
        <f t="shared" ref="P155:P158" si="45">V11</f>
        <v>178.16741415351552</v>
      </c>
      <c r="Q155" s="838"/>
      <c r="R155" s="1203">
        <f>P155*$Q$148</f>
        <v>801.75336369081981</v>
      </c>
    </row>
    <row r="156" spans="2:21">
      <c r="B156" s="822" t="s">
        <v>674</v>
      </c>
      <c r="C156" s="821"/>
      <c r="D156" s="16">
        <f t="shared" si="43"/>
        <v>1410.7821990248415</v>
      </c>
      <c r="E156" s="838"/>
      <c r="F156" s="1203">
        <f>D156*$E$148</f>
        <v>5643.1287960993659</v>
      </c>
      <c r="G156" s="786"/>
      <c r="H156" s="822" t="s">
        <v>674</v>
      </c>
      <c r="I156" s="821"/>
      <c r="J156" s="16">
        <f t="shared" si="44"/>
        <v>1410.7821990248415</v>
      </c>
      <c r="K156" s="838"/>
      <c r="L156" s="1203">
        <f>J156*$K$148</f>
        <v>5995.8243458555762</v>
      </c>
      <c r="N156" s="822" t="s">
        <v>674</v>
      </c>
      <c r="O156" s="821"/>
      <c r="P156" s="16">
        <f t="shared" si="45"/>
        <v>1410.7821990248415</v>
      </c>
      <c r="Q156" s="838"/>
      <c r="R156" s="1203">
        <f>P156*$Q$148</f>
        <v>6348.5198956117865</v>
      </c>
    </row>
    <row r="157" spans="2:21">
      <c r="B157" s="822" t="s">
        <v>685</v>
      </c>
      <c r="C157" s="821"/>
      <c r="D157" s="16">
        <f t="shared" si="43"/>
        <v>799.70498223424943</v>
      </c>
      <c r="E157" s="838"/>
      <c r="F157" s="1203">
        <f>D157*$E$148</f>
        <v>3198.8199289369977</v>
      </c>
      <c r="G157" s="786"/>
      <c r="H157" s="822" t="s">
        <v>685</v>
      </c>
      <c r="I157" s="821"/>
      <c r="J157" s="16">
        <f t="shared" si="44"/>
        <v>799.70498223424943</v>
      </c>
      <c r="K157" s="838"/>
      <c r="L157" s="1203">
        <f>J157*$K$148</f>
        <v>3398.7461744955599</v>
      </c>
      <c r="N157" s="822" t="s">
        <v>685</v>
      </c>
      <c r="O157" s="821"/>
      <c r="P157" s="16">
        <f t="shared" si="45"/>
        <v>799.70498223424943</v>
      </c>
      <c r="Q157" s="838"/>
      <c r="R157" s="1203">
        <f>P157*$Q$148</f>
        <v>3598.6724200541225</v>
      </c>
    </row>
    <row r="158" spans="2:21">
      <c r="B158" s="835" t="s">
        <v>686</v>
      </c>
      <c r="C158" s="386"/>
      <c r="D158" s="16">
        <f t="shared" si="43"/>
        <v>1572.2963237683009</v>
      </c>
      <c r="E158" s="833"/>
      <c r="F158" s="1203">
        <f>D158*$E$148</f>
        <v>6289.1852950732036</v>
      </c>
      <c r="G158" s="786"/>
      <c r="H158" s="835" t="s">
        <v>686</v>
      </c>
      <c r="I158" s="386"/>
      <c r="J158" s="16">
        <f t="shared" si="44"/>
        <v>1572.2963237683009</v>
      </c>
      <c r="K158" s="833"/>
      <c r="L158" s="1203">
        <f>J158*$K$148</f>
        <v>6682.2593760152786</v>
      </c>
      <c r="N158" s="835" t="s">
        <v>686</v>
      </c>
      <c r="O158" s="386"/>
      <c r="P158" s="16">
        <f t="shared" si="45"/>
        <v>1572.2963237683009</v>
      </c>
      <c r="Q158" s="833"/>
      <c r="R158" s="1203">
        <f>P158*$Q$148</f>
        <v>7075.3334569573544</v>
      </c>
    </row>
    <row r="159" spans="2:21">
      <c r="B159" s="827"/>
      <c r="C159" s="826"/>
      <c r="D159" s="825"/>
      <c r="E159" s="824"/>
      <c r="F159" s="1219"/>
      <c r="G159" s="786"/>
      <c r="H159" s="827"/>
      <c r="I159" s="826"/>
      <c r="J159" s="825"/>
      <c r="K159" s="824"/>
      <c r="L159" s="1219"/>
      <c r="N159" s="827"/>
      <c r="O159" s="826"/>
      <c r="P159" s="825"/>
      <c r="Q159" s="824"/>
      <c r="R159" s="1219"/>
    </row>
    <row r="160" spans="2:21" ht="15.75" thickBot="1">
      <c r="B160" s="816" t="s">
        <v>203</v>
      </c>
      <c r="C160" s="815"/>
      <c r="D160" s="814"/>
      <c r="E160" s="813"/>
      <c r="F160" s="1220">
        <f>SUM(F153:F159)</f>
        <v>573180.54087194218</v>
      </c>
      <c r="G160" s="1221"/>
      <c r="H160" s="816" t="s">
        <v>203</v>
      </c>
      <c r="I160" s="815"/>
      <c r="J160" s="814"/>
      <c r="K160" s="813"/>
      <c r="L160" s="1220">
        <f>SUM(L153:L159)</f>
        <v>606681.68656658265</v>
      </c>
      <c r="N160" s="816" t="s">
        <v>203</v>
      </c>
      <c r="O160" s="815"/>
      <c r="P160" s="814"/>
      <c r="Q160" s="813"/>
      <c r="R160" s="1220">
        <f>SUM(R153:R159)</f>
        <v>640182.83226122288</v>
      </c>
    </row>
    <row r="161" spans="2:18" ht="15.75" thickTop="1">
      <c r="B161" s="2769" t="s">
        <v>315</v>
      </c>
      <c r="C161" s="890">
        <f>C133</f>
        <v>0.11</v>
      </c>
      <c r="D161" s="830"/>
      <c r="E161" s="829"/>
      <c r="F161" s="1210">
        <f>C161*F160</f>
        <v>63049.859495913639</v>
      </c>
      <c r="G161" s="1221"/>
      <c r="H161" s="2769" t="s">
        <v>315</v>
      </c>
      <c r="I161" s="890">
        <f>I133</f>
        <v>0.11</v>
      </c>
      <c r="J161" s="830"/>
      <c r="K161" s="829"/>
      <c r="L161" s="1210">
        <f>I161*L160</f>
        <v>66734.985522324088</v>
      </c>
      <c r="N161" s="2769" t="s">
        <v>315</v>
      </c>
      <c r="O161" s="890">
        <f>O133</f>
        <v>0.11</v>
      </c>
      <c r="P161" s="830"/>
      <c r="Q161" s="829"/>
      <c r="R161" s="1210">
        <f>O161*R160</f>
        <v>70420.111548734523</v>
      </c>
    </row>
    <row r="162" spans="2:18">
      <c r="B162" s="2771" t="s">
        <v>653</v>
      </c>
      <c r="C162" s="2811">
        <f>C134</f>
        <v>6.3E-3</v>
      </c>
      <c r="D162" s="830"/>
      <c r="E162" s="829"/>
      <c r="F162" s="1210">
        <f>C162*F149</f>
        <v>2771.5599105335277</v>
      </c>
      <c r="G162" s="1221"/>
      <c r="H162" s="2771" t="s">
        <v>653</v>
      </c>
      <c r="I162" s="2811">
        <f>I134</f>
        <v>6.3E-3</v>
      </c>
      <c r="J162" s="830"/>
      <c r="K162" s="829"/>
      <c r="L162" s="1210">
        <f>I162*L149</f>
        <v>2932.7884540467148</v>
      </c>
      <c r="N162" s="2771" t="s">
        <v>653</v>
      </c>
      <c r="O162" s="2811">
        <f>O134</f>
        <v>6.3E-3</v>
      </c>
      <c r="P162" s="830"/>
      <c r="Q162" s="829"/>
      <c r="R162" s="1210">
        <f>O162*R149</f>
        <v>3094.0169975599024</v>
      </c>
    </row>
    <row r="163" spans="2:18" ht="15.75" thickBot="1">
      <c r="B163" s="2807"/>
      <c r="C163" s="2812"/>
      <c r="D163" s="830"/>
      <c r="E163" s="829"/>
      <c r="F163" s="2824">
        <f>C163*(F154+F155+F156+F157+F158)</f>
        <v>0</v>
      </c>
      <c r="G163" s="1221"/>
      <c r="H163" s="2807"/>
      <c r="I163" s="2812"/>
      <c r="J163" s="830"/>
      <c r="K163" s="829"/>
      <c r="L163" s="2824">
        <f>I163*(L154+L155+L156+L157+L158)</f>
        <v>0</v>
      </c>
      <c r="N163" s="2807"/>
      <c r="O163" s="2812"/>
      <c r="P163" s="830"/>
      <c r="Q163" s="829"/>
      <c r="R163" s="2824">
        <f>O163*(R154+R155+R156+R157+R158)</f>
        <v>0</v>
      </c>
    </row>
    <row r="164" spans="2:18">
      <c r="B164" s="2807"/>
      <c r="C164" s="2812"/>
      <c r="D164" s="830"/>
      <c r="E164" s="829"/>
      <c r="F164" s="2813">
        <f>SUM(F160:F163)</f>
        <v>639001.96027838928</v>
      </c>
      <c r="G164" s="1221"/>
      <c r="H164" s="2807"/>
      <c r="I164" s="2812"/>
      <c r="J164" s="830"/>
      <c r="K164" s="829"/>
      <c r="L164" s="2813">
        <f>SUM(L160:L163)</f>
        <v>676349.46054295346</v>
      </c>
      <c r="N164" s="2807"/>
      <c r="O164" s="2812"/>
      <c r="P164" s="830"/>
      <c r="Q164" s="829"/>
      <c r="R164" s="2813">
        <f>SUM(R160:R163)</f>
        <v>713696.96080751729</v>
      </c>
    </row>
    <row r="165" spans="2:18">
      <c r="B165" s="832" t="s">
        <v>205</v>
      </c>
      <c r="C165" s="890">
        <f>V20</f>
        <v>1.8120393120392975E-2</v>
      </c>
      <c r="D165" s="830"/>
      <c r="E165" s="829"/>
      <c r="F165" s="2813">
        <f>C165*F164</f>
        <v>11578.966724946151</v>
      </c>
      <c r="G165" s="1221"/>
      <c r="H165" s="832" t="s">
        <v>205</v>
      </c>
      <c r="I165" s="890">
        <f>V20</f>
        <v>1.8120393120392975E-2</v>
      </c>
      <c r="J165" s="830"/>
      <c r="K165" s="829"/>
      <c r="L165" s="2813">
        <f>I165*L164</f>
        <v>12255.718111804033</v>
      </c>
      <c r="N165" s="832" t="s">
        <v>205</v>
      </c>
      <c r="O165" s="890">
        <f>V20</f>
        <v>1.8120393120392975E-2</v>
      </c>
      <c r="P165" s="830"/>
      <c r="Q165" s="829"/>
      <c r="R165" s="2813">
        <f>O165*R164</f>
        <v>12932.469498661911</v>
      </c>
    </row>
    <row r="166" spans="2:18" ht="15.75" thickBot="1">
      <c r="D166" s="830"/>
      <c r="E166" s="829"/>
      <c r="F166" s="1220">
        <f>SUM(F164:F165)</f>
        <v>650580.92700333544</v>
      </c>
      <c r="G166" s="1221"/>
      <c r="J166" s="830"/>
      <c r="K166" s="829"/>
      <c r="L166" s="1220">
        <f>SUM(L164:L165)</f>
        <v>688605.17865475744</v>
      </c>
      <c r="P166" s="830"/>
      <c r="Q166" s="829"/>
      <c r="R166" s="1220">
        <f>SUM(R164:R165)</f>
        <v>726629.43030617922</v>
      </c>
    </row>
    <row r="167" spans="2:18" ht="16.5" thickTop="1" thickBot="1">
      <c r="B167" s="832"/>
      <c r="C167" s="890"/>
      <c r="D167" s="830"/>
      <c r="E167" s="829"/>
      <c r="F167" s="2825"/>
      <c r="G167" s="1221"/>
      <c r="H167" s="832"/>
      <c r="I167" s="890"/>
      <c r="J167" s="830"/>
      <c r="K167" s="829"/>
      <c r="L167" s="2825"/>
      <c r="N167" s="832"/>
      <c r="O167" s="890"/>
      <c r="P167" s="830"/>
      <c r="Q167" s="829"/>
      <c r="R167" s="2825"/>
    </row>
    <row r="168" spans="2:18" ht="16.5" thickTop="1" thickBot="1">
      <c r="B168" s="798" t="s">
        <v>318</v>
      </c>
      <c r="C168" s="811"/>
      <c r="D168" s="811"/>
      <c r="E168" s="811"/>
      <c r="F168" s="1266">
        <f>F166/12</f>
        <v>54215.077250277951</v>
      </c>
      <c r="G168" s="1221"/>
      <c r="H168" s="798" t="s">
        <v>318</v>
      </c>
      <c r="I168" s="811"/>
      <c r="J168" s="811"/>
      <c r="K168" s="811"/>
      <c r="L168" s="1266">
        <f>L166/12</f>
        <v>57383.764887896454</v>
      </c>
      <c r="N168" s="798" t="s">
        <v>318</v>
      </c>
      <c r="O168" s="811"/>
      <c r="P168" s="811"/>
      <c r="Q168" s="811"/>
      <c r="R168" s="1266">
        <f>R166/12</f>
        <v>60552.452525514935</v>
      </c>
    </row>
    <row r="169" spans="2:18">
      <c r="F169" s="1192">
        <v>53740.78</v>
      </c>
      <c r="G169" s="1221"/>
      <c r="L169" s="1192">
        <v>56182.58</v>
      </c>
      <c r="R169" s="1192">
        <v>59067.41</v>
      </c>
    </row>
    <row r="170" spans="2:18">
      <c r="F170" s="1842">
        <f>(F168-F169)/F168</f>
        <v>8.7484381528852382E-3</v>
      </c>
      <c r="G170" s="1842"/>
      <c r="H170" s="1842"/>
      <c r="I170" s="1842"/>
      <c r="J170" s="1842"/>
      <c r="K170" s="1842"/>
      <c r="L170" s="1842">
        <f t="shared" ref="L170:R170" si="46">(L168-L169)/L168</f>
        <v>2.0932486570775861E-2</v>
      </c>
      <c r="M170" s="1842"/>
      <c r="N170" s="1842"/>
      <c r="O170" s="1842"/>
      <c r="P170" s="1842"/>
      <c r="Q170" s="1842"/>
      <c r="R170" s="1842">
        <f t="shared" si="46"/>
        <v>2.4524894757799943E-2</v>
      </c>
    </row>
    <row r="171" spans="2:18" ht="15.75" thickBot="1">
      <c r="G171" s="1221"/>
    </row>
    <row r="172" spans="2:18">
      <c r="B172" s="3145" t="s">
        <v>1045</v>
      </c>
      <c r="C172" s="3146"/>
      <c r="D172" s="3146"/>
      <c r="E172" s="3146"/>
      <c r="F172" s="3147"/>
      <c r="G172" s="786"/>
      <c r="H172" s="3145" t="s">
        <v>1046</v>
      </c>
      <c r="I172" s="3146"/>
      <c r="J172" s="3146"/>
      <c r="K172" s="3146"/>
      <c r="L172" s="3147"/>
      <c r="N172" s="3145" t="s">
        <v>1047</v>
      </c>
      <c r="O172" s="3146"/>
      <c r="P172" s="3146"/>
      <c r="Q172" s="3146"/>
      <c r="R172" s="3147"/>
    </row>
    <row r="173" spans="2:18" ht="30">
      <c r="B173" s="832"/>
      <c r="C173" s="1196" t="s">
        <v>311</v>
      </c>
      <c r="D173" s="1197" t="s">
        <v>209</v>
      </c>
      <c r="E173" s="1198" t="s">
        <v>190</v>
      </c>
      <c r="F173" s="1199" t="s">
        <v>210</v>
      </c>
      <c r="G173" s="786"/>
      <c r="H173" s="832"/>
      <c r="I173" s="1196" t="s">
        <v>311</v>
      </c>
      <c r="J173" s="1197" t="s">
        <v>209</v>
      </c>
      <c r="K173" s="1198" t="s">
        <v>190</v>
      </c>
      <c r="L173" s="1199" t="s">
        <v>210</v>
      </c>
      <c r="N173" s="832"/>
      <c r="O173" s="1196" t="s">
        <v>311</v>
      </c>
      <c r="P173" s="1197" t="s">
        <v>209</v>
      </c>
      <c r="Q173" s="1198" t="s">
        <v>190</v>
      </c>
      <c r="R173" s="1199" t="s">
        <v>210</v>
      </c>
    </row>
    <row r="174" spans="2:18">
      <c r="B174" s="15" t="s">
        <v>191</v>
      </c>
      <c r="C174" s="16"/>
      <c r="D174" s="871">
        <f>V6</f>
        <v>55383.32303680529</v>
      </c>
      <c r="E174" s="1202">
        <f>U44</f>
        <v>2.4500000000000002</v>
      </c>
      <c r="F174" s="1203">
        <f>D174*E174</f>
        <v>135689.14144017297</v>
      </c>
      <c r="G174" s="786"/>
      <c r="H174" s="15" t="s">
        <v>191</v>
      </c>
      <c r="I174" s="16"/>
      <c r="J174" s="871">
        <f>V6</f>
        <v>55383.32303680529</v>
      </c>
      <c r="K174" s="1202">
        <f>U45</f>
        <v>2.5499999999999998</v>
      </c>
      <c r="L174" s="1203">
        <f>J174*K174</f>
        <v>141227.47374385348</v>
      </c>
      <c r="N174" s="15" t="s">
        <v>191</v>
      </c>
      <c r="O174" s="16"/>
      <c r="P174" s="871">
        <f>V6</f>
        <v>55383.32303680529</v>
      </c>
      <c r="Q174" s="1202">
        <f>U46</f>
        <v>2.65</v>
      </c>
      <c r="R174" s="1203">
        <f>P174*Q174</f>
        <v>146765.80604753402</v>
      </c>
    </row>
    <row r="175" spans="2:18">
      <c r="B175" s="18" t="s">
        <v>466</v>
      </c>
      <c r="C175" s="749"/>
      <c r="D175" s="871">
        <f>V7</f>
        <v>40107</v>
      </c>
      <c r="E175" s="1204">
        <f>T44</f>
        <v>9.5</v>
      </c>
      <c r="F175" s="1203">
        <f t="shared" ref="F175:F176" si="47">D175*E175</f>
        <v>381016.5</v>
      </c>
      <c r="G175" s="786"/>
      <c r="H175" s="18" t="s">
        <v>466</v>
      </c>
      <c r="I175" s="749"/>
      <c r="J175" s="871">
        <f>V7</f>
        <v>40107</v>
      </c>
      <c r="K175" s="1204">
        <f>T45</f>
        <v>10</v>
      </c>
      <c r="L175" s="1203">
        <f t="shared" ref="L175:L176" si="48">J175*K175</f>
        <v>401070</v>
      </c>
      <c r="N175" s="18" t="s">
        <v>466</v>
      </c>
      <c r="O175" s="749"/>
      <c r="P175" s="871">
        <f>V7</f>
        <v>40107</v>
      </c>
      <c r="Q175" s="1204">
        <f>T46</f>
        <v>10.5</v>
      </c>
      <c r="R175" s="1203">
        <f t="shared" ref="R175:R176" si="49">P175*Q175</f>
        <v>421123.5</v>
      </c>
    </row>
    <row r="176" spans="2:18">
      <c r="B176" s="18" t="s">
        <v>641</v>
      </c>
      <c r="C176" s="749"/>
      <c r="D176" s="871">
        <f>V8</f>
        <v>31200</v>
      </c>
      <c r="E176" s="1204">
        <f>V44</f>
        <v>4.75</v>
      </c>
      <c r="F176" s="1203">
        <f t="shared" si="47"/>
        <v>148200</v>
      </c>
      <c r="G176" s="786"/>
      <c r="H176" s="18" t="s">
        <v>641</v>
      </c>
      <c r="I176" s="749"/>
      <c r="J176" s="871">
        <f>V8</f>
        <v>31200</v>
      </c>
      <c r="K176" s="1204">
        <f>V45</f>
        <v>5</v>
      </c>
      <c r="L176" s="1203">
        <f t="shared" si="48"/>
        <v>156000</v>
      </c>
      <c r="N176" s="18" t="s">
        <v>641</v>
      </c>
      <c r="O176" s="749"/>
      <c r="P176" s="871">
        <f>V8</f>
        <v>31200</v>
      </c>
      <c r="Q176" s="1204">
        <f>V46</f>
        <v>5</v>
      </c>
      <c r="R176" s="1203">
        <f t="shared" si="49"/>
        <v>156000</v>
      </c>
    </row>
    <row r="177" spans="2:18">
      <c r="B177" s="868" t="s">
        <v>194</v>
      </c>
      <c r="C177" s="867"/>
      <c r="D177" s="866"/>
      <c r="E177" s="1206">
        <f>SUM(E174:E176)</f>
        <v>16.7</v>
      </c>
      <c r="F177" s="1207">
        <f>SUM(F174:F175)</f>
        <v>516705.64144017297</v>
      </c>
      <c r="G177" s="786"/>
      <c r="H177" s="868" t="s">
        <v>194</v>
      </c>
      <c r="I177" s="867"/>
      <c r="J177" s="866"/>
      <c r="K177" s="1206">
        <f>SUM(K174:K176)</f>
        <v>17.55</v>
      </c>
      <c r="L177" s="1207">
        <f>SUM(L174:L175)</f>
        <v>542297.47374385351</v>
      </c>
      <c r="N177" s="868" t="s">
        <v>194</v>
      </c>
      <c r="O177" s="867"/>
      <c r="P177" s="866"/>
      <c r="Q177" s="1206">
        <f>SUM(Q174:Q176)</f>
        <v>18.149999999999999</v>
      </c>
      <c r="R177" s="1207">
        <f>R174+R175</f>
        <v>567889.30604753399</v>
      </c>
    </row>
    <row r="178" spans="2:18">
      <c r="B178" s="863"/>
      <c r="C178" s="862"/>
      <c r="D178" s="861"/>
      <c r="E178" s="1208"/>
      <c r="F178" s="1209"/>
      <c r="G178" s="786"/>
      <c r="H178" s="863"/>
      <c r="I178" s="862"/>
      <c r="J178" s="861"/>
      <c r="K178" s="860"/>
      <c r="L178" s="1209"/>
      <c r="N178" s="863"/>
      <c r="O178" s="862"/>
      <c r="P178" s="861"/>
      <c r="Q178" s="1208"/>
      <c r="R178" s="1209"/>
    </row>
    <row r="179" spans="2:18">
      <c r="B179" s="832" t="s">
        <v>195</v>
      </c>
      <c r="C179" s="859"/>
      <c r="D179" s="830"/>
      <c r="E179" s="858"/>
      <c r="F179" s="1210"/>
      <c r="G179" s="786"/>
      <c r="H179" s="832" t="s">
        <v>195</v>
      </c>
      <c r="I179" s="859"/>
      <c r="J179" s="830"/>
      <c r="K179" s="858"/>
      <c r="L179" s="1210"/>
      <c r="N179" s="832" t="s">
        <v>195</v>
      </c>
      <c r="O179" s="859"/>
      <c r="P179" s="830"/>
      <c r="Q179" s="858"/>
      <c r="R179" s="1210"/>
    </row>
    <row r="180" spans="2:18">
      <c r="B180" s="822" t="s">
        <v>196</v>
      </c>
      <c r="C180" s="855">
        <v>0.22</v>
      </c>
      <c r="D180" s="1211"/>
      <c r="E180" s="853"/>
      <c r="F180" s="1212">
        <f>C180*F177</f>
        <v>113675.24111683805</v>
      </c>
      <c r="G180" s="786"/>
      <c r="H180" s="822" t="s">
        <v>196</v>
      </c>
      <c r="I180" s="855">
        <f>V16</f>
        <v>0.22</v>
      </c>
      <c r="J180" s="1211"/>
      <c r="K180" s="853"/>
      <c r="L180" s="1213">
        <f>I180*L177</f>
        <v>119305.44422364778</v>
      </c>
      <c r="N180" s="822" t="s">
        <v>196</v>
      </c>
      <c r="O180" s="855">
        <f>V16</f>
        <v>0.22</v>
      </c>
      <c r="P180" s="1211"/>
      <c r="Q180" s="853"/>
      <c r="R180" s="1213">
        <f>R177*O180</f>
        <v>124935.64733045748</v>
      </c>
    </row>
    <row r="181" spans="2:18">
      <c r="B181" s="787" t="s">
        <v>198</v>
      </c>
      <c r="C181" s="848"/>
      <c r="D181" s="847"/>
      <c r="E181" s="846"/>
      <c r="F181" s="1214">
        <f>F180+F177</f>
        <v>630380.88255701098</v>
      </c>
      <c r="G181" s="786"/>
      <c r="H181" s="787" t="s">
        <v>198</v>
      </c>
      <c r="I181" s="848"/>
      <c r="J181" s="847"/>
      <c r="K181" s="846"/>
      <c r="L181" s="1214">
        <f>L180+L177</f>
        <v>661602.91796750133</v>
      </c>
      <c r="N181" s="787" t="s">
        <v>198</v>
      </c>
      <c r="O181" s="848"/>
      <c r="P181" s="847"/>
      <c r="Q181" s="846"/>
      <c r="R181" s="1214">
        <f>SUM(R177:R180)</f>
        <v>692824.95337799145</v>
      </c>
    </row>
    <row r="182" spans="2:18">
      <c r="B182" s="29" t="s">
        <v>313</v>
      </c>
      <c r="C182" s="30"/>
      <c r="D182" s="16">
        <f>V10</f>
        <v>5155.4902174195804</v>
      </c>
      <c r="E182" s="841"/>
      <c r="F182" s="1203">
        <f>D182*$E$176</f>
        <v>24488.578532743006</v>
      </c>
      <c r="G182" s="786"/>
      <c r="H182" s="29" t="s">
        <v>313</v>
      </c>
      <c r="I182" s="30"/>
      <c r="J182" s="16">
        <f>V10</f>
        <v>5155.4902174195804</v>
      </c>
      <c r="K182" s="841"/>
      <c r="L182" s="1203">
        <f>J182*$K$176</f>
        <v>25777.451087097903</v>
      </c>
      <c r="N182" s="29" t="s">
        <v>313</v>
      </c>
      <c r="O182" s="30"/>
      <c r="P182" s="16">
        <f>V10</f>
        <v>5155.4902174195804</v>
      </c>
      <c r="Q182" s="841"/>
      <c r="R182" s="1203">
        <f>P182*$Q$176</f>
        <v>25777.451087097903</v>
      </c>
    </row>
    <row r="183" spans="2:18">
      <c r="B183" s="835" t="s">
        <v>673</v>
      </c>
      <c r="C183" s="821"/>
      <c r="D183" s="16">
        <f t="shared" ref="D183:D186" si="50">V11</f>
        <v>178.16741415351552</v>
      </c>
      <c r="E183" s="838"/>
      <c r="F183" s="1203">
        <f>D183*$E$176</f>
        <v>846.29521722919878</v>
      </c>
      <c r="G183" s="786"/>
      <c r="H183" s="835" t="s">
        <v>673</v>
      </c>
      <c r="I183" s="821"/>
      <c r="J183" s="16">
        <f t="shared" ref="J183:J186" si="51">V11</f>
        <v>178.16741415351552</v>
      </c>
      <c r="K183" s="838"/>
      <c r="L183" s="1203">
        <f>J183*$K$176</f>
        <v>890.83707076757764</v>
      </c>
      <c r="N183" s="835" t="s">
        <v>673</v>
      </c>
      <c r="O183" s="821"/>
      <c r="P183" s="16">
        <f t="shared" ref="P183:P186" si="52">V11</f>
        <v>178.16741415351552</v>
      </c>
      <c r="Q183" s="838"/>
      <c r="R183" s="1203">
        <f>P183*$Q$176</f>
        <v>890.83707076757764</v>
      </c>
    </row>
    <row r="184" spans="2:18">
      <c r="B184" s="822" t="s">
        <v>674</v>
      </c>
      <c r="C184" s="821"/>
      <c r="D184" s="16">
        <f t="shared" si="50"/>
        <v>1410.7821990248415</v>
      </c>
      <c r="E184" s="838"/>
      <c r="F184" s="1203">
        <f>D184*$E$176</f>
        <v>6701.2154453679968</v>
      </c>
      <c r="G184" s="786"/>
      <c r="H184" s="822" t="s">
        <v>674</v>
      </c>
      <c r="I184" s="821"/>
      <c r="J184" s="16">
        <f t="shared" si="51"/>
        <v>1410.7821990248415</v>
      </c>
      <c r="K184" s="838"/>
      <c r="L184" s="1203">
        <f>J184*$K$176</f>
        <v>7053.9109951242071</v>
      </c>
      <c r="N184" s="822" t="s">
        <v>674</v>
      </c>
      <c r="O184" s="821"/>
      <c r="P184" s="16">
        <f t="shared" si="52"/>
        <v>1410.7821990248415</v>
      </c>
      <c r="Q184" s="838"/>
      <c r="R184" s="1203">
        <f>P184*$Q$176</f>
        <v>7053.9109951242071</v>
      </c>
    </row>
    <row r="185" spans="2:18">
      <c r="B185" s="822" t="s">
        <v>685</v>
      </c>
      <c r="C185" s="821"/>
      <c r="D185" s="16">
        <f t="shared" si="50"/>
        <v>799.70498223424943</v>
      </c>
      <c r="E185" s="838"/>
      <c r="F185" s="1203">
        <f>D185*$E$176</f>
        <v>3798.5986656126847</v>
      </c>
      <c r="G185" s="786"/>
      <c r="H185" s="822" t="s">
        <v>685</v>
      </c>
      <c r="I185" s="821"/>
      <c r="J185" s="16">
        <f t="shared" si="51"/>
        <v>799.70498223424943</v>
      </c>
      <c r="K185" s="838"/>
      <c r="L185" s="1203">
        <f>J185*$K$176</f>
        <v>3998.5249111712474</v>
      </c>
      <c r="N185" s="822" t="s">
        <v>685</v>
      </c>
      <c r="O185" s="821"/>
      <c r="P185" s="16">
        <f t="shared" si="52"/>
        <v>799.70498223424943</v>
      </c>
      <c r="Q185" s="838"/>
      <c r="R185" s="1203">
        <f>P185*$Q$176</f>
        <v>3998.5249111712474</v>
      </c>
    </row>
    <row r="186" spans="2:18">
      <c r="B186" s="835" t="s">
        <v>686</v>
      </c>
      <c r="C186" s="386"/>
      <c r="D186" s="16">
        <f t="shared" si="50"/>
        <v>1572.2963237683009</v>
      </c>
      <c r="E186" s="833"/>
      <c r="F186" s="1203">
        <f>D186*$E$176</f>
        <v>7468.4075378994294</v>
      </c>
      <c r="G186" s="786"/>
      <c r="H186" s="835" t="s">
        <v>686</v>
      </c>
      <c r="I186" s="386"/>
      <c r="J186" s="16">
        <f t="shared" si="51"/>
        <v>1572.2963237683009</v>
      </c>
      <c r="K186" s="833"/>
      <c r="L186" s="1203">
        <f>J186*$K$176</f>
        <v>7861.4816188415043</v>
      </c>
      <c r="N186" s="835" t="s">
        <v>686</v>
      </c>
      <c r="O186" s="386"/>
      <c r="P186" s="16">
        <f t="shared" si="52"/>
        <v>1572.2963237683009</v>
      </c>
      <c r="Q186" s="833"/>
      <c r="R186" s="1203">
        <f>P186*$Q$176</f>
        <v>7861.4816188415043</v>
      </c>
    </row>
    <row r="187" spans="2:18">
      <c r="B187" s="827"/>
      <c r="C187" s="826"/>
      <c r="D187" s="825"/>
      <c r="E187" s="824"/>
      <c r="F187" s="1219"/>
      <c r="G187" s="786"/>
      <c r="H187" s="827"/>
      <c r="I187" s="826"/>
      <c r="J187" s="825"/>
      <c r="K187" s="824"/>
      <c r="L187" s="1219"/>
      <c r="N187" s="827"/>
      <c r="O187" s="826"/>
      <c r="P187" s="825"/>
      <c r="Q187" s="824"/>
      <c r="R187" s="1219"/>
    </row>
    <row r="188" spans="2:18" ht="15.75" thickBot="1">
      <c r="B188" s="816" t="s">
        <v>203</v>
      </c>
      <c r="C188" s="815"/>
      <c r="D188" s="814"/>
      <c r="E188" s="813"/>
      <c r="F188" s="1220">
        <f>SUM(F181:F187)</f>
        <v>673683.97795586323</v>
      </c>
      <c r="G188" s="1221"/>
      <c r="H188" s="816" t="s">
        <v>203</v>
      </c>
      <c r="I188" s="815"/>
      <c r="J188" s="814"/>
      <c r="K188" s="813"/>
      <c r="L188" s="1220">
        <f>SUM(L181:L187)</f>
        <v>707185.12365050381</v>
      </c>
      <c r="N188" s="816" t="s">
        <v>203</v>
      </c>
      <c r="O188" s="815"/>
      <c r="P188" s="814"/>
      <c r="Q188" s="813"/>
      <c r="R188" s="1220">
        <f>SUM(R181:R187)</f>
        <v>738407.15906099393</v>
      </c>
    </row>
    <row r="189" spans="2:18" ht="15.75" thickTop="1">
      <c r="B189" s="2769" t="s">
        <v>315</v>
      </c>
      <c r="C189" s="890">
        <f>C161</f>
        <v>0.11</v>
      </c>
      <c r="D189" s="830"/>
      <c r="E189" s="829"/>
      <c r="F189" s="1210">
        <f>C189*F188</f>
        <v>74105.237575144958</v>
      </c>
      <c r="G189" s="1221"/>
      <c r="H189" s="2769" t="s">
        <v>315</v>
      </c>
      <c r="I189" s="890">
        <f>I161</f>
        <v>0.11</v>
      </c>
      <c r="J189" s="830"/>
      <c r="K189" s="829"/>
      <c r="L189" s="1210">
        <f>I189*L188</f>
        <v>77790.363601555422</v>
      </c>
      <c r="N189" s="2769" t="s">
        <v>315</v>
      </c>
      <c r="O189" s="890">
        <f>O161</f>
        <v>0.11</v>
      </c>
      <c r="P189" s="830"/>
      <c r="Q189" s="829"/>
      <c r="R189" s="1210">
        <f>O189*R188</f>
        <v>81224.787496709338</v>
      </c>
    </row>
    <row r="190" spans="2:18">
      <c r="B190" s="2771" t="s">
        <v>653</v>
      </c>
      <c r="C190" s="2811">
        <f>C162</f>
        <v>6.3E-3</v>
      </c>
      <c r="D190" s="830"/>
      <c r="E190" s="829"/>
      <c r="F190" s="1210">
        <f>C190*F177</f>
        <v>3255.24554107309</v>
      </c>
      <c r="G190" s="1221"/>
      <c r="H190" s="2771" t="s">
        <v>653</v>
      </c>
      <c r="I190" s="2811">
        <f>I162</f>
        <v>6.3E-3</v>
      </c>
      <c r="J190" s="830"/>
      <c r="K190" s="829"/>
      <c r="L190" s="1210">
        <f>I190*L177</f>
        <v>3416.4740845862771</v>
      </c>
      <c r="N190" s="2771" t="s">
        <v>653</v>
      </c>
      <c r="O190" s="2811">
        <f>O162</f>
        <v>6.3E-3</v>
      </c>
      <c r="P190" s="830"/>
      <c r="Q190" s="829"/>
      <c r="R190" s="1210">
        <f>O190*R177</f>
        <v>3577.7026280994642</v>
      </c>
    </row>
    <row r="191" spans="2:18" ht="15.75" thickBot="1">
      <c r="B191" s="2807"/>
      <c r="C191" s="2812"/>
      <c r="D191" s="830"/>
      <c r="E191" s="829"/>
      <c r="F191" s="2824">
        <f>C191*(F182+F183+F184+F185+F186)</f>
        <v>0</v>
      </c>
      <c r="G191" s="1221"/>
      <c r="H191" s="2807"/>
      <c r="I191" s="2812"/>
      <c r="J191" s="830"/>
      <c r="K191" s="829"/>
      <c r="L191" s="2824">
        <f>I191*(L182+L183+L184+L185+L186)</f>
        <v>0</v>
      </c>
      <c r="N191" s="2807"/>
      <c r="O191" s="2812"/>
      <c r="P191" s="830"/>
      <c r="Q191" s="829"/>
      <c r="R191" s="2824">
        <f>O191*(R182+R183+R184+R185+R186)</f>
        <v>0</v>
      </c>
    </row>
    <row r="192" spans="2:18">
      <c r="B192" s="2807"/>
      <c r="C192" s="2812"/>
      <c r="D192" s="830"/>
      <c r="E192" s="829"/>
      <c r="F192" s="2813">
        <f>SUM(F188:F191)</f>
        <v>751044.46107208123</v>
      </c>
      <c r="G192" s="1221"/>
      <c r="H192" s="2807"/>
      <c r="I192" s="2812"/>
      <c r="J192" s="830"/>
      <c r="K192" s="829"/>
      <c r="L192" s="2813">
        <f>SUM(L188:L191)</f>
        <v>788391.96133664553</v>
      </c>
      <c r="N192" s="2807"/>
      <c r="O192" s="2812"/>
      <c r="P192" s="830"/>
      <c r="Q192" s="829"/>
      <c r="R192" s="2813">
        <f>SUM(R188:R191)</f>
        <v>823209.64918580279</v>
      </c>
    </row>
    <row r="193" spans="2:18">
      <c r="B193" s="832" t="s">
        <v>205</v>
      </c>
      <c r="C193" s="890">
        <f>$V$20</f>
        <v>1.8120393120392975E-2</v>
      </c>
      <c r="D193" s="830"/>
      <c r="E193" s="829"/>
      <c r="F193" s="2813">
        <f>C193*F192</f>
        <v>13609.220885519791</v>
      </c>
      <c r="G193" s="1221"/>
      <c r="H193" s="832" t="s">
        <v>205</v>
      </c>
      <c r="I193" s="890">
        <f>$V$20</f>
        <v>1.8120393120392975E-2</v>
      </c>
      <c r="J193" s="830"/>
      <c r="K193" s="829"/>
      <c r="L193" s="2813">
        <f>I193*L192</f>
        <v>14285.972272377676</v>
      </c>
      <c r="N193" s="832" t="s">
        <v>205</v>
      </c>
      <c r="O193" s="890">
        <f>$V$20</f>
        <v>1.8120393120392975E-2</v>
      </c>
      <c r="P193" s="830"/>
      <c r="Q193" s="829"/>
      <c r="R193" s="2813">
        <f>O193*R192</f>
        <v>14916.882463747535</v>
      </c>
    </row>
    <row r="194" spans="2:18" ht="15.75" thickBot="1">
      <c r="D194" s="830"/>
      <c r="E194" s="829"/>
      <c r="F194" s="1220">
        <f>SUM(F192:F193)</f>
        <v>764653.68195760099</v>
      </c>
      <c r="G194" s="1221"/>
      <c r="J194" s="830"/>
      <c r="K194" s="829"/>
      <c r="L194" s="1220">
        <f>SUM(L192:L193)</f>
        <v>802677.93360902322</v>
      </c>
      <c r="P194" s="830"/>
      <c r="Q194" s="829"/>
      <c r="R194" s="1220">
        <f>SUM(R192:R193)</f>
        <v>838126.53164955031</v>
      </c>
    </row>
    <row r="195" spans="2:18" ht="16.5" thickTop="1" thickBot="1">
      <c r="B195" s="832"/>
      <c r="C195" s="890"/>
      <c r="D195" s="830"/>
      <c r="E195" s="829"/>
      <c r="F195" s="2825"/>
      <c r="G195" s="1221"/>
      <c r="H195" s="832"/>
      <c r="I195" s="890"/>
      <c r="J195" s="830"/>
      <c r="K195" s="829"/>
      <c r="L195" s="2825"/>
      <c r="N195" s="832"/>
      <c r="O195" s="890"/>
      <c r="P195" s="830"/>
      <c r="Q195" s="829"/>
      <c r="R195" s="2825"/>
    </row>
    <row r="196" spans="2:18" ht="16.5" thickTop="1" thickBot="1">
      <c r="B196" s="798" t="s">
        <v>318</v>
      </c>
      <c r="C196" s="811"/>
      <c r="D196" s="811"/>
      <c r="E196" s="811"/>
      <c r="F196" s="1266">
        <f>F194/12</f>
        <v>63721.140163133416</v>
      </c>
      <c r="G196" s="1221"/>
      <c r="H196" s="798" t="s">
        <v>318</v>
      </c>
      <c r="I196" s="811"/>
      <c r="J196" s="811"/>
      <c r="K196" s="811"/>
      <c r="L196" s="1266">
        <f>L194/12</f>
        <v>66889.82780075194</v>
      </c>
      <c r="N196" s="798" t="s">
        <v>318</v>
      </c>
      <c r="O196" s="811"/>
      <c r="P196" s="811"/>
      <c r="Q196" s="811"/>
      <c r="R196" s="1266">
        <f>R194/12</f>
        <v>69843.87763746253</v>
      </c>
    </row>
    <row r="197" spans="2:18">
      <c r="B197" s="1225"/>
      <c r="C197" s="1225"/>
      <c r="D197" s="1225"/>
      <c r="E197" s="1225"/>
      <c r="F197" s="1226">
        <v>61952.21</v>
      </c>
      <c r="G197" s="1227"/>
      <c r="H197" s="1225"/>
      <c r="L197" s="1192">
        <v>64781.32</v>
      </c>
      <c r="R197" s="786">
        <v>67666.100000000006</v>
      </c>
    </row>
    <row r="198" spans="2:18">
      <c r="B198" s="1225"/>
      <c r="C198" s="1225"/>
      <c r="D198" s="1225"/>
      <c r="E198" s="1225"/>
      <c r="F198" s="2695">
        <f>(F196-F197)/F196</f>
        <v>2.7760491394296347E-2</v>
      </c>
      <c r="G198" s="2695"/>
      <c r="H198" s="2695"/>
      <c r="I198" s="2695"/>
      <c r="J198" s="2695"/>
      <c r="K198" s="2695"/>
      <c r="L198" s="2695">
        <f t="shared" ref="L198:R198" si="53">(L196-L197)/L196</f>
        <v>3.152209939951793E-2</v>
      </c>
      <c r="M198" s="2695"/>
      <c r="N198" s="2695"/>
      <c r="O198" s="2695"/>
      <c r="P198" s="2695"/>
      <c r="Q198" s="2695"/>
      <c r="R198" s="2695">
        <f t="shared" si="53"/>
        <v>3.1180651921513855E-2</v>
      </c>
    </row>
    <row r="199" spans="2:18" ht="15.75" thickBot="1">
      <c r="B199" s="1225"/>
      <c r="C199" s="1225"/>
      <c r="D199" s="1225"/>
      <c r="E199" s="1225"/>
      <c r="F199" s="1226"/>
      <c r="G199" s="1227"/>
      <c r="H199" s="1225"/>
      <c r="R199" s="786"/>
    </row>
    <row r="200" spans="2:18">
      <c r="B200" s="3145" t="s">
        <v>1048</v>
      </c>
      <c r="C200" s="3146"/>
      <c r="D200" s="3146"/>
      <c r="E200" s="3146"/>
      <c r="F200" s="3147"/>
      <c r="G200" s="786"/>
      <c r="H200" s="3145" t="s">
        <v>1049</v>
      </c>
      <c r="I200" s="3146"/>
      <c r="J200" s="3146"/>
      <c r="K200" s="3146"/>
      <c r="L200" s="3147"/>
      <c r="N200" s="3145" t="s">
        <v>1050</v>
      </c>
      <c r="O200" s="3146"/>
      <c r="P200" s="3146"/>
      <c r="Q200" s="3146"/>
      <c r="R200" s="3147"/>
    </row>
    <row r="201" spans="2:18" ht="30">
      <c r="B201" s="832"/>
      <c r="C201" s="1196" t="s">
        <v>311</v>
      </c>
      <c r="D201" s="1197" t="s">
        <v>209</v>
      </c>
      <c r="E201" s="1198" t="s">
        <v>190</v>
      </c>
      <c r="F201" s="1199" t="s">
        <v>210</v>
      </c>
      <c r="G201" s="786"/>
      <c r="H201" s="832"/>
      <c r="I201" s="1196" t="s">
        <v>311</v>
      </c>
      <c r="J201" s="1197" t="s">
        <v>209</v>
      </c>
      <c r="K201" s="1198" t="s">
        <v>190</v>
      </c>
      <c r="L201" s="1199" t="s">
        <v>210</v>
      </c>
      <c r="N201" s="832"/>
      <c r="O201" s="1196" t="s">
        <v>311</v>
      </c>
      <c r="P201" s="1197" t="s">
        <v>209</v>
      </c>
      <c r="Q201" s="1198" t="s">
        <v>190</v>
      </c>
      <c r="R201" s="1199" t="s">
        <v>210</v>
      </c>
    </row>
    <row r="202" spans="2:18">
      <c r="B202" s="15" t="s">
        <v>191</v>
      </c>
      <c r="C202" s="16"/>
      <c r="D202" s="871">
        <f>V6</f>
        <v>55383.32303680529</v>
      </c>
      <c r="E202" s="1202">
        <f>U47</f>
        <v>2.75</v>
      </c>
      <c r="F202" s="1203">
        <f>D202*E202</f>
        <v>152304.13835121455</v>
      </c>
      <c r="G202" s="786"/>
      <c r="H202" s="15" t="s">
        <v>191</v>
      </c>
      <c r="I202" s="16"/>
      <c r="J202" s="871">
        <f t="shared" ref="J202:J203" si="54">V6</f>
        <v>55383.32303680529</v>
      </c>
      <c r="K202" s="1202">
        <f>U48</f>
        <v>2.85</v>
      </c>
      <c r="L202" s="1203">
        <f>J202*K202</f>
        <v>157842.47065489509</v>
      </c>
      <c r="N202" s="15" t="s">
        <v>191</v>
      </c>
      <c r="O202" s="16"/>
      <c r="P202" s="871">
        <f>V6</f>
        <v>55383.32303680529</v>
      </c>
      <c r="Q202" s="1202">
        <f>U49</f>
        <v>2.95</v>
      </c>
      <c r="R202" s="1203">
        <f>P202*Q202</f>
        <v>163380.8029585756</v>
      </c>
    </row>
    <row r="203" spans="2:18">
      <c r="B203" s="18" t="s">
        <v>466</v>
      </c>
      <c r="C203" s="749"/>
      <c r="D203" s="871">
        <f>V7</f>
        <v>40107</v>
      </c>
      <c r="E203" s="1204">
        <f>T47</f>
        <v>11</v>
      </c>
      <c r="F203" s="1203">
        <f t="shared" ref="F203:F204" si="55">D203*E203</f>
        <v>441177</v>
      </c>
      <c r="G203" s="786"/>
      <c r="H203" s="18" t="s">
        <v>466</v>
      </c>
      <c r="I203" s="749"/>
      <c r="J203" s="871">
        <f t="shared" si="54"/>
        <v>40107</v>
      </c>
      <c r="K203" s="1204">
        <f>T48</f>
        <v>11.5</v>
      </c>
      <c r="L203" s="1203">
        <f t="shared" ref="L203:L204" si="56">J203*K203</f>
        <v>461230.5</v>
      </c>
      <c r="N203" s="18" t="s">
        <v>466</v>
      </c>
      <c r="O203" s="749"/>
      <c r="P203" s="871">
        <f>V7</f>
        <v>40107</v>
      </c>
      <c r="Q203" s="1204">
        <f>T49</f>
        <v>12</v>
      </c>
      <c r="R203" s="1203">
        <f t="shared" ref="R203:R204" si="57">P203*Q203</f>
        <v>481284</v>
      </c>
    </row>
    <row r="204" spans="2:18">
      <c r="B204" s="18" t="s">
        <v>641</v>
      </c>
      <c r="C204" s="749"/>
      <c r="D204" s="871">
        <f>V8</f>
        <v>31200</v>
      </c>
      <c r="E204" s="1204">
        <f>V47</f>
        <v>5</v>
      </c>
      <c r="F204" s="1203">
        <f t="shared" si="55"/>
        <v>156000</v>
      </c>
      <c r="G204" s="786"/>
      <c r="H204" s="18" t="s">
        <v>641</v>
      </c>
      <c r="I204" s="749"/>
      <c r="J204" s="871">
        <f>V8</f>
        <v>31200</v>
      </c>
      <c r="K204" s="1204">
        <f>V48</f>
        <v>5</v>
      </c>
      <c r="L204" s="1203">
        <f t="shared" si="56"/>
        <v>156000</v>
      </c>
      <c r="N204" s="18" t="s">
        <v>641</v>
      </c>
      <c r="O204" s="749"/>
      <c r="P204" s="871">
        <f>V8</f>
        <v>31200</v>
      </c>
      <c r="Q204" s="1204">
        <f>V49</f>
        <v>5</v>
      </c>
      <c r="R204" s="1203">
        <f t="shared" si="57"/>
        <v>156000</v>
      </c>
    </row>
    <row r="205" spans="2:18">
      <c r="B205" s="868" t="s">
        <v>194</v>
      </c>
      <c r="C205" s="867"/>
      <c r="D205" s="866"/>
      <c r="E205" s="1206">
        <f>SUM(E202:E204)</f>
        <v>18.75</v>
      </c>
      <c r="F205" s="1207">
        <f>SUM(F202:F203)</f>
        <v>593481.13835121458</v>
      </c>
      <c r="G205" s="786"/>
      <c r="H205" s="868" t="s">
        <v>194</v>
      </c>
      <c r="I205" s="867"/>
      <c r="J205" s="866"/>
      <c r="K205" s="1206">
        <f>SUM(K202:K204)</f>
        <v>19.350000000000001</v>
      </c>
      <c r="L205" s="1207">
        <f>SUM(L202:L203)</f>
        <v>619072.97065489506</v>
      </c>
      <c r="N205" s="868" t="s">
        <v>194</v>
      </c>
      <c r="O205" s="867"/>
      <c r="P205" s="866"/>
      <c r="Q205" s="1206">
        <f>SUM(Q202:Q204)</f>
        <v>19.95</v>
      </c>
      <c r="R205" s="1207">
        <f>SUM(R202:R203)</f>
        <v>644664.80295857554</v>
      </c>
    </row>
    <row r="206" spans="2:18">
      <c r="B206" s="863"/>
      <c r="C206" s="862"/>
      <c r="D206" s="861"/>
      <c r="E206" s="1208"/>
      <c r="F206" s="1209"/>
      <c r="G206" s="786"/>
      <c r="H206" s="863"/>
      <c r="I206" s="862"/>
      <c r="J206" s="861"/>
      <c r="K206" s="860"/>
      <c r="L206" s="1209"/>
      <c r="N206" s="863"/>
      <c r="O206" s="862"/>
      <c r="P206" s="861"/>
      <c r="Q206" s="1208"/>
      <c r="R206" s="1209"/>
    </row>
    <row r="207" spans="2:18">
      <c r="B207" s="832" t="s">
        <v>195</v>
      </c>
      <c r="C207" s="859"/>
      <c r="D207" s="830"/>
      <c r="E207" s="858"/>
      <c r="F207" s="1210"/>
      <c r="G207" s="786"/>
      <c r="H207" s="832" t="s">
        <v>195</v>
      </c>
      <c r="I207" s="859"/>
      <c r="J207" s="830"/>
      <c r="K207" s="858"/>
      <c r="L207" s="1210"/>
      <c r="N207" s="832" t="s">
        <v>195</v>
      </c>
      <c r="O207" s="859"/>
      <c r="P207" s="830"/>
      <c r="Q207" s="858"/>
      <c r="R207" s="1210"/>
    </row>
    <row r="208" spans="2:18">
      <c r="B208" s="822" t="s">
        <v>196</v>
      </c>
      <c r="C208" s="855">
        <f>V16</f>
        <v>0.22</v>
      </c>
      <c r="D208" s="1211"/>
      <c r="E208" s="853"/>
      <c r="F208" s="1212">
        <f>C208*F205</f>
        <v>130565.8504372672</v>
      </c>
      <c r="G208" s="786"/>
      <c r="H208" s="822" t="s">
        <v>196</v>
      </c>
      <c r="I208" s="855">
        <f>V16</f>
        <v>0.22</v>
      </c>
      <c r="J208" s="1211"/>
      <c r="K208" s="853"/>
      <c r="L208" s="1213">
        <f>I208*L205</f>
        <v>136196.05354407692</v>
      </c>
      <c r="N208" s="822" t="s">
        <v>196</v>
      </c>
      <c r="O208" s="855">
        <f>V16</f>
        <v>0.22</v>
      </c>
      <c r="P208" s="1211"/>
      <c r="Q208" s="853"/>
      <c r="R208" s="1213">
        <f>O208*R205</f>
        <v>141826.25665088661</v>
      </c>
    </row>
    <row r="209" spans="2:18">
      <c r="B209" s="787" t="s">
        <v>198</v>
      </c>
      <c r="C209" s="848"/>
      <c r="D209" s="847"/>
      <c r="E209" s="846"/>
      <c r="F209" s="1214">
        <f>F208+F205</f>
        <v>724046.9887884818</v>
      </c>
      <c r="G209" s="786"/>
      <c r="H209" s="787" t="s">
        <v>198</v>
      </c>
      <c r="I209" s="848"/>
      <c r="J209" s="847"/>
      <c r="K209" s="846"/>
      <c r="L209" s="1214">
        <f>L208+L205</f>
        <v>755269.02419897192</v>
      </c>
      <c r="N209" s="787" t="s">
        <v>198</v>
      </c>
      <c r="O209" s="848"/>
      <c r="P209" s="847"/>
      <c r="Q209" s="846"/>
      <c r="R209" s="1214">
        <f>R208+R205</f>
        <v>786491.05960946216</v>
      </c>
    </row>
    <row r="210" spans="2:18">
      <c r="B210" s="29" t="s">
        <v>313</v>
      </c>
      <c r="C210" s="30"/>
      <c r="D210" s="16">
        <f>V10</f>
        <v>5155.4902174195804</v>
      </c>
      <c r="E210" s="841"/>
      <c r="F210" s="1203">
        <f>D210*$E$204</f>
        <v>25777.451087097903</v>
      </c>
      <c r="G210" s="786"/>
      <c r="H210" s="29" t="s">
        <v>313</v>
      </c>
      <c r="I210" s="30"/>
      <c r="J210" s="16">
        <f>V10</f>
        <v>5155.4902174195804</v>
      </c>
      <c r="K210" s="841"/>
      <c r="L210" s="1203">
        <f>J210*$K$204</f>
        <v>25777.451087097903</v>
      </c>
      <c r="N210" s="29" t="s">
        <v>313</v>
      </c>
      <c r="O210" s="30"/>
      <c r="P210" s="16">
        <f>V10</f>
        <v>5155.4902174195804</v>
      </c>
      <c r="Q210" s="841"/>
      <c r="R210" s="1203">
        <f>P210*$Q$204</f>
        <v>25777.451087097903</v>
      </c>
    </row>
    <row r="211" spans="2:18">
      <c r="B211" s="835" t="s">
        <v>673</v>
      </c>
      <c r="C211" s="821"/>
      <c r="D211" s="16">
        <f t="shared" ref="D211:D214" si="58">V11</f>
        <v>178.16741415351552</v>
      </c>
      <c r="E211" s="838"/>
      <c r="F211" s="1203">
        <f>D211*$E$204</f>
        <v>890.83707076757764</v>
      </c>
      <c r="G211" s="786"/>
      <c r="H211" s="835" t="s">
        <v>673</v>
      </c>
      <c r="I211" s="821"/>
      <c r="J211" s="16">
        <f t="shared" ref="J211:J214" si="59">V11</f>
        <v>178.16741415351552</v>
      </c>
      <c r="K211" s="838"/>
      <c r="L211" s="1203">
        <f>J211*$K$204</f>
        <v>890.83707076757764</v>
      </c>
      <c r="N211" s="835" t="s">
        <v>673</v>
      </c>
      <c r="O211" s="821"/>
      <c r="P211" s="16">
        <f t="shared" ref="P211:P214" si="60">V11</f>
        <v>178.16741415351552</v>
      </c>
      <c r="Q211" s="838"/>
      <c r="R211" s="1203">
        <f>P211*$Q$204</f>
        <v>890.83707076757764</v>
      </c>
    </row>
    <row r="212" spans="2:18">
      <c r="B212" s="822" t="s">
        <v>674</v>
      </c>
      <c r="C212" s="821"/>
      <c r="D212" s="16">
        <f t="shared" si="58"/>
        <v>1410.7821990248415</v>
      </c>
      <c r="E212" s="838"/>
      <c r="F212" s="1203">
        <f>D212*$E$204</f>
        <v>7053.9109951242071</v>
      </c>
      <c r="G212" s="786"/>
      <c r="H212" s="822" t="s">
        <v>674</v>
      </c>
      <c r="I212" s="821"/>
      <c r="J212" s="16">
        <f t="shared" si="59"/>
        <v>1410.7821990248415</v>
      </c>
      <c r="K212" s="838"/>
      <c r="L212" s="1203">
        <f>J212*$K$204</f>
        <v>7053.9109951242071</v>
      </c>
      <c r="N212" s="822" t="s">
        <v>674</v>
      </c>
      <c r="O212" s="821"/>
      <c r="P212" s="16">
        <f t="shared" si="60"/>
        <v>1410.7821990248415</v>
      </c>
      <c r="Q212" s="838"/>
      <c r="R212" s="1203">
        <f>P212*$Q$204</f>
        <v>7053.9109951242071</v>
      </c>
    </row>
    <row r="213" spans="2:18">
      <c r="B213" s="822" t="s">
        <v>685</v>
      </c>
      <c r="C213" s="821"/>
      <c r="D213" s="16">
        <f t="shared" si="58"/>
        <v>799.70498223424943</v>
      </c>
      <c r="E213" s="838"/>
      <c r="F213" s="1203">
        <f>D213*$E$204</f>
        <v>3998.5249111712474</v>
      </c>
      <c r="G213" s="786"/>
      <c r="H213" s="822" t="s">
        <v>685</v>
      </c>
      <c r="I213" s="821"/>
      <c r="J213" s="16">
        <f t="shared" si="59"/>
        <v>799.70498223424943</v>
      </c>
      <c r="K213" s="838"/>
      <c r="L213" s="1203">
        <f>J213*$K$204</f>
        <v>3998.5249111712474</v>
      </c>
      <c r="N213" s="822" t="s">
        <v>685</v>
      </c>
      <c r="O213" s="821"/>
      <c r="P213" s="16">
        <f t="shared" si="60"/>
        <v>799.70498223424943</v>
      </c>
      <c r="Q213" s="838"/>
      <c r="R213" s="1203">
        <f>P213*$Q$204</f>
        <v>3998.5249111712474</v>
      </c>
    </row>
    <row r="214" spans="2:18">
      <c r="B214" s="835" t="s">
        <v>686</v>
      </c>
      <c r="C214" s="386"/>
      <c r="D214" s="16">
        <f t="shared" si="58"/>
        <v>1572.2963237683009</v>
      </c>
      <c r="E214" s="833"/>
      <c r="F214" s="1203">
        <f>D214*$E$204</f>
        <v>7861.4816188415043</v>
      </c>
      <c r="G214" s="786"/>
      <c r="H214" s="835" t="s">
        <v>686</v>
      </c>
      <c r="I214" s="386"/>
      <c r="J214" s="16">
        <f t="shared" si="59"/>
        <v>1572.2963237683009</v>
      </c>
      <c r="K214" s="833"/>
      <c r="L214" s="1203">
        <f>J214*$K$204</f>
        <v>7861.4816188415043</v>
      </c>
      <c r="N214" s="835" t="s">
        <v>686</v>
      </c>
      <c r="O214" s="386"/>
      <c r="P214" s="16">
        <f t="shared" si="60"/>
        <v>1572.2963237683009</v>
      </c>
      <c r="Q214" s="833"/>
      <c r="R214" s="1203">
        <f>P214*$Q$204</f>
        <v>7861.4816188415043</v>
      </c>
    </row>
    <row r="215" spans="2:18">
      <c r="B215" s="827"/>
      <c r="C215" s="826"/>
      <c r="D215" s="825"/>
      <c r="E215" s="824"/>
      <c r="F215" s="1219"/>
      <c r="G215" s="786"/>
      <c r="H215" s="827"/>
      <c r="I215" s="826"/>
      <c r="J215" s="825"/>
      <c r="K215" s="824"/>
      <c r="L215" s="1219"/>
      <c r="N215" s="827"/>
      <c r="O215" s="826"/>
      <c r="P215" s="825"/>
      <c r="Q215" s="824"/>
      <c r="R215" s="1219"/>
    </row>
    <row r="216" spans="2:18" ht="15.75" thickBot="1">
      <c r="B216" s="816" t="s">
        <v>203</v>
      </c>
      <c r="C216" s="815"/>
      <c r="D216" s="814"/>
      <c r="E216" s="813"/>
      <c r="F216" s="1220">
        <f>SUM(F209:F215)</f>
        <v>769629.19447148428</v>
      </c>
      <c r="G216" s="1221"/>
      <c r="H216" s="816" t="s">
        <v>203</v>
      </c>
      <c r="I216" s="815"/>
      <c r="J216" s="814"/>
      <c r="K216" s="813"/>
      <c r="L216" s="1220">
        <f>SUM(L209:L215)</f>
        <v>800851.2298819744</v>
      </c>
      <c r="N216" s="816" t="s">
        <v>203</v>
      </c>
      <c r="O216" s="815"/>
      <c r="P216" s="814"/>
      <c r="Q216" s="813"/>
      <c r="R216" s="1220">
        <f>SUM(R209:R215)</f>
        <v>832073.26529246464</v>
      </c>
    </row>
    <row r="217" spans="2:18" ht="15.75" thickTop="1">
      <c r="B217" s="2769" t="s">
        <v>315</v>
      </c>
      <c r="C217" s="890">
        <f>C189</f>
        <v>0.11</v>
      </c>
      <c r="D217" s="830"/>
      <c r="E217" s="829"/>
      <c r="F217" s="1210">
        <f>C217*F216</f>
        <v>84659.211391863268</v>
      </c>
      <c r="G217" s="1221"/>
      <c r="H217" s="2769" t="s">
        <v>315</v>
      </c>
      <c r="I217" s="890">
        <f>I189</f>
        <v>0.11</v>
      </c>
      <c r="J217" s="830"/>
      <c r="K217" s="829"/>
      <c r="L217" s="1210">
        <f>I217*L216</f>
        <v>88093.635287017183</v>
      </c>
      <c r="N217" s="2769" t="s">
        <v>315</v>
      </c>
      <c r="O217" s="890">
        <f>O189</f>
        <v>0.11</v>
      </c>
      <c r="P217" s="830"/>
      <c r="Q217" s="829"/>
      <c r="R217" s="1210">
        <f>O217*R216</f>
        <v>91528.059182171113</v>
      </c>
    </row>
    <row r="218" spans="2:18">
      <c r="B218" s="2771" t="s">
        <v>653</v>
      </c>
      <c r="C218" s="2811">
        <f>C190</f>
        <v>6.3E-3</v>
      </c>
      <c r="D218" s="830"/>
      <c r="E218" s="829"/>
      <c r="F218" s="1210">
        <f>C218*F205</f>
        <v>3738.9311716126517</v>
      </c>
      <c r="G218" s="1221"/>
      <c r="H218" s="2771" t="s">
        <v>653</v>
      </c>
      <c r="I218" s="2811">
        <f>I190</f>
        <v>6.3E-3</v>
      </c>
      <c r="J218" s="830"/>
      <c r="K218" s="829"/>
      <c r="L218" s="1210">
        <f>I218*L205</f>
        <v>3900.1597151258388</v>
      </c>
      <c r="N218" s="2771" t="s">
        <v>653</v>
      </c>
      <c r="O218" s="2811">
        <f>O190</f>
        <v>6.3E-3</v>
      </c>
      <c r="P218" s="830"/>
      <c r="Q218" s="829"/>
      <c r="R218" s="1210">
        <f>O218*R205</f>
        <v>4061.3882586390259</v>
      </c>
    </row>
    <row r="219" spans="2:18" ht="15.75" thickBot="1">
      <c r="B219" s="2807"/>
      <c r="C219" s="2812"/>
      <c r="D219" s="830"/>
      <c r="E219" s="829"/>
      <c r="F219" s="2824">
        <f>C219*(F210+F211+F212+F213+F214)</f>
        <v>0</v>
      </c>
      <c r="G219" s="1221"/>
      <c r="H219" s="2807"/>
      <c r="I219" s="2812"/>
      <c r="J219" s="830"/>
      <c r="K219" s="829"/>
      <c r="L219" s="2824">
        <f>I219*(L210+L211+L212+L213+L214)</f>
        <v>0</v>
      </c>
      <c r="N219" s="2807"/>
      <c r="O219" s="2812"/>
      <c r="P219" s="830"/>
      <c r="Q219" s="829"/>
      <c r="R219" s="2824">
        <f>O219*(R210+R211+R212+R213+R214)</f>
        <v>0</v>
      </c>
    </row>
    <row r="220" spans="2:18">
      <c r="B220" s="2807"/>
      <c r="C220" s="2812"/>
      <c r="D220" s="830"/>
      <c r="E220" s="829"/>
      <c r="F220" s="2813">
        <f>SUM(F216:F219)</f>
        <v>858027.33703496028</v>
      </c>
      <c r="G220" s="1221"/>
      <c r="H220" s="2807"/>
      <c r="I220" s="2812"/>
      <c r="J220" s="830"/>
      <c r="K220" s="829"/>
      <c r="L220" s="2813">
        <f>SUM(L216:L219)</f>
        <v>892845.02488411742</v>
      </c>
      <c r="N220" s="2807"/>
      <c r="O220" s="2812"/>
      <c r="P220" s="830"/>
      <c r="Q220" s="829"/>
      <c r="R220" s="2813">
        <f>SUM(R216:R219)</f>
        <v>927662.71273327479</v>
      </c>
    </row>
    <row r="221" spans="2:18">
      <c r="B221" s="832" t="s">
        <v>205</v>
      </c>
      <c r="C221" s="890">
        <f>$V$20</f>
        <v>1.8120393120392975E-2</v>
      </c>
      <c r="D221" s="830"/>
      <c r="E221" s="829"/>
      <c r="F221" s="2813">
        <f>C221*F220</f>
        <v>15547.792655117399</v>
      </c>
      <c r="G221" s="1221"/>
      <c r="H221" s="832" t="s">
        <v>205</v>
      </c>
      <c r="I221" s="890">
        <f>$V$20</f>
        <v>1.8120393120392975E-2</v>
      </c>
      <c r="J221" s="830"/>
      <c r="K221" s="829"/>
      <c r="L221" s="2813">
        <f>I221*L220</f>
        <v>16178.702846487256</v>
      </c>
      <c r="N221" s="832" t="s">
        <v>205</v>
      </c>
      <c r="O221" s="890">
        <f>$V$20</f>
        <v>1.8120393120392975E-2</v>
      </c>
      <c r="P221" s="830"/>
      <c r="Q221" s="829"/>
      <c r="R221" s="2813">
        <f>O221*R220</f>
        <v>16809.613037857118</v>
      </c>
    </row>
    <row r="222" spans="2:18" ht="15.75" thickBot="1">
      <c r="D222" s="830"/>
      <c r="E222" s="829"/>
      <c r="F222" s="1220">
        <f>SUM(F220:F221)</f>
        <v>873575.12969007762</v>
      </c>
      <c r="G222" s="1221"/>
      <c r="J222" s="830"/>
      <c r="K222" s="829"/>
      <c r="L222" s="1220">
        <f>SUM(L220:L221)</f>
        <v>909023.7277306047</v>
      </c>
      <c r="P222" s="830"/>
      <c r="Q222" s="829"/>
      <c r="R222" s="1220">
        <f>SUM(R220:R221)</f>
        <v>944472.3257711319</v>
      </c>
    </row>
    <row r="223" spans="2:18" ht="16.5" thickTop="1" thickBot="1">
      <c r="B223" s="832"/>
      <c r="C223" s="890"/>
      <c r="D223" s="830"/>
      <c r="E223" s="829"/>
      <c r="F223" s="2825"/>
      <c r="G223" s="1221"/>
      <c r="H223" s="832"/>
      <c r="I223" s="890"/>
      <c r="J223" s="830"/>
      <c r="K223" s="829"/>
      <c r="L223" s="2825"/>
      <c r="N223" s="832"/>
      <c r="O223" s="890"/>
      <c r="P223" s="830"/>
      <c r="Q223" s="829"/>
      <c r="R223" s="2825"/>
    </row>
    <row r="224" spans="2:18" ht="16.5" thickTop="1" thickBot="1">
      <c r="B224" s="798" t="s">
        <v>318</v>
      </c>
      <c r="C224" s="811"/>
      <c r="D224" s="811"/>
      <c r="E224" s="811"/>
      <c r="F224" s="1266">
        <f>F222/12</f>
        <v>72797.927474173135</v>
      </c>
      <c r="G224" s="1221"/>
      <c r="H224" s="798" t="s">
        <v>318</v>
      </c>
      <c r="I224" s="811"/>
      <c r="J224" s="811"/>
      <c r="K224" s="811"/>
      <c r="L224" s="1266">
        <f>L222/12</f>
        <v>75751.977310883725</v>
      </c>
      <c r="N224" s="798" t="s">
        <v>318</v>
      </c>
      <c r="O224" s="811"/>
      <c r="P224" s="811"/>
      <c r="Q224" s="811"/>
      <c r="R224" s="1266">
        <f>R222/12</f>
        <v>78706.02714759433</v>
      </c>
    </row>
    <row r="225" spans="6:18">
      <c r="F225" s="1267">
        <v>70383.94</v>
      </c>
      <c r="G225" s="2822"/>
      <c r="H225" s="1267"/>
      <c r="I225" s="1267"/>
      <c r="J225" s="1267"/>
      <c r="K225" s="1267"/>
      <c r="L225" s="1267">
        <v>73157.289999999994</v>
      </c>
      <c r="M225" s="1267"/>
      <c r="N225" s="1267"/>
      <c r="O225" s="1267"/>
      <c r="P225" s="1267"/>
      <c r="Q225" s="1267"/>
      <c r="R225" s="1267">
        <v>75875.06</v>
      </c>
    </row>
    <row r="226" spans="6:18">
      <c r="F226" s="1842">
        <f>(F224-F225)/F224</f>
        <v>3.3160112628612327E-2</v>
      </c>
      <c r="G226" s="1842"/>
      <c r="H226" s="1842"/>
      <c r="I226" s="1842"/>
      <c r="J226" s="1842"/>
      <c r="K226" s="1842"/>
      <c r="L226" s="1842">
        <f t="shared" ref="L226:R226" si="61">(L224-L225)/L224</f>
        <v>3.4252403739049829E-2</v>
      </c>
      <c r="M226" s="1842"/>
      <c r="N226" s="1842"/>
      <c r="O226" s="1842"/>
      <c r="P226" s="1842"/>
      <c r="Q226" s="1842"/>
      <c r="R226" s="1842">
        <f t="shared" si="61"/>
        <v>3.5968873670697808E-2</v>
      </c>
    </row>
    <row r="227" spans="6:18">
      <c r="F227" s="786"/>
      <c r="G227" s="1232"/>
    </row>
    <row r="228" spans="6:18">
      <c r="F228" s="786"/>
      <c r="G228" s="1232"/>
    </row>
    <row r="229" spans="6:18">
      <c r="F229" s="786"/>
      <c r="G229" s="1232"/>
    </row>
    <row r="230" spans="6:18">
      <c r="F230" s="786"/>
      <c r="G230" s="1232"/>
    </row>
    <row r="231" spans="6:18">
      <c r="F231" s="786"/>
    </row>
    <row r="232" spans="6:18">
      <c r="F232" s="786"/>
    </row>
    <row r="233" spans="6:18">
      <c r="F233" s="786"/>
      <c r="G233" s="1236"/>
    </row>
    <row r="234" spans="6:18">
      <c r="F234" s="786"/>
      <c r="G234" s="1237"/>
    </row>
    <row r="235" spans="6:18">
      <c r="F235" s="786"/>
      <c r="G235" s="1238"/>
    </row>
    <row r="236" spans="6:18">
      <c r="F236" s="786"/>
      <c r="G236" s="1227"/>
    </row>
    <row r="237" spans="6:18">
      <c r="F237" s="786"/>
      <c r="G237" s="1227"/>
    </row>
    <row r="238" spans="6:18">
      <c r="F238" s="786"/>
      <c r="G238" s="1232"/>
    </row>
    <row r="239" spans="6:18">
      <c r="F239" s="786"/>
      <c r="G239" s="1232"/>
    </row>
    <row r="240" spans="6:18">
      <c r="F240" s="786"/>
      <c r="G240" s="1239"/>
    </row>
    <row r="241" spans="6:11">
      <c r="F241" s="786"/>
      <c r="G241" s="1235"/>
    </row>
    <row r="242" spans="6:11">
      <c r="F242" s="786"/>
      <c r="G242" s="1227"/>
    </row>
    <row r="243" spans="6:11">
      <c r="F243" s="786"/>
      <c r="G243" s="1227"/>
    </row>
    <row r="244" spans="6:11">
      <c r="F244" s="786"/>
      <c r="G244" s="1227"/>
    </row>
    <row r="245" spans="6:11">
      <c r="G245" s="1227"/>
    </row>
    <row r="246" spans="6:11">
      <c r="G246" s="1221"/>
    </row>
    <row r="247" spans="6:11">
      <c r="G247" s="1235"/>
      <c r="K247" s="790"/>
    </row>
    <row r="248" spans="6:11">
      <c r="G248" s="1227"/>
    </row>
    <row r="249" spans="6:11">
      <c r="G249" s="1232"/>
    </row>
    <row r="250" spans="6:11">
      <c r="G250" s="1232"/>
    </row>
    <row r="251" spans="6:11">
      <c r="G251" s="1232"/>
    </row>
    <row r="252" spans="6:11">
      <c r="G252" s="1232"/>
    </row>
    <row r="255" spans="6:11">
      <c r="G255" s="1236"/>
    </row>
    <row r="256" spans="6:11">
      <c r="G256" s="1237"/>
    </row>
    <row r="257" spans="7:12">
      <c r="G257" s="1238"/>
    </row>
    <row r="258" spans="7:12">
      <c r="G258" s="1227"/>
    </row>
    <row r="259" spans="7:12">
      <c r="G259" s="1227"/>
    </row>
    <row r="260" spans="7:12">
      <c r="G260" s="1232"/>
    </row>
    <row r="261" spans="7:12">
      <c r="G261" s="1232"/>
    </row>
    <row r="262" spans="7:12">
      <c r="G262" s="1239"/>
    </row>
    <row r="263" spans="7:12">
      <c r="G263" s="1235"/>
    </row>
    <row r="264" spans="7:12">
      <c r="G264" s="1227"/>
    </row>
    <row r="265" spans="7:12">
      <c r="G265" s="1227"/>
    </row>
    <row r="266" spans="7:12">
      <c r="G266" s="1227"/>
    </row>
    <row r="267" spans="7:12">
      <c r="G267" s="1227"/>
    </row>
    <row r="268" spans="7:12">
      <c r="G268" s="1221"/>
    </row>
    <row r="269" spans="7:12" ht="15.75" thickBot="1">
      <c r="G269" s="1235"/>
    </row>
    <row r="270" spans="7:12">
      <c r="G270" s="1227"/>
      <c r="H270" s="3145" t="s">
        <v>320</v>
      </c>
      <c r="I270" s="3146"/>
      <c r="J270" s="3146"/>
      <c r="K270" s="3146"/>
      <c r="L270" s="3147"/>
    </row>
    <row r="271" spans="7:12" ht="30">
      <c r="G271" s="1232"/>
      <c r="H271" s="832"/>
      <c r="I271" s="879" t="s">
        <v>311</v>
      </c>
      <c r="J271" s="830" t="s">
        <v>209</v>
      </c>
      <c r="K271" s="858" t="s">
        <v>190</v>
      </c>
      <c r="L271" s="1210" t="s">
        <v>210</v>
      </c>
    </row>
    <row r="272" spans="7:12">
      <c r="G272" s="1232"/>
      <c r="H272" s="15" t="s">
        <v>312</v>
      </c>
      <c r="I272" s="16"/>
      <c r="J272" s="871">
        <f t="shared" ref="J272:J273" si="62">V6</f>
        <v>55383.32303680529</v>
      </c>
      <c r="K272" s="876">
        <f>U43</f>
        <v>2.35</v>
      </c>
      <c r="L272" s="1203">
        <f>J272*K272</f>
        <v>130150.80913649243</v>
      </c>
    </row>
    <row r="273" spans="7:12">
      <c r="G273" s="1232"/>
      <c r="H273" s="18" t="s">
        <v>192</v>
      </c>
      <c r="I273" s="749"/>
      <c r="J273" s="871">
        <f t="shared" si="62"/>
        <v>40107</v>
      </c>
      <c r="K273" s="870">
        <f>T43</f>
        <v>9</v>
      </c>
      <c r="L273" s="1205">
        <f>J273*K273</f>
        <v>360963</v>
      </c>
    </row>
    <row r="274" spans="7:12">
      <c r="G274" s="1232"/>
      <c r="H274" s="868" t="s">
        <v>194</v>
      </c>
      <c r="I274" s="867"/>
      <c r="J274" s="866"/>
      <c r="K274" s="865">
        <v>9.81</v>
      </c>
      <c r="L274" s="1207">
        <f>SUM(L272:L273)</f>
        <v>491113.80913649243</v>
      </c>
    </row>
    <row r="275" spans="7:12">
      <c r="H275" s="863"/>
      <c r="I275" s="862"/>
      <c r="J275" s="861"/>
      <c r="K275" s="860"/>
      <c r="L275" s="1209"/>
    </row>
    <row r="276" spans="7:12">
      <c r="H276" s="832" t="s">
        <v>195</v>
      </c>
      <c r="I276" s="859"/>
      <c r="J276" s="830"/>
      <c r="K276" s="858"/>
      <c r="L276" s="1210"/>
    </row>
    <row r="277" spans="7:12">
      <c r="G277" s="1236"/>
      <c r="H277" s="822" t="s">
        <v>196</v>
      </c>
      <c r="I277" s="855">
        <f>V16</f>
        <v>0.22</v>
      </c>
      <c r="J277" s="1211"/>
      <c r="K277" s="853"/>
      <c r="L277" s="1213">
        <f>I277*L274</f>
        <v>108045.03801002834</v>
      </c>
    </row>
    <row r="278" spans="7:12">
      <c r="G278" s="1237"/>
      <c r="H278" s="787" t="s">
        <v>198</v>
      </c>
      <c r="I278" s="848">
        <v>0.75490568426383098</v>
      </c>
      <c r="J278" s="847"/>
      <c r="K278" s="846"/>
      <c r="L278" s="1214">
        <f>L277+L274</f>
        <v>599158.84714652074</v>
      </c>
    </row>
    <row r="279" spans="7:12">
      <c r="G279" s="1238"/>
      <c r="H279" s="29"/>
      <c r="I279" s="30"/>
      <c r="J279" s="16"/>
      <c r="K279" s="841"/>
      <c r="L279" s="1203"/>
    </row>
    <row r="280" spans="7:12">
      <c r="G280" s="1227"/>
      <c r="H280" s="835" t="s">
        <v>313</v>
      </c>
      <c r="I280" s="821">
        <v>7.4271004768536111E-2</v>
      </c>
      <c r="J280" s="16"/>
      <c r="K280" s="838"/>
      <c r="L280" s="1203">
        <v>51247</v>
      </c>
    </row>
    <row r="281" spans="7:12">
      <c r="G281" s="1227"/>
      <c r="H281" s="822" t="s">
        <v>314</v>
      </c>
      <c r="I281" s="821">
        <v>6.6843904291682493E-2</v>
      </c>
      <c r="J281" s="16"/>
      <c r="K281" s="838"/>
      <c r="L281" s="1203">
        <v>46123</v>
      </c>
    </row>
    <row r="282" spans="7:12">
      <c r="G282" s="1232"/>
      <c r="H282" s="822" t="s">
        <v>239</v>
      </c>
      <c r="I282" s="821">
        <v>2.228130143056083E-2</v>
      </c>
      <c r="J282" s="16"/>
      <c r="K282" s="838"/>
      <c r="L282" s="1203">
        <v>15374</v>
      </c>
    </row>
    <row r="283" spans="7:12">
      <c r="G283" s="1232"/>
      <c r="H283" s="835" t="s">
        <v>315</v>
      </c>
      <c r="I283" s="386">
        <v>8.1698105245389729E-2</v>
      </c>
      <c r="J283" s="834"/>
      <c r="K283" s="833"/>
      <c r="L283" s="1203">
        <v>56372</v>
      </c>
    </row>
    <row r="284" spans="7:12">
      <c r="G284" s="1239"/>
      <c r="H284" s="827" t="s">
        <v>317</v>
      </c>
      <c r="I284" s="826">
        <v>0.24509431573616919</v>
      </c>
      <c r="J284" s="825"/>
      <c r="K284" s="824"/>
      <c r="L284" s="1219">
        <f>SUM(L280:L283)</f>
        <v>169116</v>
      </c>
    </row>
    <row r="285" spans="7:12" ht="15.75" thickBot="1">
      <c r="G285" s="1235"/>
      <c r="H285" s="816" t="s">
        <v>203</v>
      </c>
      <c r="I285" s="815"/>
      <c r="J285" s="814"/>
      <c r="K285" s="813"/>
      <c r="L285" s="1220">
        <f>L278+L284</f>
        <v>768274.84714652074</v>
      </c>
    </row>
    <row r="286" spans="7:12" ht="16.5" thickTop="1" thickBot="1">
      <c r="G286" s="1227"/>
      <c r="H286" s="798" t="s">
        <v>318</v>
      </c>
      <c r="I286" s="811"/>
      <c r="J286" s="811"/>
      <c r="K286" s="811"/>
      <c r="L286" s="1240">
        <f>L285/12</f>
        <v>64022.903928876731</v>
      </c>
    </row>
    <row r="287" spans="7:12" ht="15.75" thickBot="1">
      <c r="G287" s="1227"/>
      <c r="H287" s="808"/>
      <c r="I287" s="807"/>
      <c r="J287" s="806"/>
      <c r="K287" s="806"/>
      <c r="L287" s="1241"/>
    </row>
    <row r="288" spans="7:12" ht="15.75" thickBot="1">
      <c r="G288" s="1227"/>
      <c r="H288" s="1242"/>
      <c r="I288" s="803"/>
      <c r="J288" s="802"/>
      <c r="K288" s="802"/>
      <c r="L288" s="1243"/>
    </row>
    <row r="289" spans="7:12" ht="15.75" thickBot="1">
      <c r="G289" s="1227"/>
      <c r="H289" s="1244" t="str">
        <f>W20</f>
        <v>Base 2020 Q1 -Prospective 1/1/2020 - 12/31/2021</v>
      </c>
      <c r="I289" s="1245">
        <f>V20</f>
        <v>1.8120393120392975E-2</v>
      </c>
      <c r="J289" s="1246"/>
      <c r="K289" s="1247"/>
      <c r="L289" s="1248">
        <f>(L286*I289)+L286</f>
        <v>65183.024116777131</v>
      </c>
    </row>
    <row r="290" spans="7:12">
      <c r="G290" s="1221"/>
      <c r="L290" s="1249">
        <v>58943</v>
      </c>
    </row>
    <row r="291" spans="7:12">
      <c r="G291" s="1235"/>
    </row>
    <row r="292" spans="7:12">
      <c r="G292" s="1227"/>
    </row>
    <row r="293" spans="7:12">
      <c r="G293" s="1232"/>
    </row>
    <row r="294" spans="7:12">
      <c r="G294" s="1232"/>
    </row>
    <row r="295" spans="7:12">
      <c r="G295" s="1232"/>
    </row>
    <row r="296" spans="7:12">
      <c r="G296" s="1232"/>
    </row>
    <row r="299" spans="7:12">
      <c r="G299" s="1236"/>
    </row>
    <row r="300" spans="7:12">
      <c r="G300" s="1237"/>
    </row>
    <row r="301" spans="7:12">
      <c r="G301" s="1238"/>
    </row>
    <row r="302" spans="7:12">
      <c r="G302" s="1227"/>
    </row>
    <row r="303" spans="7:12">
      <c r="G303" s="1227"/>
    </row>
    <row r="304" spans="7:12">
      <c r="G304" s="1232"/>
    </row>
    <row r="305" spans="7:7">
      <c r="G305" s="1232"/>
    </row>
    <row r="306" spans="7:7">
      <c r="G306" s="1239"/>
    </row>
    <row r="307" spans="7:7">
      <c r="G307" s="1235"/>
    </row>
    <row r="308" spans="7:7">
      <c r="G308" s="1227"/>
    </row>
    <row r="309" spans="7:7">
      <c r="G309" s="1227"/>
    </row>
    <row r="310" spans="7:7">
      <c r="G310" s="1227"/>
    </row>
    <row r="311" spans="7:7">
      <c r="G311" s="1227"/>
    </row>
    <row r="312" spans="7:7">
      <c r="G312" s="1221"/>
    </row>
    <row r="313" spans="7:7">
      <c r="G313" s="1235"/>
    </row>
    <row r="314" spans="7:7">
      <c r="G314" s="1227"/>
    </row>
    <row r="315" spans="7:7">
      <c r="G315" s="1232"/>
    </row>
    <row r="316" spans="7:7">
      <c r="G316" s="1232"/>
    </row>
    <row r="317" spans="7:7">
      <c r="G317" s="1232"/>
    </row>
    <row r="318" spans="7:7">
      <c r="G318" s="1232"/>
    </row>
    <row r="321" spans="7:7">
      <c r="G321" s="1236"/>
    </row>
    <row r="322" spans="7:7">
      <c r="G322" s="1237"/>
    </row>
    <row r="323" spans="7:7">
      <c r="G323" s="1238"/>
    </row>
    <row r="324" spans="7:7">
      <c r="G324" s="1227"/>
    </row>
    <row r="325" spans="7:7">
      <c r="G325" s="1227"/>
    </row>
    <row r="326" spans="7:7">
      <c r="G326" s="1232"/>
    </row>
    <row r="327" spans="7:7">
      <c r="G327" s="1232"/>
    </row>
    <row r="328" spans="7:7">
      <c r="G328" s="1239"/>
    </row>
    <row r="329" spans="7:7">
      <c r="G329" s="1235"/>
    </row>
    <row r="330" spans="7:7">
      <c r="G330" s="1227"/>
    </row>
    <row r="331" spans="7:7">
      <c r="G331" s="1227"/>
    </row>
    <row r="332" spans="7:7">
      <c r="G332" s="1227"/>
    </row>
    <row r="333" spans="7:7">
      <c r="G333" s="1227"/>
    </row>
    <row r="334" spans="7:7">
      <c r="G334" s="1221"/>
    </row>
    <row r="335" spans="7:7">
      <c r="G335" s="1235"/>
    </row>
    <row r="336" spans="7:7">
      <c r="G336" s="1227"/>
    </row>
    <row r="337" spans="7:7">
      <c r="G337" s="1232"/>
    </row>
    <row r="338" spans="7:7">
      <c r="G338" s="1232"/>
    </row>
    <row r="339" spans="7:7">
      <c r="G339" s="1232"/>
    </row>
    <row r="340" spans="7:7">
      <c r="G340" s="1232"/>
    </row>
  </sheetData>
  <mergeCells count="45">
    <mergeCell ref="W5:AA5"/>
    <mergeCell ref="R1:V2"/>
    <mergeCell ref="B4:F4"/>
    <mergeCell ref="H4:L4"/>
    <mergeCell ref="N4:R4"/>
    <mergeCell ref="T4:AA4"/>
    <mergeCell ref="AD57:AE57"/>
    <mergeCell ref="T24:T25"/>
    <mergeCell ref="U24:U25"/>
    <mergeCell ref="B32:F32"/>
    <mergeCell ref="H32:L32"/>
    <mergeCell ref="N32:R32"/>
    <mergeCell ref="T53:Y54"/>
    <mergeCell ref="T55:Y56"/>
    <mergeCell ref="T51:Y52"/>
    <mergeCell ref="V24:V25"/>
    <mergeCell ref="T23:V23"/>
    <mergeCell ref="W10:AA10"/>
    <mergeCell ref="W11:AA11"/>
    <mergeCell ref="W12:AA12"/>
    <mergeCell ref="W13:AA13"/>
    <mergeCell ref="Y23:Y25"/>
    <mergeCell ref="W23:X23"/>
    <mergeCell ref="W24:W25"/>
    <mergeCell ref="X24:X25"/>
    <mergeCell ref="W14:AA14"/>
    <mergeCell ref="B60:F60"/>
    <mergeCell ref="H60:L60"/>
    <mergeCell ref="N60:R60"/>
    <mergeCell ref="B88:F88"/>
    <mergeCell ref="H88:L88"/>
    <mergeCell ref="N88:R88"/>
    <mergeCell ref="B116:F116"/>
    <mergeCell ref="H116:L116"/>
    <mergeCell ref="N116:R116"/>
    <mergeCell ref="B144:F144"/>
    <mergeCell ref="H144:L144"/>
    <mergeCell ref="N144:R144"/>
    <mergeCell ref="H270:L270"/>
    <mergeCell ref="B172:F172"/>
    <mergeCell ref="H172:L172"/>
    <mergeCell ref="N172:R172"/>
    <mergeCell ref="B200:F200"/>
    <mergeCell ref="H200:L200"/>
    <mergeCell ref="N200:R200"/>
  </mergeCells>
  <pageMargins left="0.2" right="0.2" top="0.25" bottom="0.25" header="0.3" footer="0.3"/>
  <pageSetup orientation="portrait" r:id="rId1"/>
  <ignoredErrors>
    <ignoredError sqref="F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2:XFA54"/>
  <sheetViews>
    <sheetView topLeftCell="N4" workbookViewId="0">
      <selection activeCell="AC17" sqref="AC17:AE21"/>
    </sheetView>
  </sheetViews>
  <sheetFormatPr defaultColWidth="8.85546875" defaultRowHeight="11.25"/>
  <cols>
    <col min="1" max="4" width="8.85546875" style="1488"/>
    <col min="5" max="5" width="11.42578125" style="1488" customWidth="1"/>
    <col min="6" max="6" width="8.85546875" style="1488"/>
    <col min="7" max="7" width="3.85546875" style="1488" customWidth="1"/>
    <col min="8" max="8" width="22.140625" style="1488" customWidth="1"/>
    <col min="9" max="9" width="14.7109375" style="1488" customWidth="1"/>
    <col min="10" max="10" width="9.28515625" style="1488" bestFit="1" customWidth="1"/>
    <col min="11" max="11" width="11.42578125" style="1488" customWidth="1"/>
    <col min="12" max="12" width="12.28515625" style="1488" customWidth="1"/>
    <col min="13" max="13" width="2.5703125" style="1488" customWidth="1"/>
    <col min="14" max="14" width="5.5703125" style="1488" customWidth="1"/>
    <col min="15" max="15" width="6.140625" style="1488" bestFit="1" customWidth="1"/>
    <col min="16" max="16" width="9.140625" style="1488" hidden="1" customWidth="1"/>
    <col min="17" max="17" width="7.140625" style="1488" bestFit="1" customWidth="1"/>
    <col min="18" max="18" width="13.85546875" style="1488" customWidth="1"/>
    <col min="19" max="19" width="12.5703125" style="1488" customWidth="1"/>
    <col min="20" max="20" width="14.5703125" style="1488" customWidth="1"/>
    <col min="21" max="21" width="28.42578125" style="1488" customWidth="1"/>
    <col min="22" max="22" width="12.42578125" style="1488" customWidth="1"/>
    <col min="23" max="23" width="11.7109375" style="1488" customWidth="1"/>
    <col min="24" max="24" width="0" style="1488" hidden="1" customWidth="1"/>
    <col min="25" max="25" width="12.140625" style="1488" customWidth="1"/>
    <col min="26" max="26" width="28" style="1488" customWidth="1"/>
    <col min="27" max="27" width="16.140625" style="1488" customWidth="1"/>
    <col min="28" max="28" width="8.28515625" style="1488" customWidth="1"/>
    <col min="29" max="29" width="26.140625" style="1488" customWidth="1"/>
    <col min="30" max="31" width="8.85546875" style="1488"/>
    <col min="32" max="32" width="11.140625" style="1488" customWidth="1"/>
    <col min="33" max="34" width="8.85546875" style="1488"/>
    <col min="35" max="35" width="0" style="1488" hidden="1" customWidth="1"/>
    <col min="36" max="38" width="8.85546875" style="1488"/>
    <col min="39" max="39" width="9.5703125" style="1488" bestFit="1" customWidth="1"/>
    <col min="40" max="16384" width="8.85546875" style="1488"/>
  </cols>
  <sheetData>
    <row r="2" spans="2:42 16381:16381" ht="15" customHeight="1">
      <c r="U2" s="3195" t="s">
        <v>853</v>
      </c>
      <c r="V2" s="3195"/>
      <c r="W2" s="3195"/>
      <c r="X2" s="3195"/>
      <c r="Y2" s="3195"/>
      <c r="Z2" s="3195"/>
      <c r="AA2" s="3195"/>
      <c r="AB2" s="3195"/>
      <c r="AC2" s="3195"/>
    </row>
    <row r="3" spans="2:42 16381:16381" ht="15" customHeight="1">
      <c r="U3" s="3195"/>
      <c r="V3" s="3195"/>
      <c r="W3" s="3195"/>
      <c r="X3" s="3195"/>
      <c r="Y3" s="3195"/>
      <c r="Z3" s="3195"/>
      <c r="AA3" s="3195"/>
      <c r="AB3" s="3195"/>
      <c r="AC3" s="3195"/>
    </row>
    <row r="4" spans="2:42 16381:16381" ht="13.5" thickBot="1">
      <c r="G4" s="2458"/>
      <c r="H4" s="2458"/>
      <c r="I4" s="2458"/>
      <c r="J4" s="2458"/>
      <c r="K4" s="2458"/>
      <c r="L4" s="2458"/>
      <c r="M4" s="2458"/>
      <c r="N4" s="2458"/>
      <c r="O4" s="2458"/>
      <c r="P4" s="2458"/>
      <c r="Q4" s="2458"/>
      <c r="R4" s="2458"/>
      <c r="S4" s="2458"/>
      <c r="T4" s="2458"/>
      <c r="U4" s="2458"/>
    </row>
    <row r="5" spans="2:42 16381:16381" ht="35.25" customHeight="1" thickBot="1">
      <c r="AB5" s="3196" t="s">
        <v>637</v>
      </c>
      <c r="AC5" s="3197"/>
      <c r="AD5" s="3197"/>
      <c r="AE5" s="3197"/>
      <c r="AF5" s="3197"/>
      <c r="AG5" s="3198"/>
      <c r="AH5" s="2459"/>
      <c r="AI5" s="2458"/>
    </row>
    <row r="6" spans="2:42 16381:16381" ht="13.5" thickBot="1">
      <c r="U6" s="3200" t="s">
        <v>562</v>
      </c>
      <c r="V6" s="3201"/>
      <c r="W6" s="3201"/>
      <c r="X6" s="3201"/>
      <c r="Y6" s="3201"/>
      <c r="Z6" s="3202"/>
      <c r="AB6" s="2463"/>
      <c r="AC6" s="2511"/>
      <c r="AD6" s="3199" t="s">
        <v>639</v>
      </c>
      <c r="AE6" s="3199"/>
      <c r="AF6" s="2511"/>
      <c r="AG6" s="2464"/>
      <c r="AH6" s="2460"/>
      <c r="AI6" s="2492">
        <v>0.1</v>
      </c>
    </row>
    <row r="7" spans="2:42 16381:16381" ht="12.75">
      <c r="U7" s="3203" t="s">
        <v>541</v>
      </c>
      <c r="V7" s="3204"/>
      <c r="W7" s="3205" t="s">
        <v>542</v>
      </c>
      <c r="X7" s="3206"/>
      <c r="Y7" s="3206"/>
      <c r="Z7" s="3207"/>
      <c r="AB7" s="2463"/>
      <c r="AC7" s="2460"/>
      <c r="AD7" s="2512" t="s">
        <v>209</v>
      </c>
      <c r="AE7" s="2512" t="s">
        <v>190</v>
      </c>
      <c r="AF7" s="2512" t="s">
        <v>210</v>
      </c>
      <c r="AG7" s="2464"/>
      <c r="AH7" s="2460"/>
      <c r="AI7" s="2465"/>
    </row>
    <row r="8" spans="2:42 16381:16381" ht="12.75">
      <c r="U8" s="2098" t="s">
        <v>191</v>
      </c>
      <c r="V8" s="2099">
        <f>'Master Look Up'!L26</f>
        <v>55383.32303680529</v>
      </c>
      <c r="W8" s="2100" t="s">
        <v>852</v>
      </c>
      <c r="X8" s="2101"/>
      <c r="Y8" s="2101"/>
      <c r="Z8" s="2102"/>
      <c r="AB8" s="2463"/>
      <c r="AC8" s="2466" t="s">
        <v>640</v>
      </c>
      <c r="AD8" s="2467">
        <f>V8</f>
        <v>55383.32303680529</v>
      </c>
      <c r="AE8" s="2468">
        <v>0.18</v>
      </c>
      <c r="AF8" s="2467">
        <f>AD8*AE8</f>
        <v>9968.9981466249519</v>
      </c>
      <c r="AG8" s="2469" t="s">
        <v>650</v>
      </c>
      <c r="AH8" s="2460"/>
      <c r="AI8" s="2470"/>
    </row>
    <row r="9" spans="2:42 16381:16381" ht="12.75">
      <c r="B9" s="1512"/>
      <c r="C9" s="1512"/>
      <c r="D9" s="1512"/>
      <c r="E9" s="1512"/>
      <c r="U9" s="2106" t="s">
        <v>466</v>
      </c>
      <c r="V9" s="2107">
        <f>'Master Look Up'!L28</f>
        <v>40107</v>
      </c>
      <c r="W9" s="2100" t="s">
        <v>897</v>
      </c>
      <c r="X9" s="2108"/>
      <c r="Y9" s="2108"/>
      <c r="Z9" s="2109"/>
      <c r="AB9" s="2463"/>
      <c r="AC9" s="2466" t="s">
        <v>839</v>
      </c>
      <c r="AD9" s="2467">
        <f>V9</f>
        <v>40107</v>
      </c>
      <c r="AE9" s="2471">
        <v>0.5</v>
      </c>
      <c r="AF9" s="2467">
        <f>AD9*AE9</f>
        <v>20053.5</v>
      </c>
      <c r="AG9" s="2469"/>
      <c r="AH9" s="2460"/>
      <c r="AI9" s="2470"/>
    </row>
    <row r="10" spans="2:42 16381:16381" ht="12.75">
      <c r="B10" s="1512"/>
      <c r="C10" s="1512"/>
      <c r="D10" s="1512"/>
      <c r="E10" s="1512"/>
      <c r="U10" s="3191" t="s">
        <v>543</v>
      </c>
      <c r="V10" s="3192"/>
      <c r="W10" s="2114"/>
      <c r="X10" s="2115"/>
      <c r="Y10" s="2115"/>
      <c r="Z10" s="2116"/>
      <c r="AB10" s="2463"/>
      <c r="AC10" s="2466"/>
      <c r="AD10" s="2467"/>
      <c r="AE10" s="2471"/>
      <c r="AF10" s="2467"/>
      <c r="AG10" s="2464"/>
      <c r="AH10" s="2460"/>
      <c r="AI10" s="2470"/>
    </row>
    <row r="11" spans="2:42 16381:16381" ht="20.45" customHeight="1">
      <c r="B11" s="1512"/>
      <c r="C11" s="1512"/>
      <c r="D11" s="1512"/>
      <c r="E11" s="1512"/>
      <c r="U11" s="2117" t="s">
        <v>191</v>
      </c>
      <c r="V11" s="2118"/>
      <c r="W11" s="2119" t="s">
        <v>238</v>
      </c>
      <c r="X11" s="2120"/>
      <c r="Y11" s="2120"/>
      <c r="Z11" s="2121"/>
      <c r="AB11" s="2463"/>
      <c r="AC11" s="2518" t="s">
        <v>642</v>
      </c>
      <c r="AD11" s="2518"/>
      <c r="AE11" s="2521">
        <f>SUM(AE8:AE9)</f>
        <v>0.67999999999999994</v>
      </c>
      <c r="AF11" s="2522">
        <f>SUM(AF8:AF9)</f>
        <v>30022.498146624952</v>
      </c>
      <c r="AG11" s="2464"/>
      <c r="AH11" s="2460"/>
      <c r="AI11" s="2458"/>
    </row>
    <row r="12" spans="2:42 16381:16381" ht="20.45" customHeight="1">
      <c r="B12" s="1512"/>
      <c r="C12" s="1512"/>
      <c r="D12" s="1512"/>
      <c r="E12" s="1512"/>
      <c r="U12" s="2106" t="s">
        <v>192</v>
      </c>
      <c r="V12" s="2122"/>
      <c r="W12" s="2123" t="s">
        <v>238</v>
      </c>
      <c r="X12" s="2108"/>
      <c r="Y12" s="2108"/>
      <c r="Z12" s="2109"/>
      <c r="AB12" s="2463"/>
      <c r="AC12" s="2460"/>
      <c r="AD12" s="2460"/>
      <c r="AE12" s="2460"/>
      <c r="AF12" s="2460"/>
      <c r="AG12" s="2464"/>
      <c r="AH12" s="2460"/>
      <c r="AI12" s="2458"/>
    </row>
    <row r="13" spans="2:42 16381:16381" ht="20.45" customHeight="1">
      <c r="B13" s="1512"/>
      <c r="C13" s="1512"/>
      <c r="D13" s="1512"/>
      <c r="E13" s="1512"/>
      <c r="U13" s="3193" t="s">
        <v>544</v>
      </c>
      <c r="V13" s="3194"/>
      <c r="W13" s="2119"/>
      <c r="X13" s="2120"/>
      <c r="Y13" s="2120"/>
      <c r="Z13" s="2121"/>
      <c r="AB13" s="2463"/>
      <c r="AC13" s="2473" t="s">
        <v>643</v>
      </c>
      <c r="AD13" s="2460"/>
      <c r="AE13" s="2474">
        <v>0.22</v>
      </c>
      <c r="AF13" s="2475">
        <f>AF11*AE13</f>
        <v>6604.9495922574897</v>
      </c>
      <c r="AG13" s="2464"/>
      <c r="AH13" s="2460"/>
      <c r="AI13" s="2458"/>
    </row>
    <row r="14" spans="2:42 16381:16381" ht="20.45" customHeight="1">
      <c r="B14" s="1512"/>
      <c r="C14" s="1512"/>
      <c r="D14" s="1512"/>
      <c r="E14" s="1512"/>
      <c r="U14" s="2130" t="s">
        <v>313</v>
      </c>
      <c r="V14" s="2131">
        <v>5155</v>
      </c>
      <c r="W14" s="2100" t="s">
        <v>744</v>
      </c>
      <c r="X14" s="2101"/>
      <c r="Y14" s="2101"/>
      <c r="Z14" s="2102"/>
      <c r="AB14" s="2463"/>
      <c r="AC14" s="2460"/>
      <c r="AD14" s="2460"/>
      <c r="AE14" s="2460"/>
      <c r="AF14" s="2476"/>
      <c r="AG14" s="2464"/>
      <c r="AH14" s="2460"/>
      <c r="AI14" s="2458"/>
      <c r="AN14" s="2668">
        <v>2.5399999999999999E-2</v>
      </c>
      <c r="AP14" s="1489"/>
    </row>
    <row r="15" spans="2:42 16381:16381" ht="14.45" customHeight="1">
      <c r="U15" s="2098" t="s">
        <v>673</v>
      </c>
      <c r="V15" s="2131">
        <v>178</v>
      </c>
      <c r="W15" s="2100" t="s">
        <v>744</v>
      </c>
      <c r="X15" s="2101"/>
      <c r="Y15" s="2101"/>
      <c r="Z15" s="2102"/>
      <c r="AB15" s="2463"/>
      <c r="AC15" s="2518" t="s">
        <v>644</v>
      </c>
      <c r="AD15" s="2519"/>
      <c r="AE15" s="2519"/>
      <c r="AF15" s="2520">
        <f>AF11+AF13</f>
        <v>36627.447738882445</v>
      </c>
      <c r="AG15" s="2464"/>
      <c r="AH15" s="2460"/>
      <c r="AI15" s="2458"/>
      <c r="AM15" s="1488">
        <v>0.17799999999999999</v>
      </c>
      <c r="AN15" s="1488">
        <v>0.5</v>
      </c>
      <c r="AP15" s="1490"/>
    </row>
    <row r="16" spans="2:42 16381:16381" ht="15">
      <c r="U16" s="2098" t="s">
        <v>674</v>
      </c>
      <c r="V16" s="2131">
        <v>1411</v>
      </c>
      <c r="W16" s="2100" t="s">
        <v>744</v>
      </c>
      <c r="X16" s="2101"/>
      <c r="Y16" s="2101"/>
      <c r="Z16" s="2102"/>
      <c r="AB16" s="2463"/>
      <c r="AC16" s="2466"/>
      <c r="AD16" s="2460"/>
      <c r="AE16" s="2460"/>
      <c r="AF16" s="2475"/>
      <c r="AG16" s="2464"/>
      <c r="AH16" s="2460"/>
      <c r="AI16" s="2458"/>
      <c r="AL16" s="1488">
        <f>AM16-AM15</f>
        <v>0.17799999999999999</v>
      </c>
      <c r="AM16" s="1488">
        <v>0.35599999999999998</v>
      </c>
      <c r="AN16" s="1488">
        <v>1</v>
      </c>
      <c r="AP16" s="1491"/>
      <c r="XFA16" s="1491">
        <v>0.05</v>
      </c>
    </row>
    <row r="17" spans="20:42" ht="15">
      <c r="U17" s="2499" t="s">
        <v>679</v>
      </c>
      <c r="V17" s="2500">
        <v>353</v>
      </c>
      <c r="W17" s="2501" t="s">
        <v>744</v>
      </c>
      <c r="X17" s="2502"/>
      <c r="Y17" s="2502"/>
      <c r="Z17" s="2503"/>
      <c r="AB17" s="2463"/>
      <c r="AC17" s="2473" t="s">
        <v>313</v>
      </c>
      <c r="AD17" s="2460"/>
      <c r="AE17" s="2477">
        <f>'Master Look Up'!F4</f>
        <v>5155.4902174195804</v>
      </c>
      <c r="AF17" s="2478">
        <f t="shared" ref="AF17:AF19" si="0">AE17*$AE$11</f>
        <v>3505.7333478453143</v>
      </c>
      <c r="AG17" s="2464"/>
      <c r="AH17" s="2460"/>
      <c r="AI17" s="2458"/>
      <c r="AL17" s="1488">
        <f t="shared" ref="AL17:AL19" si="1">AM17-AM16</f>
        <v>0.17800000000000005</v>
      </c>
      <c r="AM17" s="1488">
        <v>0.53400000000000003</v>
      </c>
      <c r="AN17" s="1488">
        <v>1.5</v>
      </c>
      <c r="AP17" s="1491"/>
    </row>
    <row r="18" spans="20:42" ht="15.75" customHeight="1">
      <c r="U18" s="2499" t="s">
        <v>675</v>
      </c>
      <c r="V18" s="2500">
        <v>654</v>
      </c>
      <c r="W18" s="2501" t="s">
        <v>744</v>
      </c>
      <c r="X18" s="2502"/>
      <c r="Y18" s="2502"/>
      <c r="Z18" s="2503"/>
      <c r="AB18" s="2463"/>
      <c r="AC18" s="2473" t="s">
        <v>673</v>
      </c>
      <c r="AD18" s="2479"/>
      <c r="AE18" s="2477">
        <v>178.16741415351552</v>
      </c>
      <c r="AF18" s="2478">
        <f t="shared" si="0"/>
        <v>121.15384162439055</v>
      </c>
      <c r="AG18" s="2464"/>
      <c r="AH18" s="2460"/>
      <c r="AI18" s="2458"/>
      <c r="AL18" s="1488">
        <f t="shared" si="1"/>
        <v>0.17849999999999999</v>
      </c>
      <c r="AM18" s="1488">
        <v>0.71250000000000002</v>
      </c>
      <c r="AN18" s="1488">
        <v>2</v>
      </c>
      <c r="AP18" s="1491"/>
    </row>
    <row r="19" spans="20:42" ht="15">
      <c r="U19" s="2098" t="s">
        <v>685</v>
      </c>
      <c r="V19" s="2131">
        <v>800</v>
      </c>
      <c r="W19" s="2100" t="s">
        <v>744</v>
      </c>
      <c r="X19" s="2101"/>
      <c r="Y19" s="2101"/>
      <c r="Z19" s="2102"/>
      <c r="AA19" s="1493"/>
      <c r="AB19" s="2463"/>
      <c r="AC19" s="2473" t="s">
        <v>674</v>
      </c>
      <c r="AD19" s="2480"/>
      <c r="AE19" s="2477">
        <v>1410.7821990248415</v>
      </c>
      <c r="AF19" s="2478">
        <f t="shared" si="0"/>
        <v>959.3318953368921</v>
      </c>
      <c r="AG19" s="2464"/>
      <c r="AH19" s="2460"/>
      <c r="AI19" s="2458"/>
      <c r="AL19" s="1488">
        <f t="shared" si="1"/>
        <v>3.7499999999999978E-2</v>
      </c>
      <c r="AM19" s="1488">
        <v>0.75</v>
      </c>
      <c r="AN19" s="1488">
        <v>2.5</v>
      </c>
      <c r="AP19" s="1492"/>
    </row>
    <row r="20" spans="20:42" ht="15">
      <c r="U20" s="2493" t="s">
        <v>686</v>
      </c>
      <c r="V20" s="2131">
        <v>1572</v>
      </c>
      <c r="W20" s="2100" t="s">
        <v>744</v>
      </c>
      <c r="X20" s="1506"/>
      <c r="Y20" s="1506"/>
      <c r="Z20" s="2494"/>
      <c r="AB20" s="2463"/>
      <c r="AC20" s="2473" t="s">
        <v>685</v>
      </c>
      <c r="AD20" s="2480"/>
      <c r="AE20" s="2477">
        <v>799.70498223424943</v>
      </c>
      <c r="AF20" s="2478">
        <f>AE20*$AE$11</f>
        <v>543.79938791928953</v>
      </c>
      <c r="AG20" s="2464"/>
      <c r="AH20" s="2460"/>
      <c r="AI20" s="2458"/>
      <c r="AP20" s="1491"/>
    </row>
    <row r="21" spans="20:42" ht="15">
      <c r="U21" s="2504" t="s">
        <v>677</v>
      </c>
      <c r="V21" s="2500">
        <v>598</v>
      </c>
      <c r="W21" s="2501" t="s">
        <v>744</v>
      </c>
      <c r="X21" s="2505"/>
      <c r="Y21" s="2505"/>
      <c r="Z21" s="2506"/>
      <c r="AB21" s="2463"/>
      <c r="AC21" s="2473" t="s">
        <v>686</v>
      </c>
      <c r="AD21" s="2480"/>
      <c r="AE21" s="2477">
        <v>1572.2963237683009</v>
      </c>
      <c r="AF21" s="2478">
        <f>AE21*$AE$11</f>
        <v>1069.1615001624446</v>
      </c>
      <c r="AG21" s="2464"/>
      <c r="AH21" s="2460"/>
      <c r="AI21" s="2458"/>
      <c r="AP21" s="1494"/>
    </row>
    <row r="22" spans="20:42" ht="15">
      <c r="U22" s="2495"/>
      <c r="V22" s="2496"/>
      <c r="W22" s="2498"/>
      <c r="X22" s="2496"/>
      <c r="Y22" s="2496"/>
      <c r="Z22" s="2497"/>
      <c r="AB22" s="2463"/>
      <c r="AC22" s="1506"/>
      <c r="AD22" s="1506"/>
      <c r="AE22" s="1506"/>
      <c r="AF22" s="1506"/>
      <c r="AG22" s="2464"/>
      <c r="AH22" s="2460"/>
      <c r="AI22" s="2458"/>
      <c r="AP22" s="1494"/>
    </row>
    <row r="23" spans="20:42" ht="12.75">
      <c r="U23" s="2098" t="s">
        <v>545</v>
      </c>
      <c r="V23" s="2142">
        <v>0.22</v>
      </c>
      <c r="W23" s="2119" t="s">
        <v>546</v>
      </c>
      <c r="X23" s="2101"/>
      <c r="Y23" s="2101"/>
      <c r="Z23" s="2102"/>
      <c r="AB23" s="2463"/>
      <c r="AC23" s="2472" t="s">
        <v>645</v>
      </c>
      <c r="AD23" s="2508"/>
      <c r="AE23" s="2508"/>
      <c r="AF23" s="2509">
        <f>SUM(AF15:AF22)</f>
        <v>42826.62771177078</v>
      </c>
      <c r="AG23" s="2464"/>
      <c r="AH23" s="2460"/>
      <c r="AI23" s="2458"/>
      <c r="AP23" s="1495"/>
    </row>
    <row r="24" spans="20:42" ht="12.75">
      <c r="U24" s="2098" t="s">
        <v>547</v>
      </c>
      <c r="V24" s="2142">
        <v>0.11</v>
      </c>
      <c r="W24" s="2100" t="s">
        <v>546</v>
      </c>
      <c r="X24" s="2101"/>
      <c r="Y24" s="2101"/>
      <c r="Z24" s="2102"/>
      <c r="AB24" s="2463"/>
      <c r="AC24" s="2473" t="s">
        <v>646</v>
      </c>
      <c r="AD24" s="2473"/>
      <c r="AE24" s="2507">
        <f>V24</f>
        <v>0.11</v>
      </c>
      <c r="AF24" s="2484">
        <f>AE24*AF23</f>
        <v>4710.9290482947854</v>
      </c>
      <c r="AG24" s="2464"/>
      <c r="AH24" s="2460"/>
      <c r="AI24" s="2458"/>
      <c r="AP24" s="1495"/>
    </row>
    <row r="25" spans="20:42" ht="12.75">
      <c r="U25" s="2098" t="s">
        <v>855</v>
      </c>
      <c r="V25" s="2142">
        <v>1.4999999999999999E-2</v>
      </c>
      <c r="W25" s="2100" t="s">
        <v>856</v>
      </c>
      <c r="X25" s="2101"/>
      <c r="Y25" s="2101"/>
      <c r="Z25" s="2102"/>
      <c r="AB25" s="2463"/>
      <c r="AC25" s="2514" t="str">
        <f>U25</f>
        <v>Flex Family Spending</v>
      </c>
      <c r="AD25" s="2514"/>
      <c r="AE25" s="2510">
        <f>V25</f>
        <v>1.4999999999999999E-2</v>
      </c>
      <c r="AF25" s="2515">
        <f>AE25*AF23</f>
        <v>642.39941567656172</v>
      </c>
      <c r="AG25" s="2464"/>
      <c r="AH25" s="2460"/>
      <c r="AI25" s="2458"/>
      <c r="AP25" s="1495"/>
    </row>
    <row r="26" spans="20:42" ht="13.5" thickBot="1">
      <c r="U26" s="2143" t="s">
        <v>653</v>
      </c>
      <c r="V26" s="2144">
        <v>6.3E-3</v>
      </c>
      <c r="W26" s="2564" t="s">
        <v>860</v>
      </c>
      <c r="X26" s="2145"/>
      <c r="Y26" s="2101"/>
      <c r="Z26" s="2102"/>
      <c r="AB26" s="2463"/>
      <c r="AC26" s="2485" t="s">
        <v>648</v>
      </c>
      <c r="AD26" s="2485"/>
      <c r="AE26" s="2486">
        <v>6.3E-3</v>
      </c>
      <c r="AF26" s="2487">
        <f>AE26*AF11</f>
        <v>189.1417383237372</v>
      </c>
      <c r="AG26" s="2464"/>
      <c r="AH26" s="2460"/>
      <c r="AI26" s="2458"/>
      <c r="AP26" s="1495"/>
    </row>
    <row r="27" spans="20:42" ht="14.25" thickTop="1" thickBot="1">
      <c r="U27" s="2098" t="s">
        <v>709</v>
      </c>
      <c r="V27" s="2142">
        <f>'Spring 2019 CAF'!BU25</f>
        <v>1.8120393120392975E-2</v>
      </c>
      <c r="W27" s="2100" t="s">
        <v>652</v>
      </c>
      <c r="X27" s="2101"/>
      <c r="Y27" s="2101"/>
      <c r="Z27" s="2102"/>
      <c r="AB27" s="2463"/>
      <c r="AC27" s="2488" t="s">
        <v>647</v>
      </c>
      <c r="AD27" s="2488"/>
      <c r="AE27" s="2488"/>
      <c r="AF27" s="2475">
        <f>SUM(AF23:AF26)</f>
        <v>48369.09791406586</v>
      </c>
      <c r="AG27" s="2464"/>
      <c r="AH27" s="2460"/>
      <c r="AI27" s="2458"/>
      <c r="AP27" s="1495"/>
    </row>
    <row r="28" spans="20:42" ht="13.5" thickBot="1">
      <c r="U28" s="2148" t="s">
        <v>512</v>
      </c>
      <c r="V28" s="2149">
        <f>'CAF Spring17'!CD27</f>
        <v>0</v>
      </c>
      <c r="W28" s="2150" t="s">
        <v>548</v>
      </c>
      <c r="X28" s="2151"/>
      <c r="Y28" s="2151"/>
      <c r="Z28" s="2152"/>
      <c r="AB28" s="2463"/>
      <c r="AC28" s="2473" t="s">
        <v>348</v>
      </c>
      <c r="AD28" s="2473"/>
      <c r="AE28" s="2474">
        <f>'Spring 2019 CAF'!BU25</f>
        <v>1.8120393120392975E-2</v>
      </c>
      <c r="AF28" s="2484">
        <f>AF27+(AF27*AE28)</f>
        <v>49245.564983147517</v>
      </c>
      <c r="AG28" s="2464"/>
      <c r="AH28" s="2460"/>
      <c r="AI28" s="2458"/>
      <c r="AP28" s="1495"/>
    </row>
    <row r="29" spans="20:42" ht="13.5" thickBot="1">
      <c r="W29" s="1495"/>
      <c r="AB29" s="2463"/>
      <c r="AC29" s="2488" t="s">
        <v>649</v>
      </c>
      <c r="AD29" s="2460"/>
      <c r="AE29" s="2460"/>
      <c r="AF29" s="2516">
        <f>AF28/12</f>
        <v>4103.7970819289594</v>
      </c>
      <c r="AG29" s="2464"/>
      <c r="AH29" s="2460"/>
      <c r="AI29" s="2458"/>
      <c r="AP29" s="1495"/>
    </row>
    <row r="30" spans="20:42" ht="26.25" thickBot="1">
      <c r="T30" s="2678" t="s">
        <v>992</v>
      </c>
      <c r="U30" s="2678" t="s">
        <v>708</v>
      </c>
      <c r="V30" s="2679" t="s">
        <v>839</v>
      </c>
      <c r="W30" s="2680" t="s">
        <v>707</v>
      </c>
      <c r="X30" s="2681" t="s">
        <v>638</v>
      </c>
      <c r="Y30" s="2682" t="s">
        <v>659</v>
      </c>
      <c r="Z30" s="2683" t="s">
        <v>706</v>
      </c>
      <c r="AB30" s="2463"/>
      <c r="AC30" s="1506"/>
      <c r="AD30" s="1506"/>
      <c r="AE30" s="1506"/>
      <c r="AF30" s="1506"/>
      <c r="AG30" s="2464"/>
      <c r="AH30" s="2458"/>
      <c r="AI30" s="2458"/>
      <c r="AP30" s="1495"/>
    </row>
    <row r="31" spans="20:42" ht="13.5" thickBot="1">
      <c r="T31" s="2684" t="s">
        <v>465</v>
      </c>
      <c r="U31" s="2687">
        <v>0.18</v>
      </c>
      <c r="V31" s="2461">
        <v>0.5</v>
      </c>
      <c r="W31" s="2462">
        <f>AF29</f>
        <v>4103.7970819289594</v>
      </c>
      <c r="X31" s="2462">
        <f t="shared" ref="X31:X33" si="2">W31*12</f>
        <v>49245.564983147517</v>
      </c>
      <c r="Y31" s="2462">
        <v>3988.24</v>
      </c>
      <c r="Z31" s="2491">
        <f>(W31-Y31)/Y31</f>
        <v>2.8974455381060228E-2</v>
      </c>
      <c r="AB31" s="2489"/>
      <c r="AC31" s="2517"/>
      <c r="AD31" s="2517"/>
      <c r="AE31" s="2517"/>
      <c r="AF31" s="2517"/>
      <c r="AG31" s="2490"/>
      <c r="AH31" s="2458"/>
      <c r="AI31" s="2458"/>
      <c r="AJ31" s="2457"/>
      <c r="AK31" s="1496"/>
      <c r="AL31" s="1496"/>
      <c r="AM31" s="2470"/>
      <c r="AN31" s="2470"/>
      <c r="AO31" s="2470"/>
      <c r="AP31" s="1495"/>
    </row>
    <row r="32" spans="20:42" ht="12.75">
      <c r="T32" s="2684" t="s">
        <v>474</v>
      </c>
      <c r="U32" s="2688">
        <v>0.36</v>
      </c>
      <c r="V32" s="2461">
        <v>1</v>
      </c>
      <c r="W32" s="2462">
        <f>W31*2</f>
        <v>8207.5941638579188</v>
      </c>
      <c r="X32" s="2462">
        <f t="shared" si="2"/>
        <v>98491.129966295033</v>
      </c>
      <c r="Y32" s="2462">
        <v>7976.3</v>
      </c>
      <c r="Z32" s="2491">
        <f t="shared" ref="Z32:Z34" si="3">(W32-Y32)/Y32</f>
        <v>2.8997676097679205E-2</v>
      </c>
      <c r="AB32" s="2460"/>
      <c r="AC32" s="1506"/>
      <c r="AD32" s="1506"/>
      <c r="AE32" s="1506"/>
      <c r="AF32" s="1506"/>
      <c r="AG32" s="2460"/>
      <c r="AH32" s="2458"/>
      <c r="AI32" s="2458"/>
      <c r="AJ32" s="2457"/>
      <c r="AK32" s="2458"/>
      <c r="AL32" s="2458"/>
      <c r="AM32" s="2458"/>
      <c r="AN32" s="2470"/>
      <c r="AO32" s="2470"/>
      <c r="AP32" s="1495"/>
    </row>
    <row r="33" spans="20:41" ht="12.75">
      <c r="T33" s="2684" t="s">
        <v>477</v>
      </c>
      <c r="U33" s="2688">
        <v>0.54</v>
      </c>
      <c r="V33" s="2461">
        <v>1.5</v>
      </c>
      <c r="W33" s="2462">
        <f>W32*V33</f>
        <v>12311.391245786879</v>
      </c>
      <c r="X33" s="2462">
        <f t="shared" si="2"/>
        <v>147736.69494944255</v>
      </c>
      <c r="Y33" s="2462">
        <v>11964.54</v>
      </c>
      <c r="Z33" s="2491">
        <f t="shared" si="3"/>
        <v>2.8989935742358523E-2</v>
      </c>
      <c r="AB33" s="2460"/>
      <c r="AC33" s="1506"/>
      <c r="AD33" s="1506"/>
      <c r="AE33" s="1506"/>
      <c r="AF33" s="1506"/>
      <c r="AG33" s="2460"/>
      <c r="AH33" s="2458"/>
      <c r="AI33" s="2458"/>
      <c r="AJ33" s="2458"/>
      <c r="AK33" s="2458"/>
      <c r="AL33" s="2458"/>
      <c r="AM33" s="2458"/>
      <c r="AN33" s="2458"/>
      <c r="AO33" s="2458"/>
    </row>
    <row r="34" spans="20:41" ht="12.75">
      <c r="T34" s="2685" t="s">
        <v>565</v>
      </c>
      <c r="U34" s="2689">
        <v>0.72</v>
      </c>
      <c r="V34" s="2675">
        <v>2</v>
      </c>
      <c r="W34" s="2676">
        <f>W32*2</f>
        <v>16415.188327715838</v>
      </c>
      <c r="X34" s="2676">
        <f>W34*12</f>
        <v>196982.25993259007</v>
      </c>
      <c r="Y34" s="2676">
        <v>15952.69</v>
      </c>
      <c r="Z34" s="2677">
        <f t="shared" si="3"/>
        <v>2.899187082027151E-2</v>
      </c>
      <c r="AB34" s="2460"/>
      <c r="AC34" s="2528" t="s">
        <v>858</v>
      </c>
      <c r="AD34" s="1506"/>
      <c r="AE34" s="1506"/>
      <c r="AF34" s="1506"/>
      <c r="AG34" s="2460"/>
      <c r="AH34" s="2458"/>
      <c r="AI34" s="2458"/>
      <c r="AJ34" s="2458"/>
      <c r="AK34" s="2458"/>
      <c r="AL34" s="2458"/>
      <c r="AM34" s="2458"/>
      <c r="AN34" s="2458"/>
      <c r="AO34" s="2458"/>
    </row>
    <row r="35" spans="20:41" ht="12.75">
      <c r="T35" s="2684" t="s">
        <v>566</v>
      </c>
      <c r="U35" s="2690"/>
      <c r="V35" s="2525">
        <v>2.5</v>
      </c>
      <c r="W35" s="2526">
        <f>W34+AA35</f>
        <v>19515.188327715838</v>
      </c>
      <c r="X35" s="2526">
        <f t="shared" ref="X35:X44" si="4">W35*12</f>
        <v>234182.25993259007</v>
      </c>
      <c r="Y35" s="2526">
        <v>18934.8</v>
      </c>
      <c r="Z35" s="2527">
        <f>(W35-Y35)/Y35</f>
        <v>3.0651938637632211E-2</v>
      </c>
      <c r="AA35" s="2669">
        <v>3100</v>
      </c>
      <c r="AB35" s="2460"/>
      <c r="AC35" s="2528" t="s">
        <v>857</v>
      </c>
      <c r="AD35" s="1506"/>
      <c r="AE35" s="1506"/>
      <c r="AF35" s="1506"/>
      <c r="AG35" s="2460"/>
      <c r="AH35" s="2458"/>
      <c r="AI35" s="2458"/>
      <c r="AJ35" s="2458"/>
      <c r="AK35" s="2458"/>
      <c r="AL35" s="2458"/>
      <c r="AM35" s="2458"/>
      <c r="AN35" s="2458"/>
      <c r="AO35" s="2458"/>
    </row>
    <row r="36" spans="20:41" ht="12.75">
      <c r="T36" s="2684" t="s">
        <v>567</v>
      </c>
      <c r="U36" s="2690"/>
      <c r="V36" s="2525">
        <v>3</v>
      </c>
      <c r="W36" s="2526">
        <f>W35+AA35</f>
        <v>22615.188327715838</v>
      </c>
      <c r="X36" s="2526">
        <f>W36*12</f>
        <v>271382.25993259007</v>
      </c>
      <c r="Y36" s="2526">
        <v>21944.91</v>
      </c>
      <c r="Z36" s="2527">
        <f t="shared" ref="Z36:Z54" si="5">(W36-Y36)/Y36</f>
        <v>3.0543680867947866E-2</v>
      </c>
      <c r="AA36" s="2669">
        <v>3100</v>
      </c>
      <c r="AB36" s="2672"/>
      <c r="AC36" s="2528" t="s">
        <v>898</v>
      </c>
      <c r="AD36" s="1506"/>
      <c r="AE36" s="1506"/>
      <c r="AF36" s="1506"/>
      <c r="AG36" s="2460"/>
      <c r="AH36" s="2458"/>
      <c r="AI36" s="2458"/>
      <c r="AJ36" s="2458"/>
      <c r="AK36" s="2458"/>
      <c r="AL36" s="2458"/>
      <c r="AM36" s="2458"/>
      <c r="AN36" s="2458"/>
      <c r="AO36" s="2458"/>
    </row>
    <row r="37" spans="20:41" ht="12.75">
      <c r="T37" s="2684" t="s">
        <v>568</v>
      </c>
      <c r="U37" s="2690"/>
      <c r="V37" s="2525">
        <v>3.5</v>
      </c>
      <c r="W37" s="2526">
        <f>W36+AA35</f>
        <v>25715.188327715838</v>
      </c>
      <c r="X37" s="2526">
        <f>W37*12</f>
        <v>308582.25993259007</v>
      </c>
      <c r="Y37" s="2526">
        <v>24968.86</v>
      </c>
      <c r="Z37" s="2527">
        <f t="shared" si="5"/>
        <v>2.9890364546712869E-2</v>
      </c>
      <c r="AA37" s="2669">
        <v>3100</v>
      </c>
      <c r="AB37" s="2672"/>
      <c r="AC37" s="2673" t="s">
        <v>990</v>
      </c>
      <c r="AD37" s="2460"/>
      <c r="AE37" s="2460"/>
      <c r="AF37" s="2513"/>
      <c r="AG37" s="2460"/>
    </row>
    <row r="38" spans="20:41" ht="12.75">
      <c r="T38" s="2684" t="s">
        <v>993</v>
      </c>
      <c r="U38" s="2690"/>
      <c r="V38" s="2525">
        <v>4</v>
      </c>
      <c r="W38" s="2526">
        <f t="shared" ref="W38:W54" si="6">W37+AA38</f>
        <v>28815.188327715838</v>
      </c>
      <c r="X38" s="2526">
        <f t="shared" si="4"/>
        <v>345782.25993259007</v>
      </c>
      <c r="Y38" s="2526">
        <v>28048.47</v>
      </c>
      <c r="Z38" s="2527">
        <f t="shared" si="5"/>
        <v>2.7335477753896612E-2</v>
      </c>
      <c r="AA38" s="2669">
        <v>3100</v>
      </c>
      <c r="AB38" s="2672"/>
      <c r="AC38" s="2674" t="s">
        <v>991</v>
      </c>
    </row>
    <row r="39" spans="20:41" ht="12.75">
      <c r="T39" s="2684" t="s">
        <v>994</v>
      </c>
      <c r="U39" s="2690"/>
      <c r="V39" s="2525">
        <v>4.5</v>
      </c>
      <c r="W39" s="2526">
        <f t="shared" si="6"/>
        <v>31915.188327715838</v>
      </c>
      <c r="X39" s="2526">
        <f t="shared" si="4"/>
        <v>382982.25993259007</v>
      </c>
      <c r="Y39" s="2526">
        <v>31225.59</v>
      </c>
      <c r="Z39" s="2527">
        <f t="shared" si="5"/>
        <v>2.2084397051131379E-2</v>
      </c>
      <c r="AA39" s="2669">
        <v>3100</v>
      </c>
      <c r="AB39" s="2672"/>
    </row>
    <row r="40" spans="20:41" ht="12.75">
      <c r="T40" s="2684" t="s">
        <v>995</v>
      </c>
      <c r="U40" s="2690"/>
      <c r="V40" s="2525">
        <v>5</v>
      </c>
      <c r="W40" s="2526">
        <f t="shared" si="6"/>
        <v>35015.188327715834</v>
      </c>
      <c r="X40" s="2526">
        <f t="shared" si="4"/>
        <v>420182.25993259001</v>
      </c>
      <c r="Y40" s="2526">
        <v>34374.79</v>
      </c>
      <c r="Z40" s="2527">
        <f t="shared" si="5"/>
        <v>1.8629883345202491E-2</v>
      </c>
      <c r="AA40" s="2669">
        <v>3100</v>
      </c>
      <c r="AB40" s="2672"/>
    </row>
    <row r="41" spans="20:41" ht="12.75">
      <c r="T41" s="2684" t="s">
        <v>996</v>
      </c>
      <c r="U41" s="2690"/>
      <c r="V41" s="2525">
        <v>5.5</v>
      </c>
      <c r="W41" s="2526">
        <f t="shared" si="6"/>
        <v>38115.188327715834</v>
      </c>
      <c r="X41" s="2526">
        <f t="shared" si="4"/>
        <v>457382.25993259001</v>
      </c>
      <c r="Y41" s="2526">
        <v>37548.949999999997</v>
      </c>
      <c r="Z41" s="2527">
        <f t="shared" si="5"/>
        <v>1.508000430680051E-2</v>
      </c>
      <c r="AA41" s="2669">
        <v>3100</v>
      </c>
      <c r="AB41" s="2672"/>
    </row>
    <row r="42" spans="20:41" ht="12.75">
      <c r="T42" s="2684" t="s">
        <v>1009</v>
      </c>
      <c r="U42" s="2690"/>
      <c r="V42" s="2525">
        <v>6</v>
      </c>
      <c r="W42" s="2526">
        <f t="shared" si="6"/>
        <v>41215.188327715834</v>
      </c>
      <c r="X42" s="2526">
        <f t="shared" si="4"/>
        <v>494582.25993259001</v>
      </c>
      <c r="Y42" s="2526">
        <v>40689.879999999997</v>
      </c>
      <c r="Z42" s="2527">
        <f t="shared" si="5"/>
        <v>1.2910048584951263E-2</v>
      </c>
      <c r="AA42" s="2669">
        <v>3100</v>
      </c>
      <c r="AB42" s="2672"/>
    </row>
    <row r="43" spans="20:41" ht="12.75">
      <c r="T43" s="2684" t="s">
        <v>997</v>
      </c>
      <c r="U43" s="2688"/>
      <c r="V43" s="2461">
        <v>6.5</v>
      </c>
      <c r="W43" s="2523">
        <f t="shared" si="6"/>
        <v>44315.188327715834</v>
      </c>
      <c r="X43" s="2523">
        <f t="shared" si="4"/>
        <v>531782.25993258995</v>
      </c>
      <c r="Y43" s="2523">
        <v>43861.26</v>
      </c>
      <c r="Z43" s="2524">
        <f t="shared" si="5"/>
        <v>1.0349185767026117E-2</v>
      </c>
      <c r="AA43" s="2669">
        <v>3100</v>
      </c>
      <c r="AB43" s="2672"/>
    </row>
    <row r="44" spans="20:41" ht="12.75">
      <c r="T44" s="2684" t="s">
        <v>998</v>
      </c>
      <c r="U44" s="2691"/>
      <c r="V44" s="2512">
        <v>7</v>
      </c>
      <c r="W44" s="2523">
        <f t="shared" si="6"/>
        <v>47415.188327715834</v>
      </c>
      <c r="X44" s="2523">
        <f t="shared" si="4"/>
        <v>568982.25993258995</v>
      </c>
      <c r="Y44" s="2523">
        <v>46993.93</v>
      </c>
      <c r="Z44" s="2524">
        <f t="shared" si="5"/>
        <v>8.9641008469781899E-3</v>
      </c>
      <c r="AA44" s="2669">
        <v>3100</v>
      </c>
      <c r="AB44" s="2672"/>
    </row>
    <row r="45" spans="20:41" ht="12.75">
      <c r="T45" s="2684" t="s">
        <v>999</v>
      </c>
      <c r="U45" s="2688"/>
      <c r="V45" s="2461">
        <v>7.5</v>
      </c>
      <c r="W45" s="2523">
        <f t="shared" si="6"/>
        <v>50515.188327715834</v>
      </c>
      <c r="X45" s="2523">
        <f>W45*12</f>
        <v>606182.25993258995</v>
      </c>
      <c r="Y45" s="2523">
        <v>50162.53</v>
      </c>
      <c r="Z45" s="2524">
        <f t="shared" si="5"/>
        <v>7.0303138162256806E-3</v>
      </c>
      <c r="AA45" s="2669">
        <v>3100</v>
      </c>
      <c r="AB45" s="2672"/>
    </row>
    <row r="46" spans="20:41" ht="12.75">
      <c r="T46" s="2684" t="s">
        <v>1000</v>
      </c>
      <c r="U46" s="2688"/>
      <c r="V46" s="2461">
        <v>8</v>
      </c>
      <c r="W46" s="2523">
        <f t="shared" si="6"/>
        <v>53615.188327715834</v>
      </c>
      <c r="X46" s="2523">
        <f>W46*12</f>
        <v>643382.25993258995</v>
      </c>
      <c r="Y46" s="2481">
        <v>53740.78</v>
      </c>
      <c r="Z46" s="2524">
        <f t="shared" si="5"/>
        <v>-2.3369901271281289E-3</v>
      </c>
      <c r="AA46" s="2669">
        <v>3100</v>
      </c>
      <c r="AB46" s="2672"/>
    </row>
    <row r="47" spans="20:41" ht="12.75">
      <c r="T47" s="2684" t="s">
        <v>1001</v>
      </c>
      <c r="U47" s="2688"/>
      <c r="V47" s="2461">
        <v>8.5</v>
      </c>
      <c r="W47" s="2523">
        <f t="shared" si="6"/>
        <v>56715.188327715834</v>
      </c>
      <c r="X47" s="2523">
        <f t="shared" ref="X47:X54" si="7">W47*12</f>
        <v>680582.25993258995</v>
      </c>
      <c r="Y47" s="2481">
        <v>56182.58</v>
      </c>
      <c r="Z47" s="2524">
        <f t="shared" si="5"/>
        <v>9.4799549560705878E-3</v>
      </c>
      <c r="AA47" s="2669">
        <v>3100</v>
      </c>
      <c r="AB47" s="2672"/>
    </row>
    <row r="48" spans="20:41" ht="12.75">
      <c r="T48" s="2684" t="s">
        <v>1002</v>
      </c>
      <c r="U48" s="2688"/>
      <c r="V48" s="2461">
        <v>9</v>
      </c>
      <c r="W48" s="2523">
        <f t="shared" si="6"/>
        <v>59815.188327715834</v>
      </c>
      <c r="X48" s="2523">
        <f t="shared" si="7"/>
        <v>717782.25993258995</v>
      </c>
      <c r="Y48" s="2481">
        <v>59067.41</v>
      </c>
      <c r="Z48" s="2524">
        <f t="shared" si="5"/>
        <v>1.2659744649644034E-2</v>
      </c>
      <c r="AA48" s="2669">
        <v>3100</v>
      </c>
      <c r="AB48" s="2672"/>
    </row>
    <row r="49" spans="20:28" ht="12.75">
      <c r="T49" s="2684" t="s">
        <v>1003</v>
      </c>
      <c r="U49" s="2688"/>
      <c r="V49" s="2461">
        <v>9.5</v>
      </c>
      <c r="W49" s="2523">
        <f t="shared" si="6"/>
        <v>62915.188327715834</v>
      </c>
      <c r="X49" s="2523">
        <f t="shared" si="7"/>
        <v>754982.25993258995</v>
      </c>
      <c r="Y49" s="2481">
        <v>61952.21</v>
      </c>
      <c r="Z49" s="2524">
        <f t="shared" si="5"/>
        <v>1.554388984211919E-2</v>
      </c>
      <c r="AA49" s="2669">
        <v>3100</v>
      </c>
      <c r="AB49" s="2672"/>
    </row>
    <row r="50" spans="20:28" ht="12.75">
      <c r="T50" s="2684" t="s">
        <v>1004</v>
      </c>
      <c r="U50" s="2688"/>
      <c r="V50" s="2461">
        <v>10</v>
      </c>
      <c r="W50" s="2523">
        <f t="shared" si="6"/>
        <v>66015.188327715834</v>
      </c>
      <c r="X50" s="2523">
        <f t="shared" si="7"/>
        <v>792182.25993258995</v>
      </c>
      <c r="Y50" s="2481">
        <v>64781.32</v>
      </c>
      <c r="Z50" s="2524">
        <f t="shared" si="5"/>
        <v>1.9046668510549557E-2</v>
      </c>
      <c r="AA50" s="2669">
        <v>3100</v>
      </c>
      <c r="AB50" s="2672"/>
    </row>
    <row r="51" spans="20:28" ht="12.75">
      <c r="T51" s="2684" t="s">
        <v>1005</v>
      </c>
      <c r="U51" s="2688"/>
      <c r="V51" s="2461">
        <v>10.5</v>
      </c>
      <c r="W51" s="2523">
        <f t="shared" si="6"/>
        <v>69115.188327715834</v>
      </c>
      <c r="X51" s="2523">
        <f t="shared" si="7"/>
        <v>829382.25993258995</v>
      </c>
      <c r="Y51" s="2481">
        <v>67666.100000000006</v>
      </c>
      <c r="Z51" s="2524">
        <f t="shared" si="5"/>
        <v>2.1415277778914818E-2</v>
      </c>
      <c r="AA51" s="2669">
        <v>3100</v>
      </c>
      <c r="AB51" s="2672"/>
    </row>
    <row r="52" spans="20:28" ht="12.75">
      <c r="T52" s="2684" t="s">
        <v>1006</v>
      </c>
      <c r="U52" s="2688"/>
      <c r="V52" s="2461">
        <v>11</v>
      </c>
      <c r="W52" s="2523">
        <f t="shared" si="6"/>
        <v>72215.188327715834</v>
      </c>
      <c r="X52" s="2523">
        <f t="shared" si="7"/>
        <v>866582.25993258995</v>
      </c>
      <c r="Y52" s="2481">
        <v>70383.94</v>
      </c>
      <c r="Z52" s="2524">
        <f t="shared" si="5"/>
        <v>2.6017985462533522E-2</v>
      </c>
      <c r="AA52" s="2669">
        <v>3100</v>
      </c>
      <c r="AB52" s="2672"/>
    </row>
    <row r="53" spans="20:28" ht="12.75">
      <c r="T53" s="2684" t="s">
        <v>1007</v>
      </c>
      <c r="U53" s="2688"/>
      <c r="V53" s="2461">
        <v>11.5</v>
      </c>
      <c r="W53" s="2523">
        <f t="shared" si="6"/>
        <v>75315.188327715834</v>
      </c>
      <c r="X53" s="2523">
        <f t="shared" si="7"/>
        <v>903782.25993258995</v>
      </c>
      <c r="Y53" s="2481">
        <v>73157.289999999994</v>
      </c>
      <c r="Z53" s="2524">
        <f t="shared" si="5"/>
        <v>2.9496695786788173E-2</v>
      </c>
      <c r="AA53" s="2669">
        <v>3100</v>
      </c>
      <c r="AB53" s="2672"/>
    </row>
    <row r="54" spans="20:28" ht="13.5" thickBot="1">
      <c r="T54" s="2686" t="s">
        <v>1008</v>
      </c>
      <c r="U54" s="2692"/>
      <c r="V54" s="2482">
        <v>12</v>
      </c>
      <c r="W54" s="2670">
        <f t="shared" si="6"/>
        <v>78415.188327715834</v>
      </c>
      <c r="X54" s="2670">
        <f t="shared" si="7"/>
        <v>940982.25993258995</v>
      </c>
      <c r="Y54" s="2483">
        <v>75875.06</v>
      </c>
      <c r="Z54" s="2671">
        <f t="shared" si="5"/>
        <v>3.3477776857320923E-2</v>
      </c>
      <c r="AA54" s="2669">
        <v>3100</v>
      </c>
      <c r="AB54" s="2672"/>
    </row>
  </sheetData>
  <mergeCells count="8">
    <mergeCell ref="U10:V10"/>
    <mergeCell ref="U13:V13"/>
    <mergeCell ref="U2:AC3"/>
    <mergeCell ref="AB5:AG5"/>
    <mergeCell ref="AD6:AE6"/>
    <mergeCell ref="U6:Z6"/>
    <mergeCell ref="U7:V7"/>
    <mergeCell ref="W7:Z7"/>
  </mergeCells>
  <pageMargins left="0.7" right="0.7" top="0.75" bottom="0.75" header="0.3" footer="0.3"/>
  <pageSetup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opLeftCell="A16" workbookViewId="0">
      <selection activeCell="N47" sqref="N47:N53"/>
    </sheetView>
  </sheetViews>
  <sheetFormatPr defaultRowHeight="15"/>
  <cols>
    <col min="2" max="2" width="15.28515625" customWidth="1"/>
    <col min="3" max="3" width="27.5703125" customWidth="1"/>
    <col min="4" max="4" width="15.28515625" style="2641" customWidth="1"/>
    <col min="5" max="5" width="11.5703125" style="2641" bestFit="1" customWidth="1"/>
    <col min="7" max="7" width="13.42578125" style="2641" customWidth="1"/>
    <col min="8" max="8" width="15.5703125" bestFit="1" customWidth="1"/>
    <col min="9" max="9" width="11.140625" customWidth="1"/>
    <col min="10" max="10" width="11.5703125" bestFit="1" customWidth="1"/>
    <col min="11" max="11" width="15.28515625" bestFit="1" customWidth="1"/>
    <col min="12" max="12" width="9.140625" style="1228"/>
    <col min="13" max="13" width="13.5703125" customWidth="1"/>
    <col min="14" max="14" width="16.42578125" customWidth="1"/>
    <col min="24" max="24" width="6.7109375" bestFit="1" customWidth="1"/>
    <col min="25" max="25" width="12.140625" bestFit="1" customWidth="1"/>
    <col min="27" max="27" width="11.5703125" style="43" bestFit="1" customWidth="1"/>
    <col min="28" max="32" width="13.5703125" style="43" customWidth="1"/>
    <col min="33" max="34" width="16.42578125" style="43" customWidth="1"/>
    <col min="35" max="36" width="11.5703125" bestFit="1" customWidth="1"/>
    <col min="38" max="38" width="12.5703125" bestFit="1" customWidth="1"/>
    <col min="39" max="39" width="10.5703125" style="2641" bestFit="1" customWidth="1"/>
    <col min="40" max="40" width="10.5703125" bestFit="1" customWidth="1"/>
    <col min="41" max="41" width="13.5703125" customWidth="1"/>
    <col min="42" max="42" width="11.85546875" customWidth="1"/>
  </cols>
  <sheetData>
    <row r="1" spans="1:39">
      <c r="W1">
        <v>12</v>
      </c>
    </row>
    <row r="2" spans="1:39" ht="15" customHeight="1">
      <c r="D2" s="3208" t="s">
        <v>1010</v>
      </c>
      <c r="E2" s="3208"/>
      <c r="F2" s="3208"/>
      <c r="G2" s="3209" t="s">
        <v>1011</v>
      </c>
      <c r="H2" s="3210"/>
      <c r="I2" s="3210"/>
      <c r="J2" s="3211" t="s">
        <v>1012</v>
      </c>
      <c r="K2" s="3212"/>
      <c r="L2" s="3212"/>
      <c r="M2" s="3219" t="s">
        <v>1026</v>
      </c>
      <c r="N2" s="3220"/>
      <c r="O2" s="3220"/>
      <c r="AF2" s="2696"/>
      <c r="AG2" s="43">
        <v>12</v>
      </c>
      <c r="AH2" s="3213" t="s">
        <v>659</v>
      </c>
    </row>
    <row r="3" spans="1:39" ht="15" customHeight="1" thickBot="1">
      <c r="A3" t="s">
        <v>899</v>
      </c>
      <c r="B3" t="s">
        <v>900</v>
      </c>
      <c r="D3" s="2041" t="s">
        <v>901</v>
      </c>
      <c r="E3" s="2041" t="s">
        <v>902</v>
      </c>
      <c r="F3" s="47" t="s">
        <v>222</v>
      </c>
      <c r="G3" s="2697" t="s">
        <v>707</v>
      </c>
      <c r="H3" s="2698" t="s">
        <v>1013</v>
      </c>
      <c r="I3" s="2698" t="s">
        <v>890</v>
      </c>
      <c r="J3" s="2699" t="s">
        <v>707</v>
      </c>
      <c r="K3" s="2700" t="s">
        <v>1013</v>
      </c>
      <c r="L3" s="2701" t="s">
        <v>890</v>
      </c>
      <c r="M3" s="2834" t="s">
        <v>707</v>
      </c>
      <c r="N3" s="2830" t="s">
        <v>1013</v>
      </c>
      <c r="O3" s="2830" t="s">
        <v>890</v>
      </c>
      <c r="AF3" s="2696"/>
      <c r="AG3" s="43" t="s">
        <v>638</v>
      </c>
      <c r="AH3" s="3213"/>
      <c r="AI3" s="43" t="s">
        <v>706</v>
      </c>
    </row>
    <row r="4" spans="1:39" ht="15.75" thickBot="1">
      <c r="A4">
        <v>3770</v>
      </c>
      <c r="B4" t="s">
        <v>908</v>
      </c>
      <c r="C4" t="s">
        <v>909</v>
      </c>
      <c r="D4" s="2641">
        <v>143574.48000000001</v>
      </c>
      <c r="E4" s="2641">
        <v>11964.54</v>
      </c>
      <c r="F4">
        <v>1.5</v>
      </c>
      <c r="G4" s="2702">
        <f>$AB$9</f>
        <v>12311.391245786879</v>
      </c>
      <c r="H4" s="2703">
        <f t="shared" ref="H4:H35" si="0">G4*$AG$2</f>
        <v>147736.69494944255</v>
      </c>
      <c r="I4" s="2704">
        <f t="shared" ref="I4:I35" si="1">(H4-D4)/H4</f>
        <v>2.8173196583739093E-2</v>
      </c>
      <c r="J4" s="2705">
        <f>$AD$9</f>
        <v>12311.391245786879</v>
      </c>
      <c r="K4" s="2706">
        <f t="shared" ref="K4:K35" si="2">J4*$W$1</f>
        <v>147736.69494944255</v>
      </c>
      <c r="L4" s="2707">
        <f t="shared" ref="L4:L35" si="3">(K4-D4)/K4</f>
        <v>2.8173196583739093E-2</v>
      </c>
      <c r="M4" s="2835">
        <f>'Aut-FamSupCtrs'!$R$28</f>
        <v>12382.851588804486</v>
      </c>
      <c r="N4" s="2836">
        <f t="shared" ref="N4:N35" si="4">M4*$W$1</f>
        <v>148594.21906565383</v>
      </c>
      <c r="O4" s="2837">
        <f t="shared" ref="O4:O35" si="5">(N4-D4)/D4</f>
        <v>3.4962613590199448E-2</v>
      </c>
      <c r="X4" s="769"/>
      <c r="Y4" s="1508"/>
      <c r="Z4" s="1508"/>
      <c r="AA4" s="2708"/>
      <c r="AB4" s="2709"/>
      <c r="AC4" s="2709"/>
      <c r="AD4" s="2710"/>
      <c r="AF4" s="2711"/>
      <c r="AG4" s="2712">
        <f>AB7*$AG$2</f>
        <v>49245.564983147517</v>
      </c>
      <c r="AH4" s="2712">
        <v>3988.24</v>
      </c>
      <c r="AI4" s="2713">
        <f>(AB7-AH4)/AH4</f>
        <v>2.8974455381060228E-2</v>
      </c>
    </row>
    <row r="5" spans="1:39">
      <c r="A5">
        <v>3770</v>
      </c>
      <c r="B5" t="s">
        <v>944</v>
      </c>
      <c r="C5" t="s">
        <v>945</v>
      </c>
      <c r="D5" s="2641">
        <v>153624.72</v>
      </c>
      <c r="E5" s="2641">
        <v>12802.06</v>
      </c>
      <c r="F5">
        <v>1.5</v>
      </c>
      <c r="G5" s="2702">
        <f>$AB$9</f>
        <v>12311.391245786879</v>
      </c>
      <c r="H5" s="2703">
        <f t="shared" si="0"/>
        <v>147736.69494944255</v>
      </c>
      <c r="I5" s="2704">
        <f t="shared" si="1"/>
        <v>-3.9854858351693945E-2</v>
      </c>
      <c r="J5" s="2705">
        <f>$AD$9</f>
        <v>12311.391245786879</v>
      </c>
      <c r="K5" s="2706">
        <f t="shared" si="2"/>
        <v>147736.69494944255</v>
      </c>
      <c r="L5" s="2707">
        <f t="shared" si="3"/>
        <v>-3.9854858351693945E-2</v>
      </c>
      <c r="M5" s="2835">
        <f>'Aut-FamSupCtrs'!$R$28</f>
        <v>12382.851588804486</v>
      </c>
      <c r="N5" s="2836">
        <f t="shared" si="4"/>
        <v>148594.21906565383</v>
      </c>
      <c r="O5" s="2837">
        <f t="shared" si="5"/>
        <v>-3.2745387163902864E-2</v>
      </c>
      <c r="X5" s="769"/>
      <c r="Y5" s="1508"/>
      <c r="Z5" s="3214"/>
      <c r="AA5" s="3214"/>
      <c r="AB5" s="3215" t="s">
        <v>707</v>
      </c>
      <c r="AC5" s="2714"/>
      <c r="AD5" s="3217" t="s">
        <v>707</v>
      </c>
      <c r="AE5" s="2696"/>
      <c r="AF5" s="2711"/>
      <c r="AG5" s="2712">
        <f>AB8*$AG$2</f>
        <v>98491.129966295033</v>
      </c>
      <c r="AH5" s="2712">
        <v>7976.3</v>
      </c>
      <c r="AI5" s="2713">
        <f>(AB8-AH5)/AH5</f>
        <v>2.8997676097679205E-2</v>
      </c>
    </row>
    <row r="6" spans="1:39" ht="15.75" thickBot="1">
      <c r="A6">
        <v>3770</v>
      </c>
      <c r="B6" t="s">
        <v>982</v>
      </c>
      <c r="C6" t="s">
        <v>983</v>
      </c>
      <c r="D6" s="2641">
        <v>143574.48000000001</v>
      </c>
      <c r="E6" s="2641">
        <v>11964.54</v>
      </c>
      <c r="F6">
        <v>1.5</v>
      </c>
      <c r="G6" s="2702">
        <f>$AB$9</f>
        <v>12311.391245786879</v>
      </c>
      <c r="H6" s="2703">
        <f t="shared" si="0"/>
        <v>147736.69494944255</v>
      </c>
      <c r="I6" s="2704">
        <f t="shared" si="1"/>
        <v>2.8173196583739093E-2</v>
      </c>
      <c r="J6" s="2705">
        <f>$AD$9</f>
        <v>12311.391245786879</v>
      </c>
      <c r="K6" s="2706">
        <f t="shared" si="2"/>
        <v>147736.69494944255</v>
      </c>
      <c r="L6" s="2707">
        <f t="shared" si="3"/>
        <v>2.8173196583739093E-2</v>
      </c>
      <c r="M6" s="2835">
        <f>'Aut-FamSupCtrs'!$R$28</f>
        <v>12382.851588804486</v>
      </c>
      <c r="N6" s="2836">
        <f t="shared" si="4"/>
        <v>148594.21906565383</v>
      </c>
      <c r="O6" s="2837">
        <f t="shared" si="5"/>
        <v>3.4962613590199448E-2</v>
      </c>
      <c r="X6" s="46" t="s">
        <v>708</v>
      </c>
      <c r="Y6" s="47" t="s">
        <v>839</v>
      </c>
      <c r="Z6" s="47"/>
      <c r="AA6" s="2715"/>
      <c r="AB6" s="3216"/>
      <c r="AC6" s="2716"/>
      <c r="AD6" s="3218"/>
      <c r="AE6" s="2696"/>
      <c r="AF6" s="2711"/>
      <c r="AG6" s="2712">
        <f>AB9*$AG$2</f>
        <v>147736.69494944255</v>
      </c>
      <c r="AH6" s="2712">
        <v>11964.54</v>
      </c>
      <c r="AI6" s="2713">
        <f>(AB9-AH6)/AH6</f>
        <v>2.8989935742358523E-2</v>
      </c>
    </row>
    <row r="7" spans="1:39">
      <c r="A7">
        <v>3770</v>
      </c>
      <c r="B7" t="s">
        <v>916</v>
      </c>
      <c r="C7" t="s">
        <v>917</v>
      </c>
      <c r="D7" s="2641">
        <v>191432.28</v>
      </c>
      <c r="E7" s="2641">
        <v>15952.69</v>
      </c>
      <c r="F7">
        <v>2</v>
      </c>
      <c r="G7" s="2702">
        <f>$AB$10</f>
        <v>16415.188327715838</v>
      </c>
      <c r="H7" s="2703">
        <f t="shared" si="0"/>
        <v>196982.25993259007</v>
      </c>
      <c r="I7" s="2704">
        <f t="shared" si="1"/>
        <v>2.8175024159481896E-2</v>
      </c>
      <c r="J7" s="2705">
        <f>$AD$10</f>
        <v>16415.188327715838</v>
      </c>
      <c r="K7" s="2706">
        <f t="shared" si="2"/>
        <v>196982.25993259007</v>
      </c>
      <c r="L7" s="2707">
        <f t="shared" si="3"/>
        <v>2.8175024159481896E-2</v>
      </c>
      <c r="M7" s="2835">
        <f>'Aut-FamSupCtrs'!$F$56</f>
        <v>16510.468785072644</v>
      </c>
      <c r="N7" s="2836">
        <f t="shared" si="4"/>
        <v>198125.62542087171</v>
      </c>
      <c r="O7" s="2837">
        <f t="shared" si="5"/>
        <v>3.4964559900094783E-2</v>
      </c>
      <c r="X7" s="37">
        <v>0.18</v>
      </c>
      <c r="Y7" s="25">
        <v>0.5</v>
      </c>
      <c r="Z7" s="45" t="s">
        <v>847</v>
      </c>
      <c r="AA7" s="2717"/>
      <c r="AB7" s="2718">
        <f>'[5]Single FTE Model '!W45</f>
        <v>4103.7970819289594</v>
      </c>
      <c r="AC7" s="2718"/>
      <c r="AD7" s="2719">
        <f>AB7</f>
        <v>4103.7970819289594</v>
      </c>
      <c r="AE7" s="2711"/>
      <c r="AF7" s="2711"/>
      <c r="AG7" s="2712">
        <f>AB10*$AG$2</f>
        <v>196982.25993259007</v>
      </c>
      <c r="AH7" s="2712">
        <v>15952.69</v>
      </c>
      <c r="AI7" s="2713">
        <f>(AB10-AH7)/AH7</f>
        <v>2.899187082027151E-2</v>
      </c>
      <c r="AK7">
        <v>31200</v>
      </c>
    </row>
    <row r="8" spans="1:39">
      <c r="A8">
        <v>3770</v>
      </c>
      <c r="B8" t="s">
        <v>975</v>
      </c>
      <c r="C8" t="s">
        <v>976</v>
      </c>
      <c r="D8" s="2641">
        <v>191432.28</v>
      </c>
      <c r="E8" s="2641">
        <v>15952.69</v>
      </c>
      <c r="F8">
        <v>2</v>
      </c>
      <c r="G8" s="2702">
        <f>$AB$10</f>
        <v>16415.188327715838</v>
      </c>
      <c r="H8" s="2703">
        <f t="shared" si="0"/>
        <v>196982.25993259007</v>
      </c>
      <c r="I8" s="2704">
        <f t="shared" si="1"/>
        <v>2.8175024159481896E-2</v>
      </c>
      <c r="J8" s="2705">
        <f>$AD$10</f>
        <v>16415.188327715838</v>
      </c>
      <c r="K8" s="2706">
        <f t="shared" si="2"/>
        <v>196982.25993259007</v>
      </c>
      <c r="L8" s="2707">
        <f t="shared" si="3"/>
        <v>2.8175024159481896E-2</v>
      </c>
      <c r="M8" s="2835">
        <f>'Aut-FamSupCtrs'!$F$56</f>
        <v>16510.468785072644</v>
      </c>
      <c r="N8" s="2836">
        <f t="shared" si="4"/>
        <v>198125.62542087171</v>
      </c>
      <c r="O8" s="2837">
        <f t="shared" si="5"/>
        <v>3.4964559900094783E-2</v>
      </c>
      <c r="X8" s="37">
        <v>0.36</v>
      </c>
      <c r="Y8" s="25">
        <v>1</v>
      </c>
      <c r="Z8" s="45" t="s">
        <v>847</v>
      </c>
      <c r="AA8" s="2717"/>
      <c r="AB8" s="2718">
        <f>'[5]Single FTE Model '!W46</f>
        <v>8207.5941638579188</v>
      </c>
      <c r="AC8" s="2718"/>
      <c r="AD8" s="2719">
        <f>AB8</f>
        <v>8207.5941638579188</v>
      </c>
      <c r="AE8" s="2711"/>
      <c r="AF8" s="2711"/>
      <c r="AG8" s="2712">
        <f t="shared" ref="AG8:AG27" si="6">AB13*$AG$2</f>
        <v>234422.25993259007</v>
      </c>
      <c r="AH8" s="2712">
        <v>18934.8</v>
      </c>
      <c r="AI8" s="2713">
        <f t="shared" ref="AI8:AI27" si="7">(AB13-AH8)/AH8</f>
        <v>3.1708194843137416E-2</v>
      </c>
      <c r="AL8">
        <f t="shared" ref="AL8:AL27" si="8">$AK$7*Z13</f>
        <v>3120</v>
      </c>
      <c r="AM8" s="2641">
        <v>3100</v>
      </c>
    </row>
    <row r="9" spans="1:39">
      <c r="A9">
        <v>3770</v>
      </c>
      <c r="B9" t="s">
        <v>975</v>
      </c>
      <c r="C9" t="s">
        <v>977</v>
      </c>
      <c r="D9" s="2641">
        <v>194414.39</v>
      </c>
      <c r="E9" s="2641">
        <v>16201.199166666667</v>
      </c>
      <c r="F9">
        <v>2</v>
      </c>
      <c r="G9" s="2702">
        <f>$AB$10</f>
        <v>16415.188327715838</v>
      </c>
      <c r="H9" s="2703">
        <f t="shared" si="0"/>
        <v>196982.25993259007</v>
      </c>
      <c r="I9" s="2704">
        <f t="shared" si="1"/>
        <v>1.3036046664653007E-2</v>
      </c>
      <c r="J9" s="2705">
        <f>$AD$10</f>
        <v>16415.188327715838</v>
      </c>
      <c r="K9" s="2706">
        <f t="shared" si="2"/>
        <v>196982.25993259007</v>
      </c>
      <c r="L9" s="2707">
        <f t="shared" si="3"/>
        <v>1.3036046664653007E-2</v>
      </c>
      <c r="M9" s="2835">
        <f>'Aut-FamSupCtrs'!$F$56</f>
        <v>16510.468785072644</v>
      </c>
      <c r="N9" s="2836">
        <f t="shared" si="4"/>
        <v>198125.62542087171</v>
      </c>
      <c r="O9" s="2837">
        <f t="shared" si="5"/>
        <v>1.9089304144984845E-2</v>
      </c>
      <c r="X9" s="37">
        <v>0.54</v>
      </c>
      <c r="Y9" s="25">
        <v>1.5</v>
      </c>
      <c r="Z9" s="45" t="s">
        <v>847</v>
      </c>
      <c r="AA9" s="2717"/>
      <c r="AB9" s="2718">
        <f>'[5]Single FTE Model '!W47</f>
        <v>12311.391245786879</v>
      </c>
      <c r="AC9" s="2718"/>
      <c r="AD9" s="2719">
        <f>AB9</f>
        <v>12311.391245786879</v>
      </c>
      <c r="AE9" s="2711"/>
      <c r="AF9" s="2711"/>
      <c r="AG9" s="2712">
        <f t="shared" si="6"/>
        <v>271862.25993259007</v>
      </c>
      <c r="AH9" s="2712">
        <v>21944.91</v>
      </c>
      <c r="AI9" s="2713">
        <f t="shared" si="7"/>
        <v>3.2366427008168989E-2</v>
      </c>
      <c r="AL9">
        <f t="shared" si="8"/>
        <v>6240</v>
      </c>
      <c r="AM9" s="2641">
        <v>6200</v>
      </c>
    </row>
    <row r="10" spans="1:39" ht="15.75" thickBot="1">
      <c r="A10">
        <v>3770</v>
      </c>
      <c r="B10" t="s">
        <v>936</v>
      </c>
      <c r="C10" t="s">
        <v>937</v>
      </c>
      <c r="D10" s="2641">
        <v>227217.59999999998</v>
      </c>
      <c r="E10" s="2641">
        <v>18934.8</v>
      </c>
      <c r="F10">
        <v>2.5</v>
      </c>
      <c r="G10" s="2702">
        <f>$AB$13</f>
        <v>19535.188327715838</v>
      </c>
      <c r="H10" s="2703">
        <f t="shared" si="0"/>
        <v>234422.25993259007</v>
      </c>
      <c r="I10" s="2704">
        <f t="shared" si="1"/>
        <v>3.0733685165657245E-2</v>
      </c>
      <c r="J10" s="2705">
        <f>$AD$13</f>
        <v>19515.188327715838</v>
      </c>
      <c r="K10" s="2706">
        <f t="shared" si="2"/>
        <v>234182.25993259007</v>
      </c>
      <c r="L10" s="2707">
        <f t="shared" si="3"/>
        <v>2.9740339573949299E-2</v>
      </c>
      <c r="M10" s="2835">
        <f>'Aut-FamSupCtrs'!$L$56</f>
        <v>19359.513236474577</v>
      </c>
      <c r="N10" s="2836">
        <f t="shared" si="4"/>
        <v>232314.15883769491</v>
      </c>
      <c r="O10" s="2837">
        <f t="shared" si="5"/>
        <v>2.2430299579323659E-2</v>
      </c>
      <c r="X10" s="37">
        <v>0.72</v>
      </c>
      <c r="Y10" s="25">
        <v>2</v>
      </c>
      <c r="Z10" s="45" t="s">
        <v>847</v>
      </c>
      <c r="AA10" s="2717"/>
      <c r="AB10" s="2720">
        <f>'[5]Single FTE Model '!W48</f>
        <v>16415.188327715838</v>
      </c>
      <c r="AC10" s="2718"/>
      <c r="AD10" s="2720">
        <f>AB10</f>
        <v>16415.188327715838</v>
      </c>
      <c r="AE10" s="2711"/>
      <c r="AF10" s="2711"/>
      <c r="AG10" s="2712">
        <f t="shared" si="6"/>
        <v>309302.25993259007</v>
      </c>
      <c r="AH10" s="2712">
        <v>24968.86</v>
      </c>
      <c r="AI10" s="2713">
        <f t="shared" si="7"/>
        <v>3.2293357715003287E-2</v>
      </c>
      <c r="AL10">
        <f t="shared" si="8"/>
        <v>9360</v>
      </c>
      <c r="AM10" s="2641">
        <v>9300</v>
      </c>
    </row>
    <row r="11" spans="1:39">
      <c r="A11">
        <v>3770</v>
      </c>
      <c r="B11" t="s">
        <v>940</v>
      </c>
      <c r="C11" t="s">
        <v>941</v>
      </c>
      <c r="D11" s="2641">
        <v>227217.6</v>
      </c>
      <c r="E11" s="2641">
        <v>18934.8</v>
      </c>
      <c r="F11">
        <v>2.5</v>
      </c>
      <c r="G11" s="2702">
        <f>$AB$13</f>
        <v>19535.188327715838</v>
      </c>
      <c r="H11" s="2703">
        <f t="shared" si="0"/>
        <v>234422.25993259007</v>
      </c>
      <c r="I11" s="2704">
        <f t="shared" si="1"/>
        <v>3.073368516565712E-2</v>
      </c>
      <c r="J11" s="2705">
        <f>$AD$13</f>
        <v>19515.188327715838</v>
      </c>
      <c r="K11" s="2706">
        <f t="shared" si="2"/>
        <v>234182.25993259007</v>
      </c>
      <c r="L11" s="2707">
        <f t="shared" si="3"/>
        <v>2.9740339573949174E-2</v>
      </c>
      <c r="M11" s="2835">
        <f>'Aut-FamSupCtrs'!$L$56</f>
        <v>19359.513236474577</v>
      </c>
      <c r="N11" s="2836">
        <f t="shared" si="4"/>
        <v>232314.15883769491</v>
      </c>
      <c r="O11" s="2837">
        <f t="shared" si="5"/>
        <v>2.2430299579323527E-2</v>
      </c>
      <c r="X11" s="769"/>
      <c r="Y11" s="1508"/>
      <c r="Z11" s="3223" t="s">
        <v>1014</v>
      </c>
      <c r="AA11" s="3223"/>
      <c r="AB11" s="3224" t="s">
        <v>707</v>
      </c>
      <c r="AC11" s="2721" t="s">
        <v>1015</v>
      </c>
      <c r="AD11" s="3226" t="s">
        <v>707</v>
      </c>
      <c r="AE11" s="2711"/>
      <c r="AF11" s="2711"/>
      <c r="AG11" s="2712">
        <f t="shared" si="6"/>
        <v>346742.25993259007</v>
      </c>
      <c r="AH11" s="2712">
        <v>28048.47</v>
      </c>
      <c r="AI11" s="2713">
        <f t="shared" si="7"/>
        <v>3.0187683239614727E-2</v>
      </c>
      <c r="AL11">
        <f t="shared" si="8"/>
        <v>12480</v>
      </c>
    </row>
    <row r="12" spans="1:39" ht="15.75" thickBot="1">
      <c r="A12">
        <v>3770</v>
      </c>
      <c r="B12" t="s">
        <v>954</v>
      </c>
      <c r="C12" t="s">
        <v>955</v>
      </c>
      <c r="D12" s="2641">
        <v>227217.6</v>
      </c>
      <c r="E12" s="2641">
        <v>18934.8</v>
      </c>
      <c r="F12">
        <v>2.5</v>
      </c>
      <c r="G12" s="2702">
        <f>$AB$13</f>
        <v>19535.188327715838</v>
      </c>
      <c r="H12" s="2703">
        <f t="shared" si="0"/>
        <v>234422.25993259007</v>
      </c>
      <c r="I12" s="2704">
        <f t="shared" si="1"/>
        <v>3.073368516565712E-2</v>
      </c>
      <c r="J12" s="2705">
        <f>$AD$13</f>
        <v>19515.188327715838</v>
      </c>
      <c r="K12" s="2706">
        <f t="shared" si="2"/>
        <v>234182.25993259007</v>
      </c>
      <c r="L12" s="2707">
        <f t="shared" si="3"/>
        <v>2.9740339573949174E-2</v>
      </c>
      <c r="M12" s="2835">
        <f>'Aut-FamSupCtrs'!$L$56</f>
        <v>19359.513236474577</v>
      </c>
      <c r="N12" s="2836">
        <f t="shared" si="4"/>
        <v>232314.15883769491</v>
      </c>
      <c r="O12" s="2837">
        <f t="shared" si="5"/>
        <v>2.2430299579323527E-2</v>
      </c>
      <c r="X12" s="3228" t="s">
        <v>839</v>
      </c>
      <c r="Y12" s="3229"/>
      <c r="Z12" s="2722" t="s">
        <v>1016</v>
      </c>
      <c r="AA12" s="2723">
        <v>31200</v>
      </c>
      <c r="AB12" s="3225"/>
      <c r="AC12" s="2724">
        <v>3100</v>
      </c>
      <c r="AD12" s="3227"/>
      <c r="AE12" s="2711"/>
      <c r="AF12" s="2711"/>
      <c r="AG12" s="2712">
        <f t="shared" si="6"/>
        <v>384182.25993259007</v>
      </c>
      <c r="AH12" s="2712">
        <v>31225.59</v>
      </c>
      <c r="AI12" s="2713">
        <f t="shared" si="7"/>
        <v>2.5286898589132745E-2</v>
      </c>
      <c r="AL12">
        <f t="shared" si="8"/>
        <v>15600</v>
      </c>
    </row>
    <row r="13" spans="1:39">
      <c r="A13">
        <v>3770</v>
      </c>
      <c r="B13" t="s">
        <v>978</v>
      </c>
      <c r="C13" t="s">
        <v>979</v>
      </c>
      <c r="D13" s="2641">
        <v>227217.6</v>
      </c>
      <c r="E13" s="2641">
        <v>18934.8</v>
      </c>
      <c r="F13">
        <v>2.5</v>
      </c>
      <c r="G13" s="2725">
        <f>$AB$13</f>
        <v>19535.188327715838</v>
      </c>
      <c r="H13" s="2726">
        <f t="shared" si="0"/>
        <v>234422.25993259007</v>
      </c>
      <c r="I13" s="2727">
        <f t="shared" si="1"/>
        <v>3.073368516565712E-2</v>
      </c>
      <c r="J13" s="2728">
        <f>$AD$13</f>
        <v>19515.188327715838</v>
      </c>
      <c r="K13" s="2729">
        <f t="shared" si="2"/>
        <v>234182.25993259007</v>
      </c>
      <c r="L13" s="2730">
        <f t="shared" si="3"/>
        <v>2.9740339573949174E-2</v>
      </c>
      <c r="M13" s="2835">
        <f>'Aut-FamSupCtrs'!$L$56</f>
        <v>19359.513236474577</v>
      </c>
      <c r="N13" s="2836">
        <f t="shared" si="4"/>
        <v>232314.15883769491</v>
      </c>
      <c r="O13" s="2837">
        <f t="shared" si="5"/>
        <v>2.2430299579323527E-2</v>
      </c>
      <c r="X13" s="3230">
        <v>2.5</v>
      </c>
      <c r="Y13" s="3231"/>
      <c r="Z13" s="2731">
        <v>0.1</v>
      </c>
      <c r="AA13" s="2732">
        <f t="shared" ref="AA13:AA32" si="9">Z13*$AA$12</f>
        <v>3120</v>
      </c>
      <c r="AB13" s="2733">
        <f>AB10+AA13</f>
        <v>19535.188327715838</v>
      </c>
      <c r="AC13" s="2734">
        <v>3100</v>
      </c>
      <c r="AD13" s="2735">
        <f>AC13+$AB$10</f>
        <v>19515.188327715838</v>
      </c>
      <c r="AE13" s="2711"/>
      <c r="AF13" s="2711"/>
      <c r="AG13" s="2712">
        <f t="shared" si="6"/>
        <v>421622.25993259001</v>
      </c>
      <c r="AH13" s="2712">
        <v>34374.79</v>
      </c>
      <c r="AI13" s="2713">
        <f t="shared" si="7"/>
        <v>2.2120813762522857E-2</v>
      </c>
      <c r="AL13">
        <f t="shared" si="8"/>
        <v>18720</v>
      </c>
    </row>
    <row r="14" spans="1:39">
      <c r="A14">
        <v>3770</v>
      </c>
      <c r="B14" t="s">
        <v>984</v>
      </c>
      <c r="C14" t="s">
        <v>985</v>
      </c>
      <c r="D14" s="2641">
        <v>227217.6</v>
      </c>
      <c r="E14" s="2641">
        <v>18934.8</v>
      </c>
      <c r="F14">
        <v>2.5</v>
      </c>
      <c r="G14" s="2702">
        <f>$AB$13</f>
        <v>19535.188327715838</v>
      </c>
      <c r="H14" s="2703">
        <f t="shared" si="0"/>
        <v>234422.25993259007</v>
      </c>
      <c r="I14" s="2704">
        <f t="shared" si="1"/>
        <v>3.073368516565712E-2</v>
      </c>
      <c r="J14" s="2705">
        <f>$AD$13</f>
        <v>19515.188327715838</v>
      </c>
      <c r="K14" s="2706">
        <f t="shared" si="2"/>
        <v>234182.25993259007</v>
      </c>
      <c r="L14" s="2707">
        <f t="shared" si="3"/>
        <v>2.9740339573949174E-2</v>
      </c>
      <c r="M14" s="2835">
        <f>'Aut-FamSupCtrs'!$L$56</f>
        <v>19359.513236474577</v>
      </c>
      <c r="N14" s="2836">
        <f t="shared" si="4"/>
        <v>232314.15883769491</v>
      </c>
      <c r="O14" s="2837">
        <f t="shared" si="5"/>
        <v>2.2430299579323527E-2</v>
      </c>
      <c r="X14" s="3221">
        <v>3</v>
      </c>
      <c r="Y14" s="3222"/>
      <c r="Z14" s="2731">
        <v>0.2</v>
      </c>
      <c r="AA14" s="2732">
        <f t="shared" si="9"/>
        <v>6240</v>
      </c>
      <c r="AB14" s="2733">
        <f>AA14+AB10</f>
        <v>22655.188327715838</v>
      </c>
      <c r="AC14" s="2736">
        <f>AC13+AC12</f>
        <v>6200</v>
      </c>
      <c r="AD14" s="2735">
        <f t="shared" ref="AD14:AD32" si="10">AC14+$AB$10</f>
        <v>22615.188327715838</v>
      </c>
      <c r="AE14" s="2711"/>
      <c r="AF14" s="2711"/>
      <c r="AG14" s="2712">
        <f t="shared" si="6"/>
        <v>459062.25993259001</v>
      </c>
      <c r="AH14" s="2712">
        <v>37548.949999999997</v>
      </c>
      <c r="AI14" s="2713">
        <f t="shared" si="7"/>
        <v>1.880847074860514E-2</v>
      </c>
      <c r="AJ14" s="2693"/>
      <c r="AK14" s="2693"/>
      <c r="AL14">
        <f t="shared" si="8"/>
        <v>21840</v>
      </c>
    </row>
    <row r="15" spans="1:39">
      <c r="A15">
        <v>3770</v>
      </c>
      <c r="B15" t="s">
        <v>920</v>
      </c>
      <c r="C15" t="s">
        <v>921</v>
      </c>
      <c r="D15" s="2641">
        <v>263338.92</v>
      </c>
      <c r="E15" s="2641">
        <v>21944.91</v>
      </c>
      <c r="F15">
        <v>3</v>
      </c>
      <c r="G15" s="2702">
        <f t="shared" ref="G15:G20" si="11">$AB$14</f>
        <v>22655.188327715838</v>
      </c>
      <c r="H15" s="2703">
        <f t="shared" si="0"/>
        <v>271862.25993259007</v>
      </c>
      <c r="I15" s="2704">
        <f t="shared" si="1"/>
        <v>3.135168498453407E-2</v>
      </c>
      <c r="J15" s="2705">
        <f t="shared" ref="J15:J20" si="12">$AD$14</f>
        <v>22615.188327715838</v>
      </c>
      <c r="K15" s="2706">
        <f t="shared" si="2"/>
        <v>271382.25993259007</v>
      </c>
      <c r="L15" s="2707">
        <f t="shared" si="3"/>
        <v>2.9638414591241176E-2</v>
      </c>
      <c r="M15" s="2835">
        <f>'Aut-FamSupCtrs'!$R$56</f>
        <v>22528.200874093072</v>
      </c>
      <c r="N15" s="2836">
        <f t="shared" si="4"/>
        <v>270338.41048911685</v>
      </c>
      <c r="O15" s="2837">
        <f t="shared" si="5"/>
        <v>2.6579779734483874E-2</v>
      </c>
      <c r="X15" s="3221">
        <v>3.5</v>
      </c>
      <c r="Y15" s="3222"/>
      <c r="Z15" s="2731">
        <v>0.3</v>
      </c>
      <c r="AA15" s="2732">
        <f t="shared" si="9"/>
        <v>9360</v>
      </c>
      <c r="AB15" s="2733">
        <f>AA15+AB10</f>
        <v>25775.188327715838</v>
      </c>
      <c r="AC15" s="2736">
        <f>AC13+AC14</f>
        <v>9300</v>
      </c>
      <c r="AD15" s="2735">
        <f t="shared" si="10"/>
        <v>25715.188327715838</v>
      </c>
      <c r="AE15" s="2711"/>
      <c r="AF15" s="2711"/>
      <c r="AG15" s="2712">
        <f t="shared" si="6"/>
        <v>496502.25993259001</v>
      </c>
      <c r="AH15" s="2712">
        <v>40689.879999999997</v>
      </c>
      <c r="AI15" s="2713">
        <f t="shared" si="7"/>
        <v>1.6842230247811906E-2</v>
      </c>
      <c r="AJ15" s="2693"/>
      <c r="AK15" s="2693"/>
      <c r="AL15">
        <f t="shared" si="8"/>
        <v>24960</v>
      </c>
    </row>
    <row r="16" spans="1:39">
      <c r="A16">
        <v>3770</v>
      </c>
      <c r="B16" t="s">
        <v>925</v>
      </c>
      <c r="C16" t="s">
        <v>926</v>
      </c>
      <c r="D16" s="2641">
        <v>263338.92</v>
      </c>
      <c r="E16" s="2641">
        <v>21944.91</v>
      </c>
      <c r="F16">
        <v>3</v>
      </c>
      <c r="G16" s="2702">
        <f t="shared" si="11"/>
        <v>22655.188327715838</v>
      </c>
      <c r="H16" s="2703">
        <f t="shared" si="0"/>
        <v>271862.25993259007</v>
      </c>
      <c r="I16" s="2704">
        <f t="shared" si="1"/>
        <v>3.135168498453407E-2</v>
      </c>
      <c r="J16" s="2705">
        <f t="shared" si="12"/>
        <v>22615.188327715838</v>
      </c>
      <c r="K16" s="2706">
        <f t="shared" si="2"/>
        <v>271382.25993259007</v>
      </c>
      <c r="L16" s="2707">
        <f t="shared" si="3"/>
        <v>2.9638414591241176E-2</v>
      </c>
      <c r="M16" s="2835">
        <f>'Aut-FamSupCtrs'!$R$56</f>
        <v>22528.200874093072</v>
      </c>
      <c r="N16" s="2836">
        <f t="shared" si="4"/>
        <v>270338.41048911685</v>
      </c>
      <c r="O16" s="2837">
        <f t="shared" si="5"/>
        <v>2.6579779734483874E-2</v>
      </c>
      <c r="X16" s="3221">
        <v>4</v>
      </c>
      <c r="Y16" s="3222"/>
      <c r="Z16" s="2731">
        <v>0.4</v>
      </c>
      <c r="AA16" s="2732">
        <f t="shared" si="9"/>
        <v>12480</v>
      </c>
      <c r="AB16" s="2733">
        <f>AA16+AB10</f>
        <v>28895.188327715838</v>
      </c>
      <c r="AC16" s="2736">
        <f>AC15+AC12</f>
        <v>12400</v>
      </c>
      <c r="AD16" s="2735">
        <f t="shared" si="10"/>
        <v>28815.188327715838</v>
      </c>
      <c r="AE16" s="2711"/>
      <c r="AF16" s="2711"/>
      <c r="AG16" s="2712">
        <f t="shared" si="6"/>
        <v>533942.25993258995</v>
      </c>
      <c r="AH16" s="2712">
        <v>43861.26</v>
      </c>
      <c r="AI16" s="2713">
        <f t="shared" si="7"/>
        <v>1.4453035040849988E-2</v>
      </c>
      <c r="AJ16" s="2693"/>
      <c r="AK16" s="2693"/>
      <c r="AL16">
        <f t="shared" si="8"/>
        <v>28080</v>
      </c>
    </row>
    <row r="17" spans="1:42">
      <c r="A17">
        <v>3770</v>
      </c>
      <c r="B17" t="s">
        <v>925</v>
      </c>
      <c r="C17" t="s">
        <v>927</v>
      </c>
      <c r="D17" s="2641">
        <v>263338.92</v>
      </c>
      <c r="E17" s="2641">
        <v>21944.91</v>
      </c>
      <c r="F17">
        <v>3</v>
      </c>
      <c r="G17" s="2702">
        <f t="shared" si="11"/>
        <v>22655.188327715838</v>
      </c>
      <c r="H17" s="2703">
        <f t="shared" si="0"/>
        <v>271862.25993259007</v>
      </c>
      <c r="I17" s="2704">
        <f t="shared" si="1"/>
        <v>3.135168498453407E-2</v>
      </c>
      <c r="J17" s="2705">
        <f t="shared" si="12"/>
        <v>22615.188327715838</v>
      </c>
      <c r="K17" s="2706">
        <f t="shared" si="2"/>
        <v>271382.25993259007</v>
      </c>
      <c r="L17" s="2707">
        <f t="shared" si="3"/>
        <v>2.9638414591241176E-2</v>
      </c>
      <c r="M17" s="2835">
        <f>'Aut-FamSupCtrs'!$R$56</f>
        <v>22528.200874093072</v>
      </c>
      <c r="N17" s="2836">
        <f t="shared" si="4"/>
        <v>270338.41048911685</v>
      </c>
      <c r="O17" s="2837">
        <f t="shared" si="5"/>
        <v>2.6579779734483874E-2</v>
      </c>
      <c r="X17" s="3221">
        <v>4.5</v>
      </c>
      <c r="Y17" s="3222"/>
      <c r="Z17" s="2731">
        <v>0.5</v>
      </c>
      <c r="AA17" s="2732">
        <f t="shared" si="9"/>
        <v>15600</v>
      </c>
      <c r="AB17" s="2733">
        <f>AA17+AB10</f>
        <v>32015.188327715838</v>
      </c>
      <c r="AC17" s="2736">
        <f>AC16+AC12</f>
        <v>15500</v>
      </c>
      <c r="AD17" s="2735">
        <f t="shared" si="10"/>
        <v>31915.188327715838</v>
      </c>
      <c r="AE17" s="2711"/>
      <c r="AF17" s="2711"/>
      <c r="AG17" s="2712">
        <f t="shared" si="6"/>
        <v>571382.25993258995</v>
      </c>
      <c r="AH17" s="2712">
        <v>46993.93</v>
      </c>
      <c r="AI17" s="2713">
        <f t="shared" si="7"/>
        <v>1.321996963684105E-2</v>
      </c>
      <c r="AJ17" s="2693"/>
      <c r="AK17" s="2693"/>
      <c r="AL17">
        <f t="shared" si="8"/>
        <v>31200</v>
      </c>
    </row>
    <row r="18" spans="1:42">
      <c r="A18">
        <v>3770</v>
      </c>
      <c r="B18" t="s">
        <v>948</v>
      </c>
      <c r="C18" t="s">
        <v>949</v>
      </c>
      <c r="D18" s="2641">
        <v>263338.92</v>
      </c>
      <c r="E18" s="2641">
        <v>21944.91</v>
      </c>
      <c r="F18">
        <v>3</v>
      </c>
      <c r="G18" s="2702">
        <f t="shared" si="11"/>
        <v>22655.188327715838</v>
      </c>
      <c r="H18" s="2703">
        <f t="shared" si="0"/>
        <v>271862.25993259007</v>
      </c>
      <c r="I18" s="2704">
        <f t="shared" si="1"/>
        <v>3.135168498453407E-2</v>
      </c>
      <c r="J18" s="2705">
        <f t="shared" si="12"/>
        <v>22615.188327715838</v>
      </c>
      <c r="K18" s="2706">
        <f t="shared" si="2"/>
        <v>271382.25993259007</v>
      </c>
      <c r="L18" s="2707">
        <f t="shared" si="3"/>
        <v>2.9638414591241176E-2</v>
      </c>
      <c r="M18" s="2835">
        <f>'Aut-FamSupCtrs'!$R$56</f>
        <v>22528.200874093072</v>
      </c>
      <c r="N18" s="2836">
        <f t="shared" si="4"/>
        <v>270338.41048911685</v>
      </c>
      <c r="O18" s="2837">
        <f t="shared" si="5"/>
        <v>2.6579779734483874E-2</v>
      </c>
      <c r="X18" s="3221">
        <v>5</v>
      </c>
      <c r="Y18" s="3222"/>
      <c r="Z18" s="2731">
        <v>0.6</v>
      </c>
      <c r="AA18" s="2732">
        <f t="shared" si="9"/>
        <v>18720</v>
      </c>
      <c r="AB18" s="2733">
        <f>AA18+AB10</f>
        <v>35135.188327715834</v>
      </c>
      <c r="AC18" s="2736">
        <f>AC17+AC12</f>
        <v>18600</v>
      </c>
      <c r="AD18" s="2735">
        <f t="shared" si="10"/>
        <v>35015.188327715834</v>
      </c>
      <c r="AE18" s="2711"/>
      <c r="AF18" s="2711"/>
      <c r="AG18" s="2712">
        <f t="shared" si="6"/>
        <v>608822.25993258995</v>
      </c>
      <c r="AH18" s="2712">
        <v>50162.53</v>
      </c>
      <c r="AI18" s="2713">
        <f t="shared" si="7"/>
        <v>1.1416057517749507E-2</v>
      </c>
      <c r="AJ18" s="2693"/>
      <c r="AK18" s="2693"/>
      <c r="AL18">
        <f t="shared" si="8"/>
        <v>34320</v>
      </c>
    </row>
    <row r="19" spans="1:42">
      <c r="A19">
        <v>3770</v>
      </c>
      <c r="B19" t="s">
        <v>948</v>
      </c>
      <c r="C19" t="s">
        <v>950</v>
      </c>
      <c r="D19" s="2641">
        <v>263338.92</v>
      </c>
      <c r="E19" s="2641">
        <v>21944.91</v>
      </c>
      <c r="F19">
        <v>3</v>
      </c>
      <c r="G19" s="2702">
        <f t="shared" si="11"/>
        <v>22655.188327715838</v>
      </c>
      <c r="H19" s="2703">
        <f t="shared" si="0"/>
        <v>271862.25993259007</v>
      </c>
      <c r="I19" s="2704">
        <f t="shared" si="1"/>
        <v>3.135168498453407E-2</v>
      </c>
      <c r="J19" s="2705">
        <f t="shared" si="12"/>
        <v>22615.188327715838</v>
      </c>
      <c r="K19" s="2706">
        <f t="shared" si="2"/>
        <v>271382.25993259007</v>
      </c>
      <c r="L19" s="2707">
        <f t="shared" si="3"/>
        <v>2.9638414591241176E-2</v>
      </c>
      <c r="M19" s="2835">
        <f>'Aut-FamSupCtrs'!$R$56</f>
        <v>22528.200874093072</v>
      </c>
      <c r="N19" s="2836">
        <f t="shared" si="4"/>
        <v>270338.41048911685</v>
      </c>
      <c r="O19" s="2837">
        <f t="shared" si="5"/>
        <v>2.6579779734483874E-2</v>
      </c>
      <c r="X19" s="3221">
        <v>5.5</v>
      </c>
      <c r="Y19" s="3222"/>
      <c r="Z19" s="2731">
        <v>0.7</v>
      </c>
      <c r="AA19" s="2732">
        <f t="shared" si="9"/>
        <v>21840</v>
      </c>
      <c r="AB19" s="2733">
        <f>AA19+AB10</f>
        <v>38255.188327715834</v>
      </c>
      <c r="AC19" s="2736">
        <f>AC18+AC12</f>
        <v>21700</v>
      </c>
      <c r="AD19" s="2735">
        <f t="shared" si="10"/>
        <v>38115.188327715834</v>
      </c>
      <c r="AE19" s="2711"/>
      <c r="AF19" s="2711"/>
      <c r="AG19" s="2712">
        <f t="shared" si="6"/>
        <v>646262.25993258995</v>
      </c>
      <c r="AH19" s="2712">
        <v>53740.78</v>
      </c>
      <c r="AI19" s="2713">
        <f t="shared" si="7"/>
        <v>2.128892206548457E-3</v>
      </c>
      <c r="AJ19" s="2693"/>
      <c r="AK19" s="2693"/>
      <c r="AL19">
        <f t="shared" si="8"/>
        <v>37440</v>
      </c>
    </row>
    <row r="20" spans="1:42">
      <c r="A20">
        <v>3770</v>
      </c>
      <c r="B20" t="s">
        <v>984</v>
      </c>
      <c r="C20" t="s">
        <v>986</v>
      </c>
      <c r="D20" s="2641">
        <v>263338.92</v>
      </c>
      <c r="E20" s="2641">
        <v>21944.91</v>
      </c>
      <c r="F20">
        <v>3</v>
      </c>
      <c r="G20" s="2702">
        <f t="shared" si="11"/>
        <v>22655.188327715838</v>
      </c>
      <c r="H20" s="2703">
        <f t="shared" si="0"/>
        <v>271862.25993259007</v>
      </c>
      <c r="I20" s="2704">
        <f t="shared" si="1"/>
        <v>3.135168498453407E-2</v>
      </c>
      <c r="J20" s="2705">
        <f t="shared" si="12"/>
        <v>22615.188327715838</v>
      </c>
      <c r="K20" s="2706">
        <f t="shared" si="2"/>
        <v>271382.25993259007</v>
      </c>
      <c r="L20" s="2707">
        <f t="shared" si="3"/>
        <v>2.9638414591241176E-2</v>
      </c>
      <c r="M20" s="2835">
        <f>'Aut-FamSupCtrs'!$R$56</f>
        <v>22528.200874093072</v>
      </c>
      <c r="N20" s="2836">
        <f t="shared" si="4"/>
        <v>270338.41048911685</v>
      </c>
      <c r="O20" s="2837">
        <f t="shared" si="5"/>
        <v>2.6579779734483874E-2</v>
      </c>
      <c r="X20" s="3221">
        <v>6</v>
      </c>
      <c r="Y20" s="3222"/>
      <c r="Z20" s="2731">
        <v>0.8</v>
      </c>
      <c r="AA20" s="2732">
        <f t="shared" si="9"/>
        <v>24960</v>
      </c>
      <c r="AB20" s="2733">
        <f>AA20+AB10</f>
        <v>41375.188327715834</v>
      </c>
      <c r="AC20" s="2736">
        <f>AC19+AC12</f>
        <v>24800</v>
      </c>
      <c r="AD20" s="2735">
        <f t="shared" si="10"/>
        <v>41215.188327715834</v>
      </c>
      <c r="AE20" s="2711"/>
      <c r="AF20" s="2711"/>
      <c r="AG20" s="2712">
        <f t="shared" si="6"/>
        <v>683702.25993258995</v>
      </c>
      <c r="AH20" s="2712">
        <v>56182.58</v>
      </c>
      <c r="AI20" s="2713">
        <f t="shared" si="7"/>
        <v>1.4107723919332866E-2</v>
      </c>
      <c r="AJ20" s="2693"/>
      <c r="AK20" s="2693"/>
      <c r="AL20">
        <f t="shared" si="8"/>
        <v>40560</v>
      </c>
    </row>
    <row r="21" spans="1:42">
      <c r="A21">
        <v>3770</v>
      </c>
      <c r="B21" t="s">
        <v>960</v>
      </c>
      <c r="C21" t="s">
        <v>961</v>
      </c>
      <c r="D21" s="2641">
        <v>336581.64</v>
      </c>
      <c r="E21" s="2641">
        <v>28048.47</v>
      </c>
      <c r="F21">
        <v>4</v>
      </c>
      <c r="G21" s="2702">
        <f>$AB$16</f>
        <v>28895.188327715838</v>
      </c>
      <c r="H21" s="2703">
        <f t="shared" si="0"/>
        <v>346742.25993259007</v>
      </c>
      <c r="I21" s="2704">
        <f t="shared" si="1"/>
        <v>2.9303090816116189E-2</v>
      </c>
      <c r="J21" s="2705">
        <f>AD7</f>
        <v>4103.7970819289594</v>
      </c>
      <c r="K21" s="2706">
        <f t="shared" si="2"/>
        <v>49245.564983147517</v>
      </c>
      <c r="L21" s="2707">
        <f t="shared" si="3"/>
        <v>-5.8347604523408894</v>
      </c>
      <c r="M21" s="2835">
        <f>'Aut-FamSupCtrs'!$L$84</f>
        <v>28865.576149330042</v>
      </c>
      <c r="N21" s="2836">
        <f t="shared" si="4"/>
        <v>346386.91379196051</v>
      </c>
      <c r="O21" s="2837">
        <f t="shared" si="5"/>
        <v>2.9131933019164381E-2</v>
      </c>
      <c r="X21" s="3221">
        <v>6.5</v>
      </c>
      <c r="Y21" s="3222"/>
      <c r="Z21" s="2731">
        <v>0.9</v>
      </c>
      <c r="AA21" s="2732">
        <f t="shared" si="9"/>
        <v>28080</v>
      </c>
      <c r="AB21" s="2733">
        <f>AA21+AB10</f>
        <v>44495.188327715834</v>
      </c>
      <c r="AC21" s="2736">
        <f>AC20+AC12</f>
        <v>27900</v>
      </c>
      <c r="AD21" s="2735">
        <f t="shared" si="10"/>
        <v>44315.188327715834</v>
      </c>
      <c r="AE21" s="2711"/>
      <c r="AF21" s="2711"/>
      <c r="AG21" s="2712">
        <f t="shared" si="6"/>
        <v>721142.25993258995</v>
      </c>
      <c r="AH21" s="2712">
        <v>59067.41</v>
      </c>
      <c r="AI21" s="2713">
        <f t="shared" si="7"/>
        <v>1.7400091314581603E-2</v>
      </c>
      <c r="AJ21" s="2693"/>
      <c r="AK21" s="2693"/>
      <c r="AL21">
        <f t="shared" si="8"/>
        <v>43680</v>
      </c>
    </row>
    <row r="22" spans="1:42">
      <c r="A22">
        <v>3770</v>
      </c>
      <c r="B22" t="s">
        <v>970</v>
      </c>
      <c r="C22" t="s">
        <v>971</v>
      </c>
      <c r="D22" s="2641">
        <v>318104</v>
      </c>
      <c r="E22" s="2641">
        <v>26508.666666666668</v>
      </c>
      <c r="F22">
        <v>4</v>
      </c>
      <c r="G22" s="2702">
        <f>$AB$16</f>
        <v>28895.188327715838</v>
      </c>
      <c r="H22" s="2703">
        <f t="shared" si="0"/>
        <v>346742.25993259007</v>
      </c>
      <c r="I22" s="2704">
        <f t="shared" si="1"/>
        <v>8.2592355307823204E-2</v>
      </c>
      <c r="J22" s="2705">
        <f>AD7</f>
        <v>4103.7970819289594</v>
      </c>
      <c r="K22" s="2706">
        <f t="shared" si="2"/>
        <v>49245.564983147517</v>
      </c>
      <c r="L22" s="2707">
        <f t="shared" si="3"/>
        <v>-5.4595461562652261</v>
      </c>
      <c r="M22" s="2835">
        <f>'Aut-FamSupCtrs'!$L$84</f>
        <v>28865.576149330042</v>
      </c>
      <c r="N22" s="2836">
        <f t="shared" si="4"/>
        <v>346386.91379196051</v>
      </c>
      <c r="O22" s="2837">
        <f t="shared" si="5"/>
        <v>8.8910902698364408E-2</v>
      </c>
      <c r="X22" s="3221">
        <v>7</v>
      </c>
      <c r="Y22" s="3222"/>
      <c r="Z22" s="2731">
        <v>1</v>
      </c>
      <c r="AA22" s="2732">
        <f t="shared" si="9"/>
        <v>31200</v>
      </c>
      <c r="AB22" s="2733">
        <f>AA22+AB10</f>
        <v>47615.188327715834</v>
      </c>
      <c r="AC22" s="2736">
        <f>AC21+AC12</f>
        <v>31000</v>
      </c>
      <c r="AD22" s="2735">
        <f t="shared" si="10"/>
        <v>47415.188327715834</v>
      </c>
      <c r="AE22" s="2711"/>
      <c r="AF22" s="2711"/>
      <c r="AG22" s="2712">
        <f t="shared" si="6"/>
        <v>796022.25993258995</v>
      </c>
      <c r="AH22" s="2712">
        <v>61952.21</v>
      </c>
      <c r="AI22" s="2713">
        <f t="shared" si="7"/>
        <v>7.0747731642113093E-2</v>
      </c>
      <c r="AJ22" s="2693"/>
      <c r="AK22" s="2693"/>
      <c r="AL22">
        <f t="shared" si="8"/>
        <v>49920</v>
      </c>
    </row>
    <row r="23" spans="1:42">
      <c r="A23">
        <v>3770</v>
      </c>
      <c r="B23" t="s">
        <v>903</v>
      </c>
      <c r="C23" t="s">
        <v>905</v>
      </c>
      <c r="D23" s="2641">
        <v>387303.88</v>
      </c>
      <c r="E23" s="2641">
        <v>32275.323333333334</v>
      </c>
      <c r="F23">
        <v>4.5</v>
      </c>
      <c r="G23" s="2702">
        <f t="shared" ref="G23:G29" si="13">$AB$17</f>
        <v>32015.188327715838</v>
      </c>
      <c r="H23" s="2703">
        <f t="shared" si="0"/>
        <v>384182.25993259007</v>
      </c>
      <c r="I23" s="2704">
        <f t="shared" si="1"/>
        <v>-8.1253623422322223E-3</v>
      </c>
      <c r="J23" s="2705">
        <f t="shared" ref="J23:J29" si="14">$AD$17</f>
        <v>31915.188327715838</v>
      </c>
      <c r="K23" s="2706">
        <f t="shared" si="2"/>
        <v>382982.25993259007</v>
      </c>
      <c r="L23" s="2707">
        <f t="shared" si="3"/>
        <v>-1.1284125975366589E-2</v>
      </c>
      <c r="M23" s="2835">
        <f>'Aut-FamSupCtrs'!$R$84</f>
        <v>32034.263786948533</v>
      </c>
      <c r="N23" s="2836">
        <f t="shared" si="4"/>
        <v>384411.1654433824</v>
      </c>
      <c r="O23" s="2837">
        <f t="shared" si="5"/>
        <v>-7.4688499289436603E-3</v>
      </c>
      <c r="X23" s="3221">
        <v>7.5</v>
      </c>
      <c r="Y23" s="3222"/>
      <c r="Z23" s="2731">
        <v>1.1000000000000001</v>
      </c>
      <c r="AA23" s="2732">
        <f t="shared" si="9"/>
        <v>34320</v>
      </c>
      <c r="AB23" s="2733">
        <f>AA23+AB10</f>
        <v>50735.188327715834</v>
      </c>
      <c r="AC23" s="2736">
        <f>AC22+AC12</f>
        <v>34100</v>
      </c>
      <c r="AD23" s="2735">
        <f t="shared" si="10"/>
        <v>50515.188327715834</v>
      </c>
      <c r="AE23" s="2711"/>
      <c r="AF23" s="2711"/>
      <c r="AG23" s="2712">
        <f t="shared" si="6"/>
        <v>833462.25993258995</v>
      </c>
      <c r="AH23" s="2712">
        <v>64781.32</v>
      </c>
      <c r="AI23" s="2713">
        <f t="shared" si="7"/>
        <v>7.2148395983839694E-2</v>
      </c>
      <c r="AJ23" s="2693"/>
      <c r="AK23" s="2693"/>
      <c r="AL23">
        <f t="shared" si="8"/>
        <v>53040</v>
      </c>
    </row>
    <row r="24" spans="1:42">
      <c r="A24">
        <v>3770</v>
      </c>
      <c r="B24" t="s">
        <v>906</v>
      </c>
      <c r="C24" t="s">
        <v>907</v>
      </c>
      <c r="D24" s="2641">
        <v>374707.07999999996</v>
      </c>
      <c r="E24" s="2641">
        <v>31225.589999999997</v>
      </c>
      <c r="F24">
        <v>4.5</v>
      </c>
      <c r="G24" s="2702">
        <f t="shared" si="13"/>
        <v>32015.188327715838</v>
      </c>
      <c r="H24" s="2703">
        <f t="shared" si="0"/>
        <v>384182.25993259007</v>
      </c>
      <c r="I24" s="2704">
        <f t="shared" si="1"/>
        <v>2.4663241697450204E-2</v>
      </c>
      <c r="J24" s="2705">
        <f t="shared" si="14"/>
        <v>31915.188327715838</v>
      </c>
      <c r="K24" s="2706">
        <f t="shared" si="2"/>
        <v>382982.25993259007</v>
      </c>
      <c r="L24" s="2707">
        <f t="shared" si="3"/>
        <v>2.1607214741608788E-2</v>
      </c>
      <c r="M24" s="2835">
        <f>'Aut-FamSupCtrs'!$R$84</f>
        <v>32034.263786948533</v>
      </c>
      <c r="N24" s="2836">
        <f t="shared" si="4"/>
        <v>384411.1654433824</v>
      </c>
      <c r="O24" s="2837">
        <f t="shared" si="5"/>
        <v>2.5897790464440767E-2</v>
      </c>
      <c r="X24" s="3221">
        <v>8</v>
      </c>
      <c r="Y24" s="3222"/>
      <c r="Z24" s="2731">
        <v>1.2</v>
      </c>
      <c r="AA24" s="2732">
        <f t="shared" si="9"/>
        <v>37440</v>
      </c>
      <c r="AB24" s="2733">
        <f>AA24+AB10</f>
        <v>53855.188327715834</v>
      </c>
      <c r="AC24" s="2736">
        <f>AC23+AC12</f>
        <v>37200</v>
      </c>
      <c r="AD24" s="2735">
        <f t="shared" si="10"/>
        <v>53615.188327715834</v>
      </c>
      <c r="AE24" s="2711"/>
      <c r="AF24" s="2711"/>
      <c r="AG24" s="2712">
        <f t="shared" si="6"/>
        <v>870902.25993258995</v>
      </c>
      <c r="AH24" s="2712">
        <v>67666.100000000006</v>
      </c>
      <c r="AI24" s="2713">
        <f t="shared" si="7"/>
        <v>7.2548710916039608E-2</v>
      </c>
      <c r="AJ24" s="2693"/>
      <c r="AK24" s="2693"/>
      <c r="AL24">
        <f t="shared" si="8"/>
        <v>56160</v>
      </c>
    </row>
    <row r="25" spans="1:42">
      <c r="A25">
        <v>3770</v>
      </c>
      <c r="B25" t="s">
        <v>912</v>
      </c>
      <c r="C25" t="s">
        <v>913</v>
      </c>
      <c r="D25" s="2641">
        <v>374707.08</v>
      </c>
      <c r="E25" s="2641">
        <v>31225.59</v>
      </c>
      <c r="F25">
        <v>4.5</v>
      </c>
      <c r="G25" s="2702">
        <f t="shared" si="13"/>
        <v>32015.188327715838</v>
      </c>
      <c r="H25" s="2703">
        <f t="shared" si="0"/>
        <v>384182.25993259007</v>
      </c>
      <c r="I25" s="2704">
        <f t="shared" si="1"/>
        <v>2.4663241697450052E-2</v>
      </c>
      <c r="J25" s="2705">
        <f t="shared" si="14"/>
        <v>31915.188327715838</v>
      </c>
      <c r="K25" s="2706">
        <f t="shared" si="2"/>
        <v>382982.25993259007</v>
      </c>
      <c r="L25" s="2707">
        <f t="shared" si="3"/>
        <v>2.1607214741608635E-2</v>
      </c>
      <c r="M25" s="2835">
        <f>'Aut-FamSupCtrs'!$R$84</f>
        <v>32034.263786948533</v>
      </c>
      <c r="N25" s="2836">
        <f t="shared" si="4"/>
        <v>384411.1654433824</v>
      </c>
      <c r="O25" s="2837">
        <f t="shared" si="5"/>
        <v>2.5897790464440608E-2</v>
      </c>
      <c r="X25" s="3221">
        <v>8.5</v>
      </c>
      <c r="Y25" s="3222"/>
      <c r="Z25" s="2731">
        <v>1.3</v>
      </c>
      <c r="AA25" s="2732">
        <f t="shared" si="9"/>
        <v>40560</v>
      </c>
      <c r="AB25" s="2733">
        <f>AA25+AB10</f>
        <v>56975.188327715834</v>
      </c>
      <c r="AC25" s="2736">
        <f>AC24+AC12</f>
        <v>40300</v>
      </c>
      <c r="AD25" s="2735">
        <f t="shared" si="10"/>
        <v>56715.188327715834</v>
      </c>
      <c r="AE25" s="2711"/>
      <c r="AF25" s="2711"/>
      <c r="AG25" s="2712">
        <f t="shared" si="6"/>
        <v>908342.25993258995</v>
      </c>
      <c r="AH25" s="2712">
        <v>70383.94</v>
      </c>
      <c r="AI25" s="2713">
        <f t="shared" si="7"/>
        <v>7.5461082850943439E-2</v>
      </c>
      <c r="AJ25" s="2693"/>
      <c r="AK25" s="2693"/>
      <c r="AL25">
        <f t="shared" si="8"/>
        <v>59280</v>
      </c>
    </row>
    <row r="26" spans="1:42">
      <c r="A26">
        <v>3770</v>
      </c>
      <c r="B26" t="s">
        <v>912</v>
      </c>
      <c r="C26" t="s">
        <v>914</v>
      </c>
      <c r="D26" s="2641">
        <v>374707.08</v>
      </c>
      <c r="E26" s="2641">
        <v>31225.59</v>
      </c>
      <c r="F26">
        <v>4.5</v>
      </c>
      <c r="G26" s="2702">
        <f t="shared" si="13"/>
        <v>32015.188327715838</v>
      </c>
      <c r="H26" s="2703">
        <f t="shared" si="0"/>
        <v>384182.25993259007</v>
      </c>
      <c r="I26" s="2704">
        <f t="shared" si="1"/>
        <v>2.4663241697450052E-2</v>
      </c>
      <c r="J26" s="2705">
        <f t="shared" si="14"/>
        <v>31915.188327715838</v>
      </c>
      <c r="K26" s="2706">
        <f t="shared" si="2"/>
        <v>382982.25993259007</v>
      </c>
      <c r="L26" s="2707">
        <f t="shared" si="3"/>
        <v>2.1607214741608635E-2</v>
      </c>
      <c r="M26" s="2835">
        <f>'Aut-FamSupCtrs'!$R$84</f>
        <v>32034.263786948533</v>
      </c>
      <c r="N26" s="2836">
        <f t="shared" si="4"/>
        <v>384411.1654433824</v>
      </c>
      <c r="O26" s="2837">
        <f t="shared" si="5"/>
        <v>2.5897790464440608E-2</v>
      </c>
      <c r="X26" s="3221">
        <v>9</v>
      </c>
      <c r="Y26" s="3222"/>
      <c r="Z26" s="2731">
        <v>1.4</v>
      </c>
      <c r="AA26" s="2732">
        <f t="shared" si="9"/>
        <v>43680</v>
      </c>
      <c r="AB26" s="2733">
        <f>AA26+AB10</f>
        <v>60095.188327715834</v>
      </c>
      <c r="AC26" s="2736">
        <f>AC25+AC12</f>
        <v>43400</v>
      </c>
      <c r="AD26" s="2735">
        <f t="shared" si="10"/>
        <v>59815.188327715834</v>
      </c>
      <c r="AE26" s="2711"/>
      <c r="AF26" s="2711"/>
      <c r="AG26" s="2712">
        <f t="shared" si="6"/>
        <v>945782.25993258995</v>
      </c>
      <c r="AH26" s="2712">
        <v>73157.289999999994</v>
      </c>
      <c r="AI26" s="2713">
        <f t="shared" si="7"/>
        <v>7.7338817877423305E-2</v>
      </c>
      <c r="AJ26" s="2693"/>
      <c r="AK26" s="2693"/>
      <c r="AL26">
        <f t="shared" si="8"/>
        <v>62400</v>
      </c>
      <c r="AO26" s="1842"/>
    </row>
    <row r="27" spans="1:42">
      <c r="A27">
        <v>3770</v>
      </c>
      <c r="B27" t="s">
        <v>912</v>
      </c>
      <c r="C27" t="s">
        <v>915</v>
      </c>
      <c r="D27" s="2641">
        <v>374707.08</v>
      </c>
      <c r="E27" s="2641">
        <v>31225.59</v>
      </c>
      <c r="F27">
        <v>4.5</v>
      </c>
      <c r="G27" s="2702">
        <f t="shared" si="13"/>
        <v>32015.188327715838</v>
      </c>
      <c r="H27" s="2703">
        <f t="shared" si="0"/>
        <v>384182.25993259007</v>
      </c>
      <c r="I27" s="2704">
        <f t="shared" si="1"/>
        <v>2.4663241697450052E-2</v>
      </c>
      <c r="J27" s="2705">
        <f t="shared" si="14"/>
        <v>31915.188327715838</v>
      </c>
      <c r="K27" s="2706">
        <f t="shared" si="2"/>
        <v>382982.25993259007</v>
      </c>
      <c r="L27" s="2707">
        <f t="shared" si="3"/>
        <v>2.1607214741608635E-2</v>
      </c>
      <c r="M27" s="2835">
        <f>'Aut-FamSupCtrs'!$R$84</f>
        <v>32034.263786948533</v>
      </c>
      <c r="N27" s="2836">
        <f t="shared" si="4"/>
        <v>384411.1654433824</v>
      </c>
      <c r="O27" s="2837">
        <f t="shared" si="5"/>
        <v>2.5897790464440608E-2</v>
      </c>
      <c r="X27" s="3221">
        <v>9.5</v>
      </c>
      <c r="Y27" s="3222"/>
      <c r="Z27" s="2731">
        <v>1.6</v>
      </c>
      <c r="AA27" s="2732">
        <f t="shared" si="9"/>
        <v>49920</v>
      </c>
      <c r="AB27" s="2733">
        <f>AA27+AB10</f>
        <v>66335.188327715834</v>
      </c>
      <c r="AC27" s="2736">
        <f>AC26+AC12</f>
        <v>46500</v>
      </c>
      <c r="AD27" s="2735">
        <f t="shared" si="10"/>
        <v>62915.188327715834</v>
      </c>
      <c r="AE27" s="2711"/>
      <c r="AF27" s="2711"/>
      <c r="AG27" s="2712">
        <f t="shared" si="6"/>
        <v>983222.25993258995</v>
      </c>
      <c r="AH27" s="2712">
        <v>75875.06</v>
      </c>
      <c r="AI27" s="2713">
        <f t="shared" si="7"/>
        <v>7.9869832428677304E-2</v>
      </c>
      <c r="AJ27" s="2694"/>
      <c r="AK27" s="2695"/>
      <c r="AL27">
        <f t="shared" si="8"/>
        <v>65520</v>
      </c>
      <c r="AN27" s="2640"/>
      <c r="AO27" s="2640"/>
      <c r="AP27" s="2640"/>
    </row>
    <row r="28" spans="1:42">
      <c r="A28">
        <v>3770</v>
      </c>
      <c r="B28" t="s">
        <v>966</v>
      </c>
      <c r="C28" t="s">
        <v>967</v>
      </c>
      <c r="D28" s="2641">
        <v>374707.08</v>
      </c>
      <c r="E28" s="2641">
        <v>31225.59</v>
      </c>
      <c r="F28">
        <v>4.5</v>
      </c>
      <c r="G28" s="2702">
        <f t="shared" si="13"/>
        <v>32015.188327715838</v>
      </c>
      <c r="H28" s="2703">
        <f t="shared" si="0"/>
        <v>384182.25993259007</v>
      </c>
      <c r="I28" s="2704">
        <f t="shared" si="1"/>
        <v>2.4663241697450052E-2</v>
      </c>
      <c r="J28" s="2705">
        <f t="shared" si="14"/>
        <v>31915.188327715838</v>
      </c>
      <c r="K28" s="2706">
        <f t="shared" si="2"/>
        <v>382982.25993259007</v>
      </c>
      <c r="L28" s="2707">
        <f t="shared" si="3"/>
        <v>2.1607214741608635E-2</v>
      </c>
      <c r="M28" s="2835">
        <f>'Aut-FamSupCtrs'!$R$84</f>
        <v>32034.263786948533</v>
      </c>
      <c r="N28" s="2836">
        <f t="shared" si="4"/>
        <v>384411.1654433824</v>
      </c>
      <c r="O28" s="2837">
        <f t="shared" si="5"/>
        <v>2.5897790464440608E-2</v>
      </c>
      <c r="X28" s="3221">
        <v>10</v>
      </c>
      <c r="Y28" s="3222"/>
      <c r="Z28" s="2731">
        <v>1.7</v>
      </c>
      <c r="AA28" s="2732">
        <f t="shared" si="9"/>
        <v>53040</v>
      </c>
      <c r="AB28" s="2733">
        <f>AA28+AB10</f>
        <v>69455.188327715834</v>
      </c>
      <c r="AC28" s="2736">
        <f>AC27+AC12</f>
        <v>49600</v>
      </c>
      <c r="AD28" s="2735">
        <f t="shared" si="10"/>
        <v>66015.188327715834</v>
      </c>
      <c r="AE28" s="2711"/>
      <c r="AJ28" s="2694"/>
      <c r="AK28" s="2695"/>
      <c r="AN28" s="2640"/>
      <c r="AO28" s="2640"/>
      <c r="AP28" s="2640"/>
    </row>
    <row r="29" spans="1:42">
      <c r="A29">
        <v>3770</v>
      </c>
      <c r="B29" t="s">
        <v>972</v>
      </c>
      <c r="C29" t="s">
        <v>974</v>
      </c>
      <c r="D29" s="2641">
        <v>374707.08</v>
      </c>
      <c r="E29" s="2641">
        <v>31225.59</v>
      </c>
      <c r="F29">
        <v>4.5</v>
      </c>
      <c r="G29" s="2702">
        <f t="shared" si="13"/>
        <v>32015.188327715838</v>
      </c>
      <c r="H29" s="2703">
        <f t="shared" si="0"/>
        <v>384182.25993259007</v>
      </c>
      <c r="I29" s="2704">
        <f t="shared" si="1"/>
        <v>2.4663241697450052E-2</v>
      </c>
      <c r="J29" s="2705">
        <f t="shared" si="14"/>
        <v>31915.188327715838</v>
      </c>
      <c r="K29" s="2706">
        <f t="shared" si="2"/>
        <v>382982.25993259007</v>
      </c>
      <c r="L29" s="2707">
        <f t="shared" si="3"/>
        <v>2.1607214741608635E-2</v>
      </c>
      <c r="M29" s="2835">
        <f>'Aut-FamSupCtrs'!$R$84</f>
        <v>32034.263786948533</v>
      </c>
      <c r="N29" s="2836">
        <f t="shared" si="4"/>
        <v>384411.1654433824</v>
      </c>
      <c r="O29" s="2837">
        <f t="shared" si="5"/>
        <v>2.5897790464440608E-2</v>
      </c>
      <c r="X29" s="3221">
        <v>10.5</v>
      </c>
      <c r="Y29" s="3222"/>
      <c r="Z29" s="2731">
        <v>1.8</v>
      </c>
      <c r="AA29" s="2732">
        <f t="shared" si="9"/>
        <v>56160</v>
      </c>
      <c r="AB29" s="2733">
        <f>AA29+AB10</f>
        <v>72575.188327715834</v>
      </c>
      <c r="AC29" s="2736">
        <f>AC28+AC12</f>
        <v>52700</v>
      </c>
      <c r="AD29" s="2735">
        <f t="shared" si="10"/>
        <v>69115.188327715834</v>
      </c>
      <c r="AE29" s="2711"/>
      <c r="AJ29" s="2694"/>
      <c r="AK29" s="2695"/>
      <c r="AN29" s="2640"/>
      <c r="AO29" s="2640"/>
      <c r="AP29" s="2640"/>
    </row>
    <row r="30" spans="1:42">
      <c r="A30">
        <v>3770</v>
      </c>
      <c r="B30" t="s">
        <v>962</v>
      </c>
      <c r="C30" t="s">
        <v>963</v>
      </c>
      <c r="D30" s="2641">
        <v>412497.48</v>
      </c>
      <c r="E30" s="2641">
        <v>34374.79</v>
      </c>
      <c r="F30">
        <v>5</v>
      </c>
      <c r="G30" s="2702">
        <f>AB9</f>
        <v>12311.391245786879</v>
      </c>
      <c r="H30" s="2703">
        <f t="shared" si="0"/>
        <v>147736.69494944255</v>
      </c>
      <c r="I30" s="2704">
        <f t="shared" si="1"/>
        <v>-1.7921125495677435</v>
      </c>
      <c r="J30" s="2705">
        <f>AD9</f>
        <v>12311.391245786879</v>
      </c>
      <c r="K30" s="2706">
        <f t="shared" si="2"/>
        <v>147736.69494944255</v>
      </c>
      <c r="L30" s="2707">
        <f t="shared" si="3"/>
        <v>-1.7921125495677435</v>
      </c>
      <c r="M30" s="2835">
        <f>'Aut-FamSupCtrs'!F112</f>
        <v>35202.951424567022</v>
      </c>
      <c r="N30" s="2836">
        <f t="shared" si="4"/>
        <v>422435.41709480423</v>
      </c>
      <c r="O30" s="2837">
        <f t="shared" si="5"/>
        <v>2.4092115895603165E-2</v>
      </c>
      <c r="X30" s="3221">
        <v>11</v>
      </c>
      <c r="Y30" s="3222"/>
      <c r="Z30" s="2731">
        <v>1.9</v>
      </c>
      <c r="AA30" s="2732">
        <f t="shared" si="9"/>
        <v>59280</v>
      </c>
      <c r="AB30" s="2733">
        <f>AA30+AB10</f>
        <v>75695.188327715834</v>
      </c>
      <c r="AC30" s="2736">
        <f>AC29+AC12</f>
        <v>55800</v>
      </c>
      <c r="AD30" s="2735">
        <f t="shared" si="10"/>
        <v>72215.188327715834</v>
      </c>
      <c r="AE30" s="2711"/>
      <c r="AJ30" s="2694"/>
      <c r="AK30" s="2695"/>
      <c r="AN30" s="2640"/>
      <c r="AO30" s="2640"/>
      <c r="AP30" s="2640"/>
    </row>
    <row r="31" spans="1:42">
      <c r="A31">
        <v>3770</v>
      </c>
      <c r="B31" t="s">
        <v>932</v>
      </c>
      <c r="C31" t="s">
        <v>933</v>
      </c>
      <c r="D31" s="2641">
        <v>450587.4</v>
      </c>
      <c r="E31" s="2641">
        <v>37548.950000000004</v>
      </c>
      <c r="F31">
        <v>5.5</v>
      </c>
      <c r="G31" s="2702">
        <f>$AB$19</f>
        <v>38255.188327715834</v>
      </c>
      <c r="H31" s="2703">
        <f t="shared" si="0"/>
        <v>459062.25993259001</v>
      </c>
      <c r="I31" s="2704">
        <f t="shared" si="1"/>
        <v>1.8461242999662959E-2</v>
      </c>
      <c r="J31" s="2705">
        <f>$AD$19</f>
        <v>38115.188327715834</v>
      </c>
      <c r="K31" s="2706">
        <f t="shared" si="2"/>
        <v>457382.25993259001</v>
      </c>
      <c r="L31" s="2707">
        <f t="shared" si="3"/>
        <v>1.485597612288554E-2</v>
      </c>
      <c r="M31" s="2835">
        <f>'Aut-FamSupCtrs'!$L$112</f>
        <v>38371.639062185517</v>
      </c>
      <c r="N31" s="2836">
        <f t="shared" si="4"/>
        <v>460459.66874622623</v>
      </c>
      <c r="O31" s="2837">
        <f t="shared" si="5"/>
        <v>2.1909775431417325E-2</v>
      </c>
      <c r="X31" s="3221">
        <v>11.5</v>
      </c>
      <c r="Y31" s="3222"/>
      <c r="Z31" s="2731">
        <v>2</v>
      </c>
      <c r="AA31" s="2732">
        <f t="shared" si="9"/>
        <v>62400</v>
      </c>
      <c r="AB31" s="2733">
        <f>AA31+AB10</f>
        <v>78815.188327715834</v>
      </c>
      <c r="AC31" s="2736">
        <f>AC30+AC12</f>
        <v>58900</v>
      </c>
      <c r="AD31" s="2735">
        <f t="shared" si="10"/>
        <v>75315.188327715834</v>
      </c>
      <c r="AJ31" s="2694"/>
      <c r="AK31" s="2695"/>
      <c r="AN31" s="2640"/>
      <c r="AO31" s="2640"/>
      <c r="AP31" s="2640"/>
    </row>
    <row r="32" spans="1:42" ht="15.75" thickBot="1">
      <c r="A32">
        <v>3770</v>
      </c>
      <c r="B32" t="s">
        <v>942</v>
      </c>
      <c r="C32" t="s">
        <v>943</v>
      </c>
      <c r="D32" s="2641">
        <v>450587.39999999997</v>
      </c>
      <c r="E32" s="2641">
        <v>37548.949999999997</v>
      </c>
      <c r="F32">
        <v>5.5</v>
      </c>
      <c r="G32" s="2702">
        <f>$AB$19</f>
        <v>38255.188327715834</v>
      </c>
      <c r="H32" s="2703">
        <f t="shared" si="0"/>
        <v>459062.25993259001</v>
      </c>
      <c r="I32" s="2704">
        <f t="shared" si="1"/>
        <v>1.8461242999663084E-2</v>
      </c>
      <c r="J32" s="2705">
        <f>$AD$19</f>
        <v>38115.188327715834</v>
      </c>
      <c r="K32" s="2706">
        <f t="shared" si="2"/>
        <v>457382.25993259001</v>
      </c>
      <c r="L32" s="2707">
        <f t="shared" si="3"/>
        <v>1.4855976122885667E-2</v>
      </c>
      <c r="M32" s="2835">
        <f>'Aut-FamSupCtrs'!$L$112</f>
        <v>38371.639062185517</v>
      </c>
      <c r="N32" s="2836">
        <f t="shared" si="4"/>
        <v>460459.66874622623</v>
      </c>
      <c r="O32" s="2837">
        <f t="shared" si="5"/>
        <v>2.1909775431417457E-2</v>
      </c>
      <c r="X32" s="3232">
        <v>12</v>
      </c>
      <c r="Y32" s="3233"/>
      <c r="Z32" s="2722">
        <v>2.1</v>
      </c>
      <c r="AA32" s="2737">
        <f t="shared" si="9"/>
        <v>65520</v>
      </c>
      <c r="AB32" s="2738">
        <f>AA32+AB10</f>
        <v>81935.188327715834</v>
      </c>
      <c r="AC32" s="2739">
        <f>AC31+AC12</f>
        <v>62000</v>
      </c>
      <c r="AD32" s="2740">
        <f t="shared" si="10"/>
        <v>78415.188327715834</v>
      </c>
      <c r="AJ32" s="2694"/>
      <c r="AK32" s="2695"/>
      <c r="AN32" s="2640"/>
      <c r="AO32" s="2640"/>
      <c r="AP32" s="2640"/>
    </row>
    <row r="33" spans="1:42">
      <c r="A33">
        <v>3770</v>
      </c>
      <c r="B33" t="s">
        <v>964</v>
      </c>
      <c r="C33" t="s">
        <v>965</v>
      </c>
      <c r="D33" s="2641">
        <v>446493.76</v>
      </c>
      <c r="E33" s="2641">
        <v>37207.813333333332</v>
      </c>
      <c r="F33">
        <v>5.5</v>
      </c>
      <c r="G33" s="2702">
        <f>$AB$19</f>
        <v>38255.188327715834</v>
      </c>
      <c r="H33" s="2703">
        <f t="shared" si="0"/>
        <v>459062.25993259001</v>
      </c>
      <c r="I33" s="2704">
        <f t="shared" si="1"/>
        <v>2.737863908576495E-2</v>
      </c>
      <c r="J33" s="2705">
        <f>$AD$19</f>
        <v>38115.188327715834</v>
      </c>
      <c r="K33" s="2706">
        <f t="shared" si="2"/>
        <v>457382.25993259001</v>
      </c>
      <c r="L33" s="2707">
        <f t="shared" si="3"/>
        <v>2.3806126486398422E-2</v>
      </c>
      <c r="M33" s="2835">
        <f>'Aut-FamSupCtrs'!$L$112</f>
        <v>38371.639062185517</v>
      </c>
      <c r="N33" s="2836">
        <f t="shared" si="4"/>
        <v>460459.66874622623</v>
      </c>
      <c r="O33" s="2837">
        <f t="shared" si="5"/>
        <v>3.1279068146946164E-2</v>
      </c>
      <c r="AJ33" s="2694"/>
      <c r="AK33" s="2695"/>
      <c r="AN33" s="2640"/>
      <c r="AO33" s="2640"/>
      <c r="AP33" s="2640"/>
    </row>
    <row r="34" spans="1:42">
      <c r="A34">
        <v>3770</v>
      </c>
      <c r="B34" t="s">
        <v>934</v>
      </c>
      <c r="C34" t="s">
        <v>935</v>
      </c>
      <c r="D34" s="2641">
        <v>488278.56</v>
      </c>
      <c r="E34" s="2641">
        <v>40689.879999999997</v>
      </c>
      <c r="F34">
        <v>6</v>
      </c>
      <c r="G34" s="2702">
        <f>$AB$20</f>
        <v>41375.188327715834</v>
      </c>
      <c r="H34" s="2703">
        <f t="shared" si="0"/>
        <v>496502.25993259001</v>
      </c>
      <c r="I34" s="2704">
        <f t="shared" si="1"/>
        <v>1.6563267876578327E-2</v>
      </c>
      <c r="J34" s="2705">
        <f>$AD$20</f>
        <v>41215.188327715834</v>
      </c>
      <c r="K34" s="2706">
        <f t="shared" si="2"/>
        <v>494582.25993259001</v>
      </c>
      <c r="L34" s="2707">
        <f t="shared" si="3"/>
        <v>1.2745503515328643E-2</v>
      </c>
      <c r="M34" s="2835">
        <f>'Aut-FamSupCtrs'!$R$112</f>
        <v>41540.326699804005</v>
      </c>
      <c r="N34" s="2836">
        <f t="shared" si="4"/>
        <v>498483.92039764806</v>
      </c>
      <c r="O34" s="2837">
        <f t="shared" si="5"/>
        <v>2.0900693238810376E-2</v>
      </c>
      <c r="AJ34" s="2694"/>
      <c r="AK34" s="2695"/>
      <c r="AN34" s="2640"/>
      <c r="AO34" s="2640"/>
      <c r="AP34" s="2640"/>
    </row>
    <row r="35" spans="1:42">
      <c r="A35">
        <v>3770</v>
      </c>
      <c r="B35" t="s">
        <v>957</v>
      </c>
      <c r="C35" t="s">
        <v>958</v>
      </c>
      <c r="D35" s="2641">
        <v>488278.56</v>
      </c>
      <c r="E35" s="2641">
        <v>40689.879999999997</v>
      </c>
      <c r="F35">
        <v>6</v>
      </c>
      <c r="G35" s="2702">
        <f>$AB$20</f>
        <v>41375.188327715834</v>
      </c>
      <c r="H35" s="2703">
        <f t="shared" si="0"/>
        <v>496502.25993259001</v>
      </c>
      <c r="I35" s="2704">
        <f t="shared" si="1"/>
        <v>1.6563267876578327E-2</v>
      </c>
      <c r="J35" s="2705">
        <f>$AD$20</f>
        <v>41215.188327715834</v>
      </c>
      <c r="K35" s="2706">
        <f t="shared" si="2"/>
        <v>494582.25993259001</v>
      </c>
      <c r="L35" s="2707">
        <f t="shared" si="3"/>
        <v>1.2745503515328643E-2</v>
      </c>
      <c r="M35" s="2835">
        <f>'Aut-FamSupCtrs'!$R$112</f>
        <v>41540.326699804005</v>
      </c>
      <c r="N35" s="2836">
        <f t="shared" si="4"/>
        <v>498483.92039764806</v>
      </c>
      <c r="O35" s="2837">
        <f t="shared" si="5"/>
        <v>2.0900693238810376E-2</v>
      </c>
      <c r="AJ35" s="2694"/>
      <c r="AK35" s="2695"/>
      <c r="AN35" s="2640"/>
      <c r="AO35" s="2640"/>
      <c r="AP35" s="2640"/>
    </row>
    <row r="36" spans="1:42">
      <c r="A36">
        <v>3770</v>
      </c>
      <c r="B36" t="s">
        <v>987</v>
      </c>
      <c r="C36" t="s">
        <v>988</v>
      </c>
      <c r="D36" s="2641">
        <v>488278.56</v>
      </c>
      <c r="E36" s="2641">
        <v>40689.879999999997</v>
      </c>
      <c r="F36">
        <v>6</v>
      </c>
      <c r="G36" s="2702">
        <f>$AB$20</f>
        <v>41375.188327715834</v>
      </c>
      <c r="H36" s="2703">
        <f t="shared" ref="H36:H53" si="15">G36*$AG$2</f>
        <v>496502.25993259001</v>
      </c>
      <c r="I36" s="2704">
        <f t="shared" ref="I36:I53" si="16">(H36-D36)/H36</f>
        <v>1.6563267876578327E-2</v>
      </c>
      <c r="J36" s="2705">
        <f>$AD$20</f>
        <v>41215.188327715834</v>
      </c>
      <c r="K36" s="2706">
        <f t="shared" ref="K36:K53" si="17">J36*$W$1</f>
        <v>494582.25993259001</v>
      </c>
      <c r="L36" s="2707">
        <f t="shared" ref="L36:L53" si="18">(K36-D36)/K36</f>
        <v>1.2745503515328643E-2</v>
      </c>
      <c r="M36" s="2835">
        <f>'Aut-FamSupCtrs'!$R$112</f>
        <v>41540.326699804005</v>
      </c>
      <c r="N36" s="2836">
        <f t="shared" ref="N36:N53" si="19">M36*$W$1</f>
        <v>498483.92039764806</v>
      </c>
      <c r="O36" s="2837">
        <f t="shared" ref="O36:O53" si="20">(N36-D36)/D36</f>
        <v>2.0900693238810376E-2</v>
      </c>
      <c r="AJ36" s="2694"/>
      <c r="AK36" s="2695"/>
      <c r="AN36" s="2640"/>
      <c r="AO36" s="2640"/>
      <c r="AP36" s="2640"/>
    </row>
    <row r="37" spans="1:42">
      <c r="A37" s="11">
        <v>3770</v>
      </c>
      <c r="B37" s="11" t="s">
        <v>987</v>
      </c>
      <c r="C37" s="11" t="s">
        <v>989</v>
      </c>
      <c r="D37" s="2039">
        <v>507306.83999999997</v>
      </c>
      <c r="E37" s="2039">
        <v>42275.57</v>
      </c>
      <c r="F37" s="11">
        <v>6.5</v>
      </c>
      <c r="G37" s="2702">
        <f>$AB$21</f>
        <v>44495.188327715834</v>
      </c>
      <c r="H37" s="2703">
        <f t="shared" si="15"/>
        <v>533942.25993258995</v>
      </c>
      <c r="I37" s="2704">
        <f t="shared" si="16"/>
        <v>4.9884457424202937E-2</v>
      </c>
      <c r="J37" s="2705">
        <f>$AD$21</f>
        <v>44315.188327715834</v>
      </c>
      <c r="K37" s="2706">
        <f t="shared" si="17"/>
        <v>531782.25993258995</v>
      </c>
      <c r="L37" s="2707">
        <f t="shared" si="18"/>
        <v>4.6025265934393052E-2</v>
      </c>
      <c r="M37" s="2835">
        <f>'Aut-FamSupCtrs'!$F$140</f>
        <v>44709.014337422494</v>
      </c>
      <c r="N37" s="2836">
        <f t="shared" si="19"/>
        <v>536508.17204906989</v>
      </c>
      <c r="O37" s="2837">
        <f t="shared" si="20"/>
        <v>5.756147906278955E-2</v>
      </c>
      <c r="AJ37" s="2694"/>
      <c r="AK37" s="2695"/>
      <c r="AN37" s="2640"/>
      <c r="AO37" s="2640"/>
      <c r="AP37" s="2640"/>
    </row>
    <row r="38" spans="1:42">
      <c r="A38">
        <v>3770</v>
      </c>
      <c r="B38" t="s">
        <v>968</v>
      </c>
      <c r="C38" t="s">
        <v>969</v>
      </c>
      <c r="D38" s="2641">
        <v>743426.52</v>
      </c>
      <c r="E38" s="2641">
        <v>61952.21</v>
      </c>
      <c r="F38">
        <v>9.5</v>
      </c>
      <c r="G38" s="2702">
        <f>AB13</f>
        <v>19535.188327715838</v>
      </c>
      <c r="H38" s="2703">
        <f t="shared" si="15"/>
        <v>234422.25993259007</v>
      </c>
      <c r="I38" s="2704">
        <f t="shared" si="16"/>
        <v>-2.171313680764694</v>
      </c>
      <c r="J38" s="2705">
        <f>AD13</f>
        <v>19515.188327715838</v>
      </c>
      <c r="K38" s="2706">
        <f t="shared" si="17"/>
        <v>234182.25993259007</v>
      </c>
      <c r="L38" s="2707">
        <f t="shared" si="18"/>
        <v>-2.1745637787166165</v>
      </c>
      <c r="M38" s="2835">
        <f>'Aut-FamSupCtrs'!F196</f>
        <v>63721.140163133416</v>
      </c>
      <c r="N38" s="2836">
        <f t="shared" si="19"/>
        <v>764653.68195760099</v>
      </c>
      <c r="O38" s="2837">
        <f t="shared" si="20"/>
        <v>2.8553140608436955E-2</v>
      </c>
      <c r="AI38" s="2640"/>
      <c r="AJ38" s="2641"/>
      <c r="AK38" s="1842"/>
      <c r="AN38" s="2640"/>
      <c r="AO38" s="2640"/>
      <c r="AP38" s="2640"/>
    </row>
    <row r="39" spans="1:42">
      <c r="A39" s="11">
        <v>3770</v>
      </c>
      <c r="B39" s="11" t="s">
        <v>946</v>
      </c>
      <c r="C39" s="11" t="s">
        <v>947</v>
      </c>
      <c r="D39" s="2039">
        <v>797569.3</v>
      </c>
      <c r="E39" s="2039">
        <v>66464.108333333337</v>
      </c>
      <c r="F39" s="11">
        <v>10.5</v>
      </c>
      <c r="G39" s="2702">
        <f>AB15</f>
        <v>25775.188327715838</v>
      </c>
      <c r="H39" s="2703">
        <f t="shared" si="15"/>
        <v>309302.25993259007</v>
      </c>
      <c r="I39" s="2704">
        <f t="shared" si="16"/>
        <v>-1.578608058582643</v>
      </c>
      <c r="J39" s="2705">
        <f>AD15</f>
        <v>25715.188327715838</v>
      </c>
      <c r="K39" s="2706">
        <f t="shared" si="17"/>
        <v>308582.25993259007</v>
      </c>
      <c r="L39" s="2707">
        <f t="shared" si="18"/>
        <v>-1.5846245995289212</v>
      </c>
      <c r="M39" s="2835">
        <f>'Aut-FamSupCtrs'!R196</f>
        <v>69843.87763746253</v>
      </c>
      <c r="N39" s="2836">
        <f t="shared" si="19"/>
        <v>838126.53164955042</v>
      </c>
      <c r="O39" s="2837">
        <f t="shared" si="20"/>
        <v>5.0851044103064617E-2</v>
      </c>
      <c r="AI39" s="2640"/>
      <c r="AJ39" s="2641"/>
      <c r="AK39" s="1842"/>
      <c r="AN39" s="2640"/>
      <c r="AO39" s="2640"/>
      <c r="AP39" s="2640"/>
    </row>
    <row r="40" spans="1:42">
      <c r="A40">
        <v>3771</v>
      </c>
      <c r="B40" t="s">
        <v>930</v>
      </c>
      <c r="C40" t="s">
        <v>931</v>
      </c>
      <c r="D40" s="2641">
        <v>47858.879999999997</v>
      </c>
      <c r="E40" s="2641">
        <v>3988.24</v>
      </c>
      <c r="F40">
        <v>0.5</v>
      </c>
      <c r="G40" s="2702">
        <f>AB43</f>
        <v>0</v>
      </c>
      <c r="H40" s="2703">
        <f t="shared" si="15"/>
        <v>0</v>
      </c>
      <c r="I40" s="2704" t="e">
        <f t="shared" si="16"/>
        <v>#DIV/0!</v>
      </c>
      <c r="J40" s="2705">
        <f>AD43</f>
        <v>0</v>
      </c>
      <c r="K40" s="2706">
        <f t="shared" si="17"/>
        <v>0</v>
      </c>
      <c r="L40" s="2707" t="e">
        <f t="shared" si="18"/>
        <v>#DIV/0!</v>
      </c>
      <c r="M40" s="2835">
        <f>'Aut-FamSupCtrs'!F28</f>
        <v>4127.617196268161</v>
      </c>
      <c r="N40" s="2836">
        <f t="shared" si="19"/>
        <v>49531.406355217929</v>
      </c>
      <c r="O40" s="2837">
        <f t="shared" si="20"/>
        <v>3.4947043374561448E-2</v>
      </c>
      <c r="Y40" s="2741"/>
      <c r="Z40" s="2741"/>
      <c r="AI40" s="2640"/>
      <c r="AJ40" s="2641"/>
      <c r="AK40" s="1842"/>
      <c r="AN40" s="2640"/>
      <c r="AO40" s="2640"/>
      <c r="AP40" s="2640"/>
    </row>
    <row r="41" spans="1:42">
      <c r="A41">
        <v>3771</v>
      </c>
      <c r="B41" t="s">
        <v>918</v>
      </c>
      <c r="C41" t="s">
        <v>919</v>
      </c>
      <c r="D41" s="2641">
        <v>191432.28</v>
      </c>
      <c r="E41" s="2641">
        <v>15952.69</v>
      </c>
      <c r="F41">
        <v>2</v>
      </c>
      <c r="G41" s="2702">
        <f>$AB$10</f>
        <v>16415.188327715838</v>
      </c>
      <c r="H41" s="2703">
        <f t="shared" si="15"/>
        <v>196982.25993259007</v>
      </c>
      <c r="I41" s="2704">
        <f t="shared" si="16"/>
        <v>2.8175024159481896E-2</v>
      </c>
      <c r="J41" s="2705">
        <f>$AD$10</f>
        <v>16415.188327715838</v>
      </c>
      <c r="K41" s="2706">
        <f t="shared" si="17"/>
        <v>196982.25993259007</v>
      </c>
      <c r="L41" s="2707">
        <f t="shared" si="18"/>
        <v>2.8175024159481896E-2</v>
      </c>
      <c r="M41" s="2835">
        <f>'Aut-FamSupCtrs'!$F$56</f>
        <v>16510.468785072644</v>
      </c>
      <c r="N41" s="2836">
        <f t="shared" si="19"/>
        <v>198125.62542087171</v>
      </c>
      <c r="O41" s="2837">
        <f t="shared" si="20"/>
        <v>3.4964559900094783E-2</v>
      </c>
      <c r="AI41" s="2640"/>
      <c r="AJ41" s="2641"/>
      <c r="AK41" s="1842"/>
      <c r="AL41" s="2640"/>
      <c r="AN41" s="2640"/>
      <c r="AO41" s="2640"/>
      <c r="AP41" s="2640"/>
    </row>
    <row r="42" spans="1:42">
      <c r="A42">
        <v>3771</v>
      </c>
      <c r="B42" t="s">
        <v>922</v>
      </c>
      <c r="C42" t="s">
        <v>923</v>
      </c>
      <c r="D42" s="2641">
        <v>191432.28</v>
      </c>
      <c r="E42" s="2641">
        <v>15952.69</v>
      </c>
      <c r="F42">
        <v>2</v>
      </c>
      <c r="G42" s="2702">
        <f>$AB$10</f>
        <v>16415.188327715838</v>
      </c>
      <c r="H42" s="2703">
        <f t="shared" si="15"/>
        <v>196982.25993259007</v>
      </c>
      <c r="I42" s="2704">
        <f t="shared" si="16"/>
        <v>2.8175024159481896E-2</v>
      </c>
      <c r="J42" s="2705">
        <f>$AD$10</f>
        <v>16415.188327715838</v>
      </c>
      <c r="K42" s="2706">
        <f t="shared" si="17"/>
        <v>196982.25993259007</v>
      </c>
      <c r="L42" s="2707">
        <f t="shared" si="18"/>
        <v>2.8175024159481896E-2</v>
      </c>
      <c r="M42" s="2835">
        <f>'Aut-FamSupCtrs'!$F$56</f>
        <v>16510.468785072644</v>
      </c>
      <c r="N42" s="2836">
        <f t="shared" si="19"/>
        <v>198125.62542087171</v>
      </c>
      <c r="O42" s="2837">
        <f t="shared" si="20"/>
        <v>3.4964559900094783E-2</v>
      </c>
      <c r="AI42" s="2640"/>
      <c r="AJ42" s="2641"/>
      <c r="AK42" s="1842"/>
      <c r="AL42" s="2640"/>
      <c r="AN42" s="2640"/>
      <c r="AO42" s="2640"/>
      <c r="AP42" s="2640"/>
    </row>
    <row r="43" spans="1:42">
      <c r="A43">
        <v>3771</v>
      </c>
      <c r="B43" t="s">
        <v>951</v>
      </c>
      <c r="C43" t="s">
        <v>952</v>
      </c>
      <c r="D43" s="2641">
        <v>191432.28</v>
      </c>
      <c r="E43" s="2641">
        <v>15952.69</v>
      </c>
      <c r="F43">
        <v>2</v>
      </c>
      <c r="G43" s="2702">
        <f>$AB$10</f>
        <v>16415.188327715838</v>
      </c>
      <c r="H43" s="2703">
        <f t="shared" si="15"/>
        <v>196982.25993259007</v>
      </c>
      <c r="I43" s="2704">
        <f t="shared" si="16"/>
        <v>2.8175024159481896E-2</v>
      </c>
      <c r="J43" s="2705">
        <f>$AD$10</f>
        <v>16415.188327715838</v>
      </c>
      <c r="K43" s="2706">
        <f t="shared" si="17"/>
        <v>196982.25993259007</v>
      </c>
      <c r="L43" s="2707">
        <f t="shared" si="18"/>
        <v>2.8175024159481896E-2</v>
      </c>
      <c r="M43" s="2835">
        <f>'Aut-FamSupCtrs'!$F$56</f>
        <v>16510.468785072644</v>
      </c>
      <c r="N43" s="2836">
        <f t="shared" si="19"/>
        <v>198125.62542087171</v>
      </c>
      <c r="O43" s="2837">
        <f t="shared" si="20"/>
        <v>3.4964559900094783E-2</v>
      </c>
      <c r="AI43" s="2640"/>
      <c r="AJ43" s="2641"/>
      <c r="AK43" s="1842"/>
      <c r="AL43" s="2640"/>
      <c r="AN43" s="2640"/>
      <c r="AO43" s="2640"/>
      <c r="AP43" s="2640"/>
    </row>
    <row r="44" spans="1:42">
      <c r="A44">
        <v>3771</v>
      </c>
      <c r="B44" t="s">
        <v>910</v>
      </c>
      <c r="C44" t="s">
        <v>911</v>
      </c>
      <c r="D44" s="2641">
        <v>227217.59999999998</v>
      </c>
      <c r="E44" s="2641">
        <v>18934.8</v>
      </c>
      <c r="F44">
        <v>2.5</v>
      </c>
      <c r="G44" s="2702">
        <f>$AB$13</f>
        <v>19535.188327715838</v>
      </c>
      <c r="H44" s="2703">
        <f t="shared" si="15"/>
        <v>234422.25993259007</v>
      </c>
      <c r="I44" s="2704">
        <f t="shared" si="16"/>
        <v>3.0733685165657245E-2</v>
      </c>
      <c r="J44" s="2705">
        <f>$AD$13</f>
        <v>19515.188327715838</v>
      </c>
      <c r="K44" s="2706">
        <f t="shared" si="17"/>
        <v>234182.25993259007</v>
      </c>
      <c r="L44" s="2707">
        <f t="shared" si="18"/>
        <v>2.9740339573949299E-2</v>
      </c>
      <c r="M44" s="2835">
        <f>'Aut-FamSupCtrs'!$L$56</f>
        <v>19359.513236474577</v>
      </c>
      <c r="N44" s="2836">
        <f t="shared" si="19"/>
        <v>232314.15883769491</v>
      </c>
      <c r="O44" s="2837">
        <f t="shared" si="20"/>
        <v>2.2430299579323659E-2</v>
      </c>
      <c r="AI44" s="2640"/>
      <c r="AJ44" s="2641"/>
      <c r="AK44" s="1842"/>
      <c r="AL44" s="2640"/>
      <c r="AN44" s="2640"/>
      <c r="AO44" s="2640"/>
      <c r="AP44" s="2640"/>
    </row>
    <row r="45" spans="1:42">
      <c r="A45">
        <v>3771</v>
      </c>
      <c r="B45" t="s">
        <v>951</v>
      </c>
      <c r="C45" t="s">
        <v>953</v>
      </c>
      <c r="D45" s="2641">
        <v>227217.6</v>
      </c>
      <c r="E45" s="2641">
        <v>18934.8</v>
      </c>
      <c r="F45">
        <v>2.5</v>
      </c>
      <c r="G45" s="2702">
        <f>$AB$13</f>
        <v>19535.188327715838</v>
      </c>
      <c r="H45" s="2703">
        <f t="shared" si="15"/>
        <v>234422.25993259007</v>
      </c>
      <c r="I45" s="2704">
        <f t="shared" si="16"/>
        <v>3.073368516565712E-2</v>
      </c>
      <c r="J45" s="2705">
        <f>$AD$13</f>
        <v>19515.188327715838</v>
      </c>
      <c r="K45" s="2706">
        <f t="shared" si="17"/>
        <v>234182.25993259007</v>
      </c>
      <c r="L45" s="2707">
        <f t="shared" si="18"/>
        <v>2.9740339573949174E-2</v>
      </c>
      <c r="M45" s="2835">
        <f>'Aut-FamSupCtrs'!$L$56</f>
        <v>19359.513236474577</v>
      </c>
      <c r="N45" s="2836">
        <f t="shared" si="19"/>
        <v>232314.15883769491</v>
      </c>
      <c r="O45" s="2837">
        <f t="shared" si="20"/>
        <v>2.2430299579323527E-2</v>
      </c>
      <c r="AI45" s="2640"/>
      <c r="AJ45" s="2641"/>
      <c r="AK45" s="1842"/>
      <c r="AL45" s="2640"/>
      <c r="AN45" s="2640"/>
      <c r="AO45" s="2640"/>
      <c r="AP45" s="2640"/>
    </row>
    <row r="46" spans="1:42">
      <c r="A46">
        <v>3771</v>
      </c>
      <c r="B46" t="s">
        <v>922</v>
      </c>
      <c r="C46" t="s">
        <v>924</v>
      </c>
      <c r="D46" s="2641">
        <v>263338.92</v>
      </c>
      <c r="E46" s="2641">
        <v>21944.91</v>
      </c>
      <c r="F46">
        <v>3</v>
      </c>
      <c r="G46" s="2702">
        <f>$AB$14</f>
        <v>22655.188327715838</v>
      </c>
      <c r="H46" s="2703">
        <f t="shared" si="15"/>
        <v>271862.25993259007</v>
      </c>
      <c r="I46" s="2704">
        <f t="shared" si="16"/>
        <v>3.135168498453407E-2</v>
      </c>
      <c r="J46" s="2705">
        <f>$AD$14</f>
        <v>22615.188327715838</v>
      </c>
      <c r="K46" s="2706">
        <f t="shared" si="17"/>
        <v>271382.25993259007</v>
      </c>
      <c r="L46" s="2707">
        <f t="shared" si="18"/>
        <v>2.9638414591241176E-2</v>
      </c>
      <c r="M46" s="2835">
        <f>'Aut-FamSupCtrs'!$R$56</f>
        <v>22528.200874093072</v>
      </c>
      <c r="N46" s="2836">
        <f t="shared" si="19"/>
        <v>270338.41048911685</v>
      </c>
      <c r="O46" s="2837">
        <f t="shared" si="20"/>
        <v>2.6579779734483874E-2</v>
      </c>
      <c r="AI46" s="2640"/>
      <c r="AJ46" s="2641"/>
      <c r="AK46" s="1842"/>
      <c r="AL46" s="2640"/>
      <c r="AO46" s="2640"/>
      <c r="AP46" s="2640"/>
    </row>
    <row r="47" spans="1:42">
      <c r="A47">
        <v>3772</v>
      </c>
      <c r="B47" t="s">
        <v>972</v>
      </c>
      <c r="C47" t="s">
        <v>973</v>
      </c>
      <c r="D47" s="2641">
        <v>227217.6</v>
      </c>
      <c r="E47" s="2641">
        <v>18934.8</v>
      </c>
      <c r="F47">
        <v>2.5</v>
      </c>
      <c r="G47" s="2702">
        <f>$AB$13</f>
        <v>19535.188327715838</v>
      </c>
      <c r="H47" s="2703">
        <f t="shared" si="15"/>
        <v>234422.25993259007</v>
      </c>
      <c r="I47" s="2704">
        <f t="shared" si="16"/>
        <v>3.073368516565712E-2</v>
      </c>
      <c r="J47" s="2705">
        <f>$AD$13</f>
        <v>19515.188327715838</v>
      </c>
      <c r="K47" s="2706">
        <f t="shared" si="17"/>
        <v>234182.25993259007</v>
      </c>
      <c r="L47" s="2707">
        <f t="shared" si="18"/>
        <v>2.9740339573949174E-2</v>
      </c>
      <c r="M47" s="2835">
        <f>'Aut-FamSupCtrs'!$L$56</f>
        <v>19359.513236474577</v>
      </c>
      <c r="N47" s="2836">
        <f t="shared" si="19"/>
        <v>232314.15883769491</v>
      </c>
      <c r="O47" s="2837">
        <f t="shared" si="20"/>
        <v>2.2430299579323527E-2</v>
      </c>
      <c r="AI47" s="2640"/>
      <c r="AJ47" s="2641"/>
      <c r="AK47" s="1842"/>
      <c r="AL47" s="2640"/>
      <c r="AO47" s="2640"/>
      <c r="AP47" s="2640"/>
    </row>
    <row r="48" spans="1:42">
      <c r="A48">
        <v>3772</v>
      </c>
      <c r="B48" t="s">
        <v>903</v>
      </c>
      <c r="C48" t="s">
        <v>904</v>
      </c>
      <c r="D48" s="2641">
        <v>263338.92000000004</v>
      </c>
      <c r="E48" s="2641">
        <v>21944.910000000003</v>
      </c>
      <c r="F48">
        <v>3</v>
      </c>
      <c r="G48" s="2702">
        <f>$AB$14</f>
        <v>22655.188327715838</v>
      </c>
      <c r="H48" s="2703">
        <f t="shared" si="15"/>
        <v>271862.25993259007</v>
      </c>
      <c r="I48" s="2704">
        <f t="shared" si="16"/>
        <v>3.1351684984533855E-2</v>
      </c>
      <c r="J48" s="2705">
        <f>$AD$14</f>
        <v>22615.188327715838</v>
      </c>
      <c r="K48" s="2706">
        <f t="shared" si="17"/>
        <v>271382.25993259007</v>
      </c>
      <c r="L48" s="2707">
        <f t="shared" si="18"/>
        <v>2.9638414591240961E-2</v>
      </c>
      <c r="M48" s="2835">
        <f>'Aut-FamSupCtrs'!$R$56</f>
        <v>22528.200874093072</v>
      </c>
      <c r="N48" s="2836">
        <f t="shared" si="19"/>
        <v>270338.41048911685</v>
      </c>
      <c r="O48" s="2837">
        <f t="shared" si="20"/>
        <v>2.6579779734483649E-2</v>
      </c>
      <c r="AI48" s="2640"/>
      <c r="AJ48" s="2641"/>
      <c r="AK48" s="1842"/>
      <c r="AL48" s="2640"/>
      <c r="AO48" s="2640"/>
      <c r="AP48" s="2640"/>
    </row>
    <row r="49" spans="1:42">
      <c r="A49">
        <v>3772</v>
      </c>
      <c r="B49" t="s">
        <v>954</v>
      </c>
      <c r="C49" t="s">
        <v>956</v>
      </c>
      <c r="D49" s="2641">
        <v>450587.4</v>
      </c>
      <c r="E49" s="2641">
        <v>37548.950000000004</v>
      </c>
      <c r="F49">
        <v>5.5</v>
      </c>
      <c r="G49" s="2702">
        <f>$AB$19</f>
        <v>38255.188327715834</v>
      </c>
      <c r="H49" s="2703">
        <f t="shared" si="15"/>
        <v>459062.25993259001</v>
      </c>
      <c r="I49" s="2704">
        <f t="shared" si="16"/>
        <v>1.8461242999662959E-2</v>
      </c>
      <c r="J49" s="2705">
        <f>$AD$19</f>
        <v>38115.188327715834</v>
      </c>
      <c r="K49" s="2706">
        <f t="shared" si="17"/>
        <v>457382.25993259001</v>
      </c>
      <c r="L49" s="2707">
        <f t="shared" si="18"/>
        <v>1.485597612288554E-2</v>
      </c>
      <c r="M49" s="2835">
        <f>'Aut-FamSupCtrs'!$L$112</f>
        <v>38371.639062185517</v>
      </c>
      <c r="N49" s="2836">
        <f t="shared" si="19"/>
        <v>460459.66874622623</v>
      </c>
      <c r="O49" s="2837">
        <f t="shared" si="20"/>
        <v>2.1909775431417325E-2</v>
      </c>
      <c r="AI49" s="2640"/>
      <c r="AJ49" s="2641"/>
      <c r="AK49" s="1842"/>
      <c r="AL49" s="2640"/>
      <c r="AO49" s="2640"/>
      <c r="AP49" s="2640"/>
    </row>
    <row r="50" spans="1:42">
      <c r="A50" s="11">
        <v>3772</v>
      </c>
      <c r="B50" s="11" t="s">
        <v>980</v>
      </c>
      <c r="C50" s="11" t="s">
        <v>981</v>
      </c>
      <c r="D50" s="2039">
        <v>450587.4</v>
      </c>
      <c r="E50" s="2039">
        <v>37548.950000000004</v>
      </c>
      <c r="F50" s="11">
        <v>5.5</v>
      </c>
      <c r="G50" s="2702">
        <f>$AB$19</f>
        <v>38255.188327715834</v>
      </c>
      <c r="H50" s="2703">
        <f t="shared" si="15"/>
        <v>459062.25993259001</v>
      </c>
      <c r="I50" s="2704">
        <f t="shared" si="16"/>
        <v>1.8461242999662959E-2</v>
      </c>
      <c r="J50" s="2705">
        <f>$AD$19</f>
        <v>38115.188327715834</v>
      </c>
      <c r="K50" s="2706">
        <f t="shared" si="17"/>
        <v>457382.25993259001</v>
      </c>
      <c r="L50" s="2707">
        <f t="shared" si="18"/>
        <v>1.485597612288554E-2</v>
      </c>
      <c r="M50" s="2835">
        <f>'Aut-FamSupCtrs'!$L$112</f>
        <v>38371.639062185517</v>
      </c>
      <c r="N50" s="2836">
        <f t="shared" si="19"/>
        <v>460459.66874622623</v>
      </c>
      <c r="O50" s="2837">
        <f t="shared" si="20"/>
        <v>2.1909775431417325E-2</v>
      </c>
      <c r="AI50" s="2640"/>
      <c r="AJ50" s="2641"/>
      <c r="AK50" s="1842"/>
      <c r="AL50" s="2640"/>
      <c r="AO50" s="2640"/>
      <c r="AP50" s="2640"/>
    </row>
    <row r="51" spans="1:42">
      <c r="A51">
        <v>3772</v>
      </c>
      <c r="B51" t="s">
        <v>938</v>
      </c>
      <c r="C51" t="s">
        <v>939</v>
      </c>
      <c r="D51" s="2641">
        <v>488278.56</v>
      </c>
      <c r="E51" s="2641">
        <v>40689.879999999997</v>
      </c>
      <c r="F51">
        <v>6</v>
      </c>
      <c r="G51" s="2702">
        <f>$AB$20</f>
        <v>41375.188327715834</v>
      </c>
      <c r="H51" s="2703">
        <f t="shared" si="15"/>
        <v>496502.25993259001</v>
      </c>
      <c r="I51" s="2704">
        <f t="shared" si="16"/>
        <v>1.6563267876578327E-2</v>
      </c>
      <c r="J51" s="2705">
        <f>$AD$20</f>
        <v>41215.188327715834</v>
      </c>
      <c r="K51" s="2706">
        <f t="shared" si="17"/>
        <v>494582.25993259001</v>
      </c>
      <c r="L51" s="2707">
        <f t="shared" si="18"/>
        <v>1.2745503515328643E-2</v>
      </c>
      <c r="M51" s="2835">
        <f>'Aut-FamSupCtrs'!$R$112</f>
        <v>41540.326699804005</v>
      </c>
      <c r="N51" s="2836">
        <f t="shared" si="19"/>
        <v>498483.92039764806</v>
      </c>
      <c r="O51" s="2837">
        <f t="shared" si="20"/>
        <v>2.0900693238810376E-2</v>
      </c>
    </row>
    <row r="52" spans="1:42">
      <c r="A52">
        <v>3772</v>
      </c>
      <c r="B52" t="s">
        <v>928</v>
      </c>
      <c r="C52" t="s">
        <v>929</v>
      </c>
      <c r="D52" s="2641">
        <v>526335.12</v>
      </c>
      <c r="E52" s="2641">
        <v>43861.26</v>
      </c>
      <c r="F52">
        <v>6.5</v>
      </c>
      <c r="G52" s="2702">
        <f>$AB$21</f>
        <v>44495.188327715834</v>
      </c>
      <c r="H52" s="2703">
        <f t="shared" si="15"/>
        <v>533942.25993258995</v>
      </c>
      <c r="I52" s="2704">
        <f t="shared" si="16"/>
        <v>1.424712090320469E-2</v>
      </c>
      <c r="J52" s="2705">
        <f>$AD$21</f>
        <v>44315.188327715834</v>
      </c>
      <c r="K52" s="2706">
        <f t="shared" si="17"/>
        <v>531782.25993258995</v>
      </c>
      <c r="L52" s="2707">
        <f t="shared" si="18"/>
        <v>1.0243177223099635E-2</v>
      </c>
      <c r="M52" s="2835">
        <f>'Aut-FamSupCtrs'!$F$140</f>
        <v>44709.014337422494</v>
      </c>
      <c r="N52" s="2836">
        <f t="shared" si="19"/>
        <v>536508.17204906989</v>
      </c>
      <c r="O52" s="2837">
        <f t="shared" si="20"/>
        <v>1.9328089011179606E-2</v>
      </c>
    </row>
    <row r="53" spans="1:42" ht="15.75" thickBot="1">
      <c r="A53" s="47">
        <v>3772</v>
      </c>
      <c r="B53" s="47" t="s">
        <v>957</v>
      </c>
      <c r="C53" s="47" t="s">
        <v>959</v>
      </c>
      <c r="D53" s="2041">
        <v>526335.12</v>
      </c>
      <c r="E53" s="2041">
        <v>43861.26</v>
      </c>
      <c r="F53" s="47">
        <v>6.5</v>
      </c>
      <c r="G53" s="2697">
        <f>$AB$21</f>
        <v>44495.188327715834</v>
      </c>
      <c r="H53" s="2742">
        <f t="shared" si="15"/>
        <v>533942.25993258995</v>
      </c>
      <c r="I53" s="2743">
        <f t="shared" si="16"/>
        <v>1.424712090320469E-2</v>
      </c>
      <c r="J53" s="2744">
        <f>$AD$21</f>
        <v>44315.188327715834</v>
      </c>
      <c r="K53" s="2745">
        <f t="shared" si="17"/>
        <v>531782.25993258995</v>
      </c>
      <c r="L53" s="2746">
        <f t="shared" si="18"/>
        <v>1.0243177223099635E-2</v>
      </c>
      <c r="M53" s="2838">
        <f>'Aut-FamSupCtrs'!$F$140</f>
        <v>44709.014337422494</v>
      </c>
      <c r="N53" s="2831">
        <f t="shared" si="19"/>
        <v>536508.17204906989</v>
      </c>
      <c r="O53" s="2832">
        <f t="shared" si="20"/>
        <v>1.9328089011179606E-2</v>
      </c>
    </row>
    <row r="54" spans="1:42">
      <c r="D54" s="2641">
        <f>SUM(D4:D53)</f>
        <v>16570320.49</v>
      </c>
      <c r="G54" s="2667"/>
      <c r="H54" s="2748">
        <f>SUM(H4:H53)</f>
        <v>15632748.476764333</v>
      </c>
      <c r="I54" s="2747" t="e">
        <f>AVERAGE(I4:I53)</f>
        <v>#DIV/0!</v>
      </c>
      <c r="J54" s="2841"/>
      <c r="K54" s="2749">
        <f>SUM(K4:K53)</f>
        <v>15000075.086865447</v>
      </c>
      <c r="L54" s="2750">
        <f t="shared" ref="L54" si="21">(K54-D54)/K54</f>
        <v>-0.10468250285690307</v>
      </c>
      <c r="M54" s="2839"/>
      <c r="N54" s="2840">
        <f>SUM(N4:N53)</f>
        <v>17019914.52855039</v>
      </c>
      <c r="O54" s="2833">
        <f t="shared" ref="O54" si="22">(N54-D54)/D54</f>
        <v>2.7132489007784418E-2</v>
      </c>
    </row>
    <row r="55" spans="1:42">
      <c r="G55" s="2667"/>
      <c r="H55" s="2748">
        <f>H54-D54</f>
        <v>-937572.01323566772</v>
      </c>
      <c r="I55" s="2751"/>
      <c r="J55" s="2842"/>
      <c r="K55" s="2749">
        <f>K54-D54</f>
        <v>-1570245.4031345528</v>
      </c>
      <c r="L55" s="2750"/>
      <c r="M55" s="2839"/>
      <c r="N55" s="2840">
        <f>N54-D54</f>
        <v>449594.03855038993</v>
      </c>
      <c r="O55" s="2833"/>
    </row>
    <row r="57" spans="1:42">
      <c r="H57" s="1194">
        <f>H55/D54</f>
        <v>-5.6581404916186247E-2</v>
      </c>
    </row>
  </sheetData>
  <sortState ref="A4:O53">
    <sortCondition ref="A4:A53"/>
  </sortState>
  <mergeCells count="32">
    <mergeCell ref="X32:Y32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20:Y20"/>
    <mergeCell ref="Z11:AA11"/>
    <mergeCell ref="AB11:AB12"/>
    <mergeCell ref="AD11:AD12"/>
    <mergeCell ref="X12:Y12"/>
    <mergeCell ref="X13:Y13"/>
    <mergeCell ref="X14:Y14"/>
    <mergeCell ref="X15:Y15"/>
    <mergeCell ref="X16:Y16"/>
    <mergeCell ref="X17:Y17"/>
    <mergeCell ref="X18:Y18"/>
    <mergeCell ref="X19:Y19"/>
    <mergeCell ref="D2:F2"/>
    <mergeCell ref="G2:I2"/>
    <mergeCell ref="J2:L2"/>
    <mergeCell ref="AH2:AH3"/>
    <mergeCell ref="Z5:AA5"/>
    <mergeCell ref="AB5:AB6"/>
    <mergeCell ref="AD5:AD6"/>
    <mergeCell ref="M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27</vt:i4>
      </vt:variant>
    </vt:vector>
  </HeadingPairs>
  <TitlesOfParts>
    <vt:vector size="60" baseType="lpstr">
      <vt:lpstr>Rate Review</vt:lpstr>
      <vt:lpstr>CAF Spring17</vt:lpstr>
      <vt:lpstr>AdultCompanion (2)</vt:lpstr>
      <vt:lpstr>AutFamSup</vt:lpstr>
      <vt:lpstr>AWC Admin-Family Nav </vt:lpstr>
      <vt:lpstr>AdultCompanion</vt:lpstr>
      <vt:lpstr>Aut-FamSupCtrs</vt:lpstr>
      <vt:lpstr>Single FTE Model </vt:lpstr>
      <vt:lpstr>AWC ALL DDS</vt:lpstr>
      <vt:lpstr>Aut-FamSupCtrs Final</vt:lpstr>
      <vt:lpstr>AWC Admin - Family Nav</vt:lpstr>
      <vt:lpstr>BehavioralSupport</vt:lpstr>
      <vt:lpstr>Family Train </vt:lpstr>
      <vt:lpstr>Peer Suppt</vt:lpstr>
      <vt:lpstr>Respite </vt:lpstr>
      <vt:lpstr>Fin. Assistance Admin</vt:lpstr>
      <vt:lpstr>MCB FAMS</vt:lpstr>
      <vt:lpstr>Med Complex </vt:lpstr>
      <vt:lpstr>Respite Caregiver Home</vt:lpstr>
      <vt:lpstr>Site Based Respite</vt:lpstr>
      <vt:lpstr>DCFClinicalComp</vt:lpstr>
      <vt:lpstr>IFFS</vt:lpstr>
      <vt:lpstr>Spring 2019 CAF</vt:lpstr>
      <vt:lpstr>DMH DYI Model</vt:lpstr>
      <vt:lpstr>DMH Fam Sys Int </vt:lpstr>
      <vt:lpstr>DMH Indiv Youth Support</vt:lpstr>
      <vt:lpstr>Facility Based Respite</vt:lpstr>
      <vt:lpstr>Master Look Up</vt:lpstr>
      <vt:lpstr>UFR Salary Data</vt:lpstr>
      <vt:lpstr>UFR Salary</vt:lpstr>
      <vt:lpstr>Fiscal Impact</vt:lpstr>
      <vt:lpstr>Rate for Reg</vt:lpstr>
      <vt:lpstr>Sheet1</vt:lpstr>
      <vt:lpstr>AdultCompanion!Print_Area</vt:lpstr>
      <vt:lpstr>'Aut-FamSupCtrs'!Print_Area</vt:lpstr>
      <vt:lpstr>'Aut-FamSupCtrs Final'!Print_Area</vt:lpstr>
      <vt:lpstr>'AWC Admin - Family Nav'!Print_Area</vt:lpstr>
      <vt:lpstr>'AWC Admin-Family Nav '!Print_Area</vt:lpstr>
      <vt:lpstr>BehavioralSupport!Print_Area</vt:lpstr>
      <vt:lpstr>'DMH DYI Model'!Print_Area</vt:lpstr>
      <vt:lpstr>'DMH Fam Sys Int '!Print_Area</vt:lpstr>
      <vt:lpstr>'DMH Indiv Youth Support'!Print_Area</vt:lpstr>
      <vt:lpstr>'Facility Based Respite'!Print_Area</vt:lpstr>
      <vt:lpstr>'Family Train '!Print_Area</vt:lpstr>
      <vt:lpstr>'Fin. Assistance Admin'!Print_Area</vt:lpstr>
      <vt:lpstr>'Fiscal Impact'!Print_Area</vt:lpstr>
      <vt:lpstr>IFFS!Print_Area</vt:lpstr>
      <vt:lpstr>'MCB FAMS'!Print_Area</vt:lpstr>
      <vt:lpstr>'Med Complex '!Print_Area</vt:lpstr>
      <vt:lpstr>'Peer Suppt'!Print_Area</vt:lpstr>
      <vt:lpstr>'Respite '!Print_Area</vt:lpstr>
      <vt:lpstr>'Respite Caregiver Home'!Print_Area</vt:lpstr>
      <vt:lpstr>'Single FTE Model '!Print_Area</vt:lpstr>
      <vt:lpstr>'Site Based Respite'!Print_Area</vt:lpstr>
      <vt:lpstr>'Spring 2019 CAF'!Print_Area</vt:lpstr>
      <vt:lpstr>'UFR Salary'!Print_Area</vt:lpstr>
      <vt:lpstr>'UFR Salary Data'!Print_Area</vt:lpstr>
      <vt:lpstr>'CAF Spring17'!Print_Titles</vt:lpstr>
      <vt:lpstr>'Spring 2019 CAF'!Print_Titles</vt:lpstr>
      <vt:lpstr>'UFR Salary Data'!Print_Titles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</dc:creator>
  <cp:lastModifiedBy> </cp:lastModifiedBy>
  <cp:lastPrinted>2019-10-03T17:08:22Z</cp:lastPrinted>
  <dcterms:created xsi:type="dcterms:W3CDTF">2016-01-07T18:14:04Z</dcterms:created>
  <dcterms:modified xsi:type="dcterms:W3CDTF">2019-10-07T14:05:20Z</dcterms:modified>
</cp:coreProperties>
</file>